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G:\.shortcut-targets-by-id\0By2Fs2Dk-bu8dmlhN2wwWlRYbHc\PARK AVENUE VOLKSWAGEN\5 Réalisé\2022\"/>
    </mc:Choice>
  </mc:AlternateContent>
  <xr:revisionPtr revIDLastSave="0" documentId="13_ncr:1_{DD276DB9-402D-4076-A7F9-0DA98ACFE1B3}" xr6:coauthVersionLast="47" xr6:coauthVersionMax="47" xr10:uidLastSave="{00000000-0000-0000-0000-000000000000}"/>
  <bookViews>
    <workbookView xWindow="-108" yWindow="-108" windowWidth="23256" windowHeight="12576" tabRatio="806" firstSheet="8" activeTab="8" xr2:uid="{2D1E1E4C-C59B-4C3A-8E04-F148F6B00B22}"/>
  </bookViews>
  <sheets>
    <sheet name="Parametres" sheetId="1" r:id="rId1"/>
    <sheet name="Bilan" sheetId="2" r:id="rId2"/>
    <sheet name="Budget original" sheetId="15" r:id="rId3"/>
    <sheet name="Budget révisé" sheetId="16" r:id="rId4"/>
    <sheet name="Capex" sheetId="23" r:id="rId5"/>
    <sheet name="Inventaire_Neuf" sheetId="21" r:id="rId6"/>
    <sheet name="Inventaire_Used" sheetId="22" r:id="rId7"/>
    <sheet name="2pager" sheetId="19" r:id="rId8"/>
    <sheet name="Print_Mois" sheetId="3" r:id="rId9"/>
    <sheet name="Vol &amp; Taux MOIS" sheetId="25" r:id="rId10"/>
    <sheet name="Mix Produits Volks Mois" sheetId="27" r:id="rId11"/>
    <sheet name="Print_AAD" sheetId="17" r:id="rId12"/>
    <sheet name="Vol &amp; Taux AAJ" sheetId="24" r:id="rId13"/>
    <sheet name="Mix Produits Volks AAJ" sheetId="26" r:id="rId14"/>
    <sheet name="BV_Data_An_Cour" sheetId="5" r:id="rId15"/>
    <sheet name="Data_Validation" sheetId="10" r:id="rId16"/>
    <sheet name="BV_Data_An_Prec" sheetId="14" r:id="rId17"/>
    <sheet name="Feuil1" sheetId="20" r:id="rId18"/>
  </sheets>
  <externalReferences>
    <externalReference r:id="rId19"/>
    <externalReference r:id="rId20"/>
    <externalReference r:id="rId21"/>
    <externalReference r:id="rId22"/>
  </externalReferences>
  <definedNames>
    <definedName name="_Dates_Conc">[1]Dealers!$BF$37:$KA$63</definedName>
    <definedName name="_xlnm._FilterDatabase" localSheetId="14" hidden="1">BV_Data_An_Cour!$A$1:$X$463</definedName>
    <definedName name="_xlnm._FilterDatabase" localSheetId="16" hidden="1">BV_Data_An_Prec!$A$1:$X$1055</definedName>
    <definedName name="_xlnm._FilterDatabase" localSheetId="15" hidden="1">Data_Validation!$A$1:$G$905</definedName>
    <definedName name="_xlnm._FilterDatabase" localSheetId="17" hidden="1">Feuil1!$A$1:$D$1</definedName>
    <definedName name="_xlnm._FilterDatabase" localSheetId="5" hidden="1">Inventaire_Neuf!$A$1:$H$26</definedName>
    <definedName name="_xlnm._FilterDatabase" localSheetId="6" hidden="1">Inventaire_Used!$A$1:$H$90</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7" hidden="1">{"Page1",#N/A,FALSE,"CompCo";"Page2",#N/A,FALSE,"CompCo"}</definedName>
    <definedName name="Compco1" localSheetId="4" hidden="1">{"Page1",#N/A,FALSE,"CompCo";"Page2",#N/A,FALSE,"CompCo"}</definedName>
    <definedName name="Compco1" hidden="1">{"Page1",#N/A,FALSE,"CompCo";"Page2",#N/A,FALSE,"CompCo"}</definedName>
    <definedName name="Compco2" localSheetId="7" hidden="1">{"Page1",#N/A,FALSE,"CompCo";"Page2",#N/A,FALSE,"CompCo"}</definedName>
    <definedName name="Compco2" localSheetId="4" hidden="1">{"Page1",#N/A,FALSE,"CompCo";"Page2",#N/A,FALSE,"CompCo"}</definedName>
    <definedName name="Compco2" hidden="1">{"Page1",#N/A,FALSE,"CompCo";"Page2",#N/A,FALSE,"CompCo"}</definedName>
    <definedName name="DateRange">[1]Volkswagen!$BF$6:$DY$6</definedName>
    <definedName name="DateRangePr" localSheetId="10" hidden="1">OFFSET([2]!DateRangePriceMain,5,0,COUNTA([2]!DateRangePriceMain)-COUNTA(#REF!),1)</definedName>
    <definedName name="DateRangePr" hidden="1">OFFSET([2]!DateRangePriceMain,5,0,COUNTA([2]!DateRangePriceMain)-COUNTA(#REF!),1)</definedName>
    <definedName name="DateRangePrice" localSheetId="10" hidden="1">OFFSET([3]!DateRangePriceMain,5,0,COUNTA([3]!DateRangePriceMain)-COUNTA(#REF!),1)</definedName>
    <definedName name="DateRangePrice" hidden="1">OFFSET([3]!DateRangePriceMain,5,0,COUNTA([3]!DateRangePriceMain)-COUNTA(#REF!),1)</definedName>
    <definedName name="DateRangePrice1" localSheetId="10" hidden="1">OFFSET([3]!DateRangePriceMain,5,0,COUNTA([3]!DateRangePriceMain)-COUNTA(#REF!),1)</definedName>
    <definedName name="DateRangePrice1" hidden="1">OFFSET([3]!DateRangePriceMain,5,0,COUNTA([3]!DateRangePriceMain)-COUNTA(#REF!),1)</definedName>
    <definedName name="DateRangePrice2" localSheetId="10" hidden="1">OFFSET([2]!DateRangePriceMain,5,0,COUNTA([2]!DateRangePriceMain)-COUNTA(#REF!),1)</definedName>
    <definedName name="DateRangePrice2" hidden="1">OFFSET([2]!DateRangePriceMain,5,0,COUNTA([2]!DateRangePriceMain)-COUNTA(#REF!),1)</definedName>
    <definedName name="ERT" localSheetId="7" hidden="1">{"execsum",#N/A,FALSE,"ExecSum";"finstatement",#N/A,FALSE,"Fin_St"}</definedName>
    <definedName name="ERT" localSheetId="4"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7">'2pager'!$1:$1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7" hidden="1">{"finana",#N/A,FALSE,"Fin"}</definedName>
    <definedName name="kjjkghkhj" localSheetId="4" hidden="1">{"finana",#N/A,FALSE,"Fin"}</definedName>
    <definedName name="kjjkghkhj" hidden="1">{"finana",#N/A,FALSE,"Fin"}</definedName>
    <definedName name="limcount" hidden="1">1</definedName>
    <definedName name="lkhkhj" localSheetId="7" hidden="1">{"sub1",#N/A,FALSE,"Subs";"pac1",#N/A,FALSE,"Packages";"rev1",#N/A,FALSE,"2. Revenues"}</definedName>
    <definedName name="lkhkhj" localSheetId="4" hidden="1">{"sub1",#N/A,FALSE,"Subs";"pac1",#N/A,FALSE,"Packages";"rev1",#N/A,FALSE,"2. Revenues"}</definedName>
    <definedName name="lkhkhj" hidden="1">{"sub1",#N/A,FALSE,"Subs";"pac1",#N/A,FALSE,"Packages";"rev1",#N/A,FALSE,"2. Revenues"}</definedName>
    <definedName name="m"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localSheetId="10" hidden="1">OFFSET([3]!PriceRangeMain,5,0,COUNTA([3]!PriceRangeMain)-COUNTA(#REF!),1)</definedName>
    <definedName name="PriceRange" hidden="1">OFFSET([3]!PriceRangeMain,5,0,COUNTA([3]!PriceRangeMain)-COUNTA(#REF!),1)</definedName>
    <definedName name="PriceRange2" localSheetId="10" hidden="1">OFFSET([2]!PriceRangeMain,5,0,COUNTA([2]!PriceRangeMain)-COUNTA(#REF!),1)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7" hidden="1">{"execsum",#N/A,FALSE,"ExecSum";"finstatement",#N/A,FALSE,"Fin_St"}</definedName>
    <definedName name="test" localSheetId="4" hidden="1">{"execsum",#N/A,FALSE,"ExecSum";"finstatement",#N/A,FALSE,"Fin_St"}</definedName>
    <definedName name="test" hidden="1">{"execsum",#N/A,FALSE,"ExecSum";"finstatement",#N/A,FALSE,"Fin_St"}</definedName>
    <definedName name="test21" localSheetId="10" hidden="1">OFFSET([2]!DateRangePriceMain,5,0,COUNTA([2]!DateRangePriceMain)-COUNTA(#REF!),1)</definedName>
    <definedName name="test21" hidden="1">OFFSET([2]!DateRangePriceMain,5,0,COUNTA([2]!DateRangePriceMain)-COUNTA(#REF!),1)</definedName>
    <definedName name="Ticker" hidden="1">#N/A</definedName>
    <definedName name="Titre">[1]Front!$A$9</definedName>
    <definedName name="value" localSheetId="10" hidden="1">OFFSET([3]!DateRangePriceMain,5,0,COUNTA([3]!DateRangePriceMain)-COUNTA(#REF!),1)</definedName>
    <definedName name="value" hidden="1">OFFSET([3]!DateRangePriceMain,5,0,COUNTA([3]!DateRangePriceMain)-COUNTA(#REF!),1)</definedName>
    <definedName name="value2" localSheetId="10" hidden="1">OFFSET([2]!DateRangePriceMain,5,0,COUNTA([2]!DateRangePriceMain)-COUNTA(#REF!),1)</definedName>
    <definedName name="value2" hidden="1">OFFSET([2]!DateRangePriceMain,5,0,COUNTA([2]!DateRangePriceMain)-COUNTA(#REF!),1)</definedName>
    <definedName name="wrn.amendement." localSheetId="7" hidden="1">{#N/A,#N/A,FALSE,"amendement"}</definedName>
    <definedName name="wrn.amendement." localSheetId="4" hidden="1">{#N/A,#N/A,FALSE,"amendement"}</definedName>
    <definedName name="wrn.amendement." hidden="1">{#N/A,#N/A,FALSE,"amendement"}</definedName>
    <definedName name="wrn.amendement.." localSheetId="7" hidden="1">{#N/A,#N/A,FALSE,"amendement"}</definedName>
    <definedName name="wrn.amendement.." localSheetId="4" hidden="1">{#N/A,#N/A,FALSE,"amendement"}</definedName>
    <definedName name="wrn.amendement.." hidden="1">{#N/A,#N/A,FALSE,"amendement"}</definedName>
    <definedName name="wrn.COMPCO." localSheetId="7" hidden="1">{"Page1",#N/A,FALSE,"CompCo";"Page2",#N/A,FALSE,"CompCo"}</definedName>
    <definedName name="wrn.COMPCO." localSheetId="4" hidden="1">{"Page1",#N/A,FALSE,"CompCo";"Page2",#N/A,FALSE,"CompCo"}</definedName>
    <definedName name="wrn.COMPCO." hidden="1">{"Page1",#N/A,FALSE,"CompCo";"Page2",#N/A,FALSE,"CompCo"}</definedName>
    <definedName name="wrn.Delchamps." localSheetId="7" hidden="1">{"Operating Data",#N/A,TRUE,"Sheet1";"Valuation Matrix",#N/A,TRUE,"Sheet1";"Sales Analysis",#N/A,TRUE,"Sheet1";"Closed Remodelled New",#N/A,TRUE,"Sheet1";"Competitive and FSP",#N/A,TRUE,"Sheet1";"Working Capital and Capex",#N/A,TRUE,"Sheet1";"depreciation",#N/A,TRUE,"Sheet1"}</definedName>
    <definedName name="wrn.Delchamps." localSheetId="4"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7" hidden="1">{"Build1",#N/A,FALSE,"Buildup";"Build2",#N/A,FALSE,"Buildup";"Build3",#N/A,FALSE,"Buildup"}</definedName>
    <definedName name="wrn.detail." localSheetId="4" hidden="1">{"Build1",#N/A,FALSE,"Buildup";"Build2",#N/A,FALSE,"Buildup";"Build3",#N/A,FALSE,"Buildup"}</definedName>
    <definedName name="wrn.detail." hidden="1">{"Build1",#N/A,FALSE,"Buildup";"Build2",#N/A,FALSE,"Buildup";"Build3",#N/A,FALSE,"Buildup"}</definedName>
    <definedName name="wrn.execsum." localSheetId="7" hidden="1">{"execsum",#N/A,FALSE,"ExecSum";"finstatement",#N/A,FALSE,"Fin_St"}</definedName>
    <definedName name="wrn.execsum." localSheetId="4" hidden="1">{"execsum",#N/A,FALSE,"ExecSum";"finstatement",#N/A,FALSE,"Fin_St"}</definedName>
    <definedName name="wrn.execsum." hidden="1">{"execsum",#N/A,FALSE,"ExecSum";"finstatement",#N/A,FALSE,"Fin_St"}</definedName>
    <definedName name="wrn.Finanalysis." localSheetId="7" hidden="1">{"finana",#N/A,FALSE,"Fin"}</definedName>
    <definedName name="wrn.Finanalysis." localSheetId="4" hidden="1">{"finana",#N/A,FALSE,"Fin"}</definedName>
    <definedName name="wrn.Finanalysis." hidden="1">{"finana",#N/A,FALSE,"Fin"}</definedName>
    <definedName name="wrn.full._.report."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7" hidden="1">{"sub1",#N/A,FALSE,"Subs";"pac1",#N/A,FALSE,"Packages";"rev1",#N/A,FALSE,"2. Revenues"}</definedName>
    <definedName name="wrn.magicrep." localSheetId="4" hidden="1">{"sub1",#N/A,FALSE,"Subs";"pac1",#N/A,FALSE,"Packages";"rev1",#N/A,FALSE,"2. Revenues"}</definedName>
    <definedName name="wrn.magicrep." hidden="1">{"sub1",#N/A,FALSE,"Subs";"pac1",#N/A,FALSE,"Packages";"rev1",#N/A,FALSE,"2. Revenues"}</definedName>
    <definedName name="wrn.persrep." localSheetId="7" hidden="1">{"volu1",#N/A,FALSE,"Volumes";"headcount",#N/A,FALSE,"Headcount";"emprpt",#N/A,FALSE,"Output"}</definedName>
    <definedName name="wrn.persrep." localSheetId="4" hidden="1">{"volu1",#N/A,FALSE,"Volumes";"headcount",#N/A,FALSE,"Headcount";"emprpt",#N/A,FALSE,"Output"}</definedName>
    <definedName name="wrn.persrep." hidden="1">{"volu1",#N/A,FALSE,"Volumes";"headcount",#N/A,FALSE,"Headcount";"emprpt",#N/A,FALSE,"Output"}</definedName>
    <definedName name="wrn.PrintAll." localSheetId="7" hidden="1">{"PA1",#N/A,FALSE,"BORDMW";"pa2",#N/A,FALSE,"BORDMW";"PA3",#N/A,FALSE,"BORDMW";"PA4",#N/A,FALSE,"BORDMW"}</definedName>
    <definedName name="wrn.PrintAll." localSheetId="4" hidden="1">{"PA1",#N/A,FALSE,"BORDMW";"pa2",#N/A,FALSE,"BORDMW";"PA3",#N/A,FALSE,"BORDMW";"PA4",#N/A,FALSE,"BORDMW"}</definedName>
    <definedName name="wrn.PrintAll." hidden="1">{"PA1",#N/A,FALSE,"BORDMW";"pa2",#N/A,FALSE,"BORDMW";"PA3",#N/A,FALSE,"BORDMW";"PA4",#N/A,FALSE,"BORDMW"}</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7" hidden="1">{"sales",#N/A,FALSE,"Sales";"sales existing",#N/A,FALSE,"Sales";"sales rd1",#N/A,FALSE,"Sales";"sales rd2",#N/A,FALSE,"Sales"}</definedName>
    <definedName name="wrn.sales." localSheetId="4" hidden="1">{"sales",#N/A,FALSE,"Sales";"sales existing",#N/A,FALSE,"Sales";"sales rd1",#N/A,FALSE,"Sales";"sales rd2",#N/A,FALSE,"Sales"}</definedName>
    <definedName name="wrn.sales." hidden="1">{"sales",#N/A,FALSE,"Sales";"sales existing",#N/A,FALSE,"Sales";"sales rd1",#N/A,FALSE,"Sales";"sales rd2",#N/A,FALSE,"Sales"}</definedName>
    <definedName name="wrn.SUMMARY."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7">'2pager'!$A$1:$M$67</definedName>
    <definedName name="_xlnm.Print_Area" localSheetId="2">'Budget original'!$B$1:$AO$500</definedName>
    <definedName name="_xlnm.Print_Area" localSheetId="3">'Budget révisé'!$B$1:$AO$500</definedName>
    <definedName name="_xlnm.Print_Area" localSheetId="4">Capex!$A$1:$T$21</definedName>
    <definedName name="_xlnm.Print_Area" localSheetId="11">Print_AAD!$C$1:$S$352,Print_AAD!$V$401:$AO$497</definedName>
    <definedName name="_xlnm.Print_Area" localSheetId="8">Print_Mois!$C$1:$S$352,Print_Mois!$V$401:$AO$497</definedName>
    <definedName name="_xlnm.Print_Area" localSheetId="12">'Vol &amp; Taux AAJ'!$B$1:$T$29</definedName>
    <definedName name="_xlnm.Print_Area" localSheetId="9">'Vol &amp; Taux MOIS'!$B$1:$T$29</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L461" i="5" l="1"/>
  <c r="X461" i="5" s="1"/>
  <c r="M461" i="5"/>
  <c r="Q461" i="5"/>
  <c r="N461" i="5" s="1"/>
  <c r="R461" i="5"/>
  <c r="S461" i="5"/>
  <c r="L462" i="5"/>
  <c r="T462" i="5" s="1"/>
  <c r="M462" i="5"/>
  <c r="Q462" i="5"/>
  <c r="O462" i="5" s="1"/>
  <c r="R462" i="5"/>
  <c r="S462" i="5"/>
  <c r="E185" i="3"/>
  <c r="H179" i="3"/>
  <c r="E179" i="3"/>
  <c r="H176" i="3"/>
  <c r="E176" i="3"/>
  <c r="S460" i="5"/>
  <c r="R460" i="5"/>
  <c r="Q460" i="5"/>
  <c r="O460" i="5" s="1"/>
  <c r="M460" i="5"/>
  <c r="L460" i="5"/>
  <c r="W460" i="5" s="1"/>
  <c r="S459" i="5"/>
  <c r="R459" i="5"/>
  <c r="Q459" i="5"/>
  <c r="P459" i="5" s="1"/>
  <c r="M459" i="5"/>
  <c r="L459" i="5"/>
  <c r="T459" i="5" s="1"/>
  <c r="S458" i="5"/>
  <c r="R458" i="5"/>
  <c r="Q458" i="5"/>
  <c r="O458" i="5" s="1"/>
  <c r="M458" i="5"/>
  <c r="L458" i="5"/>
  <c r="W458" i="5" s="1"/>
  <c r="S457" i="5"/>
  <c r="R457" i="5"/>
  <c r="Q457" i="5"/>
  <c r="O457" i="5" s="1"/>
  <c r="M457" i="5"/>
  <c r="L457" i="5"/>
  <c r="T457" i="5" s="1"/>
  <c r="S414" i="5"/>
  <c r="R414" i="5"/>
  <c r="Q414" i="5"/>
  <c r="O414" i="5" s="1"/>
  <c r="M414" i="5"/>
  <c r="L414" i="5"/>
  <c r="W414" i="5" s="1"/>
  <c r="S413" i="5"/>
  <c r="R413" i="5"/>
  <c r="Q413" i="5"/>
  <c r="N413" i="5" s="1"/>
  <c r="M413" i="5"/>
  <c r="L413" i="5"/>
  <c r="V413" i="5" s="1"/>
  <c r="S412" i="5"/>
  <c r="R412" i="5"/>
  <c r="Q412" i="5"/>
  <c r="P412" i="5" s="1"/>
  <c r="M412" i="5"/>
  <c r="L412" i="5"/>
  <c r="X412" i="5" s="1"/>
  <c r="W461" i="5" l="1"/>
  <c r="V461" i="5"/>
  <c r="U461" i="5"/>
  <c r="T461" i="5"/>
  <c r="N462" i="5"/>
  <c r="X462" i="5"/>
  <c r="P462" i="5"/>
  <c r="W462" i="5"/>
  <c r="V462" i="5"/>
  <c r="U462" i="5"/>
  <c r="P461" i="5"/>
  <c r="O461" i="5"/>
  <c r="O413" i="5"/>
  <c r="P414" i="5"/>
  <c r="V460" i="5"/>
  <c r="N459" i="5"/>
  <c r="N458" i="5"/>
  <c r="O459" i="5"/>
  <c r="P458" i="5"/>
  <c r="W413" i="5"/>
  <c r="P457" i="5"/>
  <c r="X459" i="5"/>
  <c r="W459" i="5"/>
  <c r="X413" i="5"/>
  <c r="U457" i="5"/>
  <c r="N412" i="5"/>
  <c r="V457" i="5"/>
  <c r="O412" i="5"/>
  <c r="P413" i="5"/>
  <c r="N414" i="5"/>
  <c r="N457" i="5"/>
  <c r="W457" i="5"/>
  <c r="N460" i="5"/>
  <c r="X457" i="5"/>
  <c r="X458" i="5"/>
  <c r="P460" i="5"/>
  <c r="U459" i="5"/>
  <c r="V459" i="5"/>
  <c r="X460" i="5"/>
  <c r="T414" i="5"/>
  <c r="W412" i="5"/>
  <c r="U414" i="5"/>
  <c r="U412" i="5"/>
  <c r="V412" i="5"/>
  <c r="T458" i="5"/>
  <c r="U458" i="5"/>
  <c r="X414" i="5"/>
  <c r="T460" i="5"/>
  <c r="T412" i="5"/>
  <c r="V414" i="5"/>
  <c r="T413" i="5"/>
  <c r="U413" i="5"/>
  <c r="V458" i="5"/>
  <c r="U460" i="5"/>
  <c r="Y199" i="3"/>
  <c r="L11" i="27" l="1"/>
  <c r="J11" i="27"/>
  <c r="N11" i="27" s="1"/>
  <c r="L11" i="26"/>
  <c r="J11" i="26"/>
  <c r="N11" i="26" s="1"/>
  <c r="M2" i="22"/>
  <c r="L2" i="22"/>
  <c r="W8" i="3" l="1"/>
  <c r="C1" i="17" l="1"/>
  <c r="S1" i="17"/>
  <c r="M19" i="14" l="1"/>
  <c r="L2" i="5" l="1"/>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415" i="5"/>
  <c r="L83" i="5"/>
  <c r="L84" i="5"/>
  <c r="L85" i="5"/>
  <c r="L416" i="5"/>
  <c r="L86" i="5"/>
  <c r="L87" i="5"/>
  <c r="L88" i="5"/>
  <c r="L89" i="5"/>
  <c r="AP407" i="17" l="1"/>
  <c r="AP466" i="17"/>
  <c r="AP481" i="17"/>
  <c r="AP483" i="17"/>
  <c r="AP484" i="17"/>
  <c r="AP485" i="17"/>
  <c r="AP486" i="17"/>
  <c r="AP487" i="17"/>
  <c r="AP489" i="17"/>
  <c r="L3" i="22" l="1"/>
  <c r="L5" i="22" s="1"/>
  <c r="L3" i="21"/>
  <c r="S12" i="23" l="1"/>
  <c r="P12" i="23"/>
  <c r="M12" i="23"/>
  <c r="K12" i="23"/>
  <c r="S8" i="23"/>
  <c r="P8" i="23"/>
  <c r="M8" i="23"/>
  <c r="K8" i="23"/>
  <c r="S7" i="23"/>
  <c r="P7" i="23"/>
  <c r="M7" i="23"/>
  <c r="K7" i="23"/>
  <c r="A21" i="23" l="1"/>
  <c r="A20" i="23"/>
  <c r="A19" i="23"/>
  <c r="A18" i="23"/>
  <c r="A17" i="23"/>
  <c r="A16" i="23"/>
  <c r="A15" i="23"/>
  <c r="A14" i="23"/>
  <c r="A13" i="23"/>
  <c r="A12" i="23"/>
  <c r="A11" i="23"/>
  <c r="A10" i="23"/>
  <c r="A9" i="23"/>
  <c r="A8" i="23"/>
  <c r="A7" i="23"/>
  <c r="A6" i="23"/>
  <c r="E21" i="23"/>
  <c r="G21" i="23" s="1"/>
  <c r="E20" i="23"/>
  <c r="G20" i="23" s="1"/>
  <c r="E19" i="23"/>
  <c r="G19" i="23" s="1"/>
  <c r="E18" i="23"/>
  <c r="G18" i="23" s="1"/>
  <c r="E17" i="23"/>
  <c r="G17" i="23" s="1"/>
  <c r="E16" i="23"/>
  <c r="G16" i="23" s="1"/>
  <c r="E15" i="23"/>
  <c r="G15" i="23" s="1"/>
  <c r="E14" i="23"/>
  <c r="G14" i="23" s="1"/>
  <c r="E13" i="23"/>
  <c r="G13" i="23" s="1"/>
  <c r="E12" i="23"/>
  <c r="G12" i="23" s="1"/>
  <c r="E11" i="23"/>
  <c r="G11" i="23" s="1"/>
  <c r="E10" i="23"/>
  <c r="G10" i="23" s="1"/>
  <c r="E9" i="23"/>
  <c r="G9" i="23" s="1"/>
  <c r="E8" i="23"/>
  <c r="G8" i="23" s="1"/>
  <c r="E7" i="23"/>
  <c r="G7" i="23" s="1"/>
  <c r="E6" i="23"/>
  <c r="G6" i="23" s="1"/>
  <c r="S5" i="23"/>
  <c r="R5" i="23"/>
  <c r="Q5" i="23"/>
  <c r="P5" i="23"/>
  <c r="O5" i="23"/>
  <c r="N5" i="23"/>
  <c r="M5" i="23"/>
  <c r="L5" i="23"/>
  <c r="K5" i="23"/>
  <c r="J5" i="23"/>
  <c r="I5" i="23"/>
  <c r="H5" i="23"/>
  <c r="F5" i="23"/>
  <c r="B1" i="16"/>
  <c r="E497" i="15"/>
  <c r="E496" i="15"/>
  <c r="E495" i="15"/>
  <c r="E494" i="15"/>
  <c r="E493" i="15"/>
  <c r="AO484" i="15"/>
  <c r="AL484" i="15"/>
  <c r="AI484" i="15"/>
  <c r="AF484" i="15"/>
  <c r="AC484" i="15"/>
  <c r="Z484" i="15"/>
  <c r="W484" i="15"/>
  <c r="T484" i="15"/>
  <c r="Q484" i="15"/>
  <c r="N484" i="15"/>
  <c r="K484" i="15"/>
  <c r="H484" i="15"/>
  <c r="AO483" i="15"/>
  <c r="AL483" i="15"/>
  <c r="AI483" i="15"/>
  <c r="AF483" i="15"/>
  <c r="AC483" i="15"/>
  <c r="Z483" i="15"/>
  <c r="W483" i="15"/>
  <c r="T483" i="15"/>
  <c r="Q483" i="15"/>
  <c r="N483" i="15"/>
  <c r="K483" i="15"/>
  <c r="H483" i="15"/>
  <c r="E482" i="15"/>
  <c r="E481" i="15"/>
  <c r="E480" i="15"/>
  <c r="E479" i="15"/>
  <c r="E478" i="15"/>
  <c r="E477" i="15"/>
  <c r="E476" i="15"/>
  <c r="E475" i="15"/>
  <c r="E474" i="15"/>
  <c r="E473" i="15"/>
  <c r="E472" i="15"/>
  <c r="E471" i="15"/>
  <c r="AO469" i="15"/>
  <c r="AL469" i="15"/>
  <c r="AI469" i="15"/>
  <c r="AF469" i="15"/>
  <c r="AC469" i="15"/>
  <c r="Z469" i="15"/>
  <c r="W469" i="15"/>
  <c r="T469" i="15"/>
  <c r="Q469" i="15"/>
  <c r="N469" i="15"/>
  <c r="K469" i="15"/>
  <c r="H469" i="15"/>
  <c r="AO468" i="15"/>
  <c r="AL468" i="15"/>
  <c r="AI468" i="15"/>
  <c r="AF468" i="15"/>
  <c r="AC468" i="15"/>
  <c r="Z468" i="15"/>
  <c r="W468" i="15"/>
  <c r="T468" i="15"/>
  <c r="Q468" i="15"/>
  <c r="N468" i="15"/>
  <c r="K468" i="15"/>
  <c r="H468" i="15"/>
  <c r="E467" i="15"/>
  <c r="E466" i="15"/>
  <c r="E465" i="15"/>
  <c r="E464" i="15"/>
  <c r="E463" i="15"/>
  <c r="E462" i="15"/>
  <c r="E461" i="15"/>
  <c r="E460" i="15"/>
  <c r="E459" i="15"/>
  <c r="E458" i="15"/>
  <c r="E457" i="15"/>
  <c r="E456" i="15"/>
  <c r="E455" i="15"/>
  <c r="E450" i="15"/>
  <c r="E449" i="15"/>
  <c r="E448" i="15"/>
  <c r="E447" i="15"/>
  <c r="E446" i="15"/>
  <c r="E445" i="15"/>
  <c r="E444" i="15"/>
  <c r="E443" i="15"/>
  <c r="E442" i="15"/>
  <c r="E441" i="15"/>
  <c r="E440" i="15"/>
  <c r="E439" i="15"/>
  <c r="E438" i="15"/>
  <c r="E437" i="15"/>
  <c r="E436" i="15"/>
  <c r="AO435" i="15"/>
  <c r="AL435" i="15"/>
  <c r="AI435" i="15"/>
  <c r="AF435" i="15"/>
  <c r="AC435" i="15"/>
  <c r="Z435" i="15"/>
  <c r="W435" i="15"/>
  <c r="T435" i="15"/>
  <c r="Q435" i="15"/>
  <c r="N435" i="15"/>
  <c r="K435" i="15"/>
  <c r="H435" i="15"/>
  <c r="E433" i="15"/>
  <c r="E432" i="15"/>
  <c r="E431" i="15"/>
  <c r="E430" i="15"/>
  <c r="E429" i="15"/>
  <c r="E428" i="15"/>
  <c r="E427" i="15"/>
  <c r="E426" i="15"/>
  <c r="E425" i="15"/>
  <c r="E424" i="15"/>
  <c r="E423" i="15"/>
  <c r="E422" i="15"/>
  <c r="AO397" i="15"/>
  <c r="AL397" i="15"/>
  <c r="AL399" i="15" s="1"/>
  <c r="AK399" i="15" s="1"/>
  <c r="AI397" i="15"/>
  <c r="AH397" i="15" s="1"/>
  <c r="AF397" i="15"/>
  <c r="AE397" i="15" s="1"/>
  <c r="AC397" i="15"/>
  <c r="Z397" i="15"/>
  <c r="Y397" i="15" s="1"/>
  <c r="W397" i="15"/>
  <c r="V397" i="15" s="1"/>
  <c r="T397" i="15"/>
  <c r="S397" i="15" s="1"/>
  <c r="Q397" i="15"/>
  <c r="Q399" i="15" s="1"/>
  <c r="P399" i="15" s="1"/>
  <c r="N397" i="15"/>
  <c r="N399" i="15" s="1"/>
  <c r="M399" i="15" s="1"/>
  <c r="K397" i="15"/>
  <c r="J397" i="15" s="1"/>
  <c r="H397" i="15"/>
  <c r="E396" i="15"/>
  <c r="E395" i="15"/>
  <c r="E394" i="15"/>
  <c r="E393" i="15"/>
  <c r="E392" i="15"/>
  <c r="E391" i="15"/>
  <c r="E390" i="15"/>
  <c r="E389" i="15"/>
  <c r="E388" i="15"/>
  <c r="E387" i="15"/>
  <c r="E386" i="15"/>
  <c r="E385" i="15"/>
  <c r="E384" i="15"/>
  <c r="E383" i="15"/>
  <c r="E382" i="15"/>
  <c r="E381" i="15"/>
  <c r="E380" i="15"/>
  <c r="AN379" i="15"/>
  <c r="AK379" i="15"/>
  <c r="AH379" i="15"/>
  <c r="AE379" i="15"/>
  <c r="AB379" i="15"/>
  <c r="Y379" i="15"/>
  <c r="V379" i="15"/>
  <c r="S379" i="15"/>
  <c r="P379" i="15"/>
  <c r="M379" i="15"/>
  <c r="J379" i="15"/>
  <c r="G379" i="15"/>
  <c r="E378" i="15"/>
  <c r="E377" i="15"/>
  <c r="E376" i="15"/>
  <c r="E375" i="15"/>
  <c r="E374" i="15"/>
  <c r="E373" i="15"/>
  <c r="E372" i="15"/>
  <c r="E371" i="15"/>
  <c r="E370" i="15"/>
  <c r="E369" i="15"/>
  <c r="E368" i="15"/>
  <c r="E367" i="15"/>
  <c r="AO364" i="15"/>
  <c r="AM364" i="15"/>
  <c r="AN364" i="15" s="1"/>
  <c r="AL364" i="15"/>
  <c r="AL401" i="15" s="1"/>
  <c r="AJ364" i="15"/>
  <c r="AK364" i="15" s="1"/>
  <c r="AI364" i="15"/>
  <c r="AG364" i="15"/>
  <c r="AH364" i="15" s="1"/>
  <c r="AF364" i="15"/>
  <c r="AD364" i="15"/>
  <c r="AE364" i="15" s="1"/>
  <c r="AC364" i="15"/>
  <c r="AA364" i="15"/>
  <c r="AB364" i="15" s="1"/>
  <c r="Z364" i="15"/>
  <c r="X364" i="15"/>
  <c r="Y364" i="15" s="1"/>
  <c r="W364" i="15"/>
  <c r="U364" i="15"/>
  <c r="V364" i="15" s="1"/>
  <c r="T364" i="15"/>
  <c r="R364" i="15"/>
  <c r="S364" i="15" s="1"/>
  <c r="Q364" i="15"/>
  <c r="O364" i="15"/>
  <c r="P364" i="15" s="1"/>
  <c r="N364" i="15"/>
  <c r="M364" i="15"/>
  <c r="L364" i="15"/>
  <c r="K364" i="15"/>
  <c r="I364" i="15"/>
  <c r="J364" i="15" s="1"/>
  <c r="H364" i="15"/>
  <c r="F364" i="15"/>
  <c r="G364" i="15" s="1"/>
  <c r="AN362" i="15"/>
  <c r="AK362" i="15"/>
  <c r="AH362" i="15"/>
  <c r="AE362" i="15"/>
  <c r="AB362" i="15"/>
  <c r="Y362" i="15"/>
  <c r="V362" i="15"/>
  <c r="S362" i="15"/>
  <c r="P362" i="15"/>
  <c r="M362" i="15"/>
  <c r="J362" i="15"/>
  <c r="G362" i="15"/>
  <c r="E362" i="15"/>
  <c r="E364" i="15" s="1"/>
  <c r="C362" i="15"/>
  <c r="D362" i="15" s="1"/>
  <c r="AO351" i="15"/>
  <c r="AO353" i="15" s="1"/>
  <c r="AL351" i="15"/>
  <c r="AL353" i="15" s="1"/>
  <c r="AI351" i="15"/>
  <c r="AI353" i="15" s="1"/>
  <c r="AF351" i="15"/>
  <c r="AC351" i="15"/>
  <c r="AC353" i="15" s="1"/>
  <c r="Z351" i="15"/>
  <c r="Z353" i="15" s="1"/>
  <c r="W351" i="15"/>
  <c r="W353" i="15" s="1"/>
  <c r="T351" i="15"/>
  <c r="T353" i="15" s="1"/>
  <c r="Q351" i="15"/>
  <c r="N351" i="15"/>
  <c r="N353" i="15" s="1"/>
  <c r="K351" i="15"/>
  <c r="H351" i="15"/>
  <c r="H353" i="15" s="1"/>
  <c r="E350" i="15"/>
  <c r="E349" i="15"/>
  <c r="E348" i="15"/>
  <c r="E347" i="15"/>
  <c r="E346" i="15"/>
  <c r="E345" i="15"/>
  <c r="E344" i="15"/>
  <c r="E343" i="15"/>
  <c r="E342" i="15"/>
  <c r="E341" i="15"/>
  <c r="E340" i="15"/>
  <c r="E339" i="15"/>
  <c r="E338" i="15"/>
  <c r="E337" i="15"/>
  <c r="E336" i="15"/>
  <c r="E335" i="15"/>
  <c r="E334" i="15"/>
  <c r="E333" i="15"/>
  <c r="E331" i="15"/>
  <c r="E330" i="15"/>
  <c r="E329" i="15"/>
  <c r="E328" i="15"/>
  <c r="E327" i="15"/>
  <c r="E326" i="15"/>
  <c r="E325" i="15"/>
  <c r="E324" i="15"/>
  <c r="E323" i="15"/>
  <c r="E322" i="15"/>
  <c r="E321" i="15"/>
  <c r="E320" i="15"/>
  <c r="AN314" i="15"/>
  <c r="AK314" i="15"/>
  <c r="AH314" i="15"/>
  <c r="AE314" i="15"/>
  <c r="AB314" i="15"/>
  <c r="Y314" i="15"/>
  <c r="V314" i="15"/>
  <c r="S314" i="15"/>
  <c r="P314" i="15"/>
  <c r="M314" i="15"/>
  <c r="J314" i="15"/>
  <c r="G314" i="15"/>
  <c r="E314" i="15"/>
  <c r="C314" i="15"/>
  <c r="D314" i="15" s="1"/>
  <c r="AN313" i="15"/>
  <c r="AK313" i="15"/>
  <c r="AH313" i="15"/>
  <c r="AE313" i="15"/>
  <c r="AB313" i="15"/>
  <c r="Y313" i="15"/>
  <c r="V313" i="15"/>
  <c r="S313" i="15"/>
  <c r="P313" i="15"/>
  <c r="M313" i="15"/>
  <c r="J313" i="15"/>
  <c r="G313" i="15"/>
  <c r="E313" i="15"/>
  <c r="C313" i="15"/>
  <c r="D313" i="15" s="1"/>
  <c r="AN310" i="15"/>
  <c r="AK310" i="15"/>
  <c r="AH310" i="15"/>
  <c r="AE310" i="15"/>
  <c r="AB310" i="15"/>
  <c r="Y310" i="15"/>
  <c r="V310" i="15"/>
  <c r="S310" i="15"/>
  <c r="P310" i="15"/>
  <c r="M310" i="15"/>
  <c r="J310" i="15"/>
  <c r="G310" i="15"/>
  <c r="E310" i="15"/>
  <c r="C310" i="15"/>
  <c r="AN309" i="15"/>
  <c r="AK309" i="15"/>
  <c r="AH309" i="15"/>
  <c r="AE309" i="15"/>
  <c r="AB309" i="15"/>
  <c r="Y309" i="15"/>
  <c r="V309" i="15"/>
  <c r="S309" i="15"/>
  <c r="P309" i="15"/>
  <c r="M309" i="15"/>
  <c r="J309" i="15"/>
  <c r="G309" i="15"/>
  <c r="E309" i="15"/>
  <c r="C309" i="15"/>
  <c r="AO306" i="15"/>
  <c r="AM306" i="15"/>
  <c r="AM311" i="15" s="1"/>
  <c r="AL306" i="15"/>
  <c r="AL311" i="15" s="1"/>
  <c r="AL316" i="15" s="1"/>
  <c r="AJ306" i="15"/>
  <c r="AI306" i="15"/>
  <c r="AI311" i="15" s="1"/>
  <c r="AI316" i="15" s="1"/>
  <c r="AH332" i="15" s="1"/>
  <c r="AG306" i="15"/>
  <c r="AF306" i="15"/>
  <c r="AF311" i="15" s="1"/>
  <c r="AF316" i="15" s="1"/>
  <c r="AE332" i="15" s="1"/>
  <c r="AD306" i="15"/>
  <c r="AC306" i="15"/>
  <c r="AC311" i="15" s="1"/>
  <c r="AC316" i="15" s="1"/>
  <c r="AA306" i="15"/>
  <c r="Z306" i="15"/>
  <c r="Z311" i="15" s="1"/>
  <c r="Z316" i="15" s="1"/>
  <c r="Y332" i="15" s="1"/>
  <c r="X306" i="15"/>
  <c r="W306" i="15"/>
  <c r="W311" i="15" s="1"/>
  <c r="W316" i="15" s="1"/>
  <c r="V332" i="15" s="1"/>
  <c r="U306" i="15"/>
  <c r="T306" i="15"/>
  <c r="T311" i="15" s="1"/>
  <c r="R306" i="15"/>
  <c r="R311" i="15" s="1"/>
  <c r="R316" i="15" s="1"/>
  <c r="Q306" i="15"/>
  <c r="Q311" i="15" s="1"/>
  <c r="Q316" i="15" s="1"/>
  <c r="P332" i="15" s="1"/>
  <c r="O306" i="15"/>
  <c r="O311" i="15" s="1"/>
  <c r="O316" i="15" s="1"/>
  <c r="N306" i="15"/>
  <c r="L306" i="15"/>
  <c r="L311" i="15" s="1"/>
  <c r="L316" i="15" s="1"/>
  <c r="K306" i="15"/>
  <c r="K311" i="15" s="1"/>
  <c r="K316" i="15" s="1"/>
  <c r="I306" i="15"/>
  <c r="I311" i="15" s="1"/>
  <c r="I316" i="15" s="1"/>
  <c r="H306" i="15"/>
  <c r="H311" i="15" s="1"/>
  <c r="H316" i="15" s="1"/>
  <c r="F306" i="15"/>
  <c r="AN305" i="15"/>
  <c r="AK305" i="15"/>
  <c r="AH305" i="15"/>
  <c r="AE305" i="15"/>
  <c r="AB305" i="15"/>
  <c r="Y305" i="15"/>
  <c r="V305" i="15"/>
  <c r="S305" i="15"/>
  <c r="P305" i="15"/>
  <c r="M305" i="15"/>
  <c r="J305" i="15"/>
  <c r="G305" i="15"/>
  <c r="E305" i="15"/>
  <c r="C305" i="15"/>
  <c r="D305" i="15" s="1"/>
  <c r="AN304" i="15"/>
  <c r="AK304" i="15"/>
  <c r="AH304" i="15"/>
  <c r="AE304" i="15"/>
  <c r="AB304" i="15"/>
  <c r="Y304" i="15"/>
  <c r="V304" i="15"/>
  <c r="S304" i="15"/>
  <c r="P304" i="15"/>
  <c r="M304" i="15"/>
  <c r="J304" i="15"/>
  <c r="G304" i="15"/>
  <c r="E304" i="15"/>
  <c r="C304" i="15"/>
  <c r="D304" i="15" s="1"/>
  <c r="AN303" i="15"/>
  <c r="AK303" i="15"/>
  <c r="AH303" i="15"/>
  <c r="AE303" i="15"/>
  <c r="AB303" i="15"/>
  <c r="Y303" i="15"/>
  <c r="V303" i="15"/>
  <c r="S303" i="15"/>
  <c r="P303" i="15"/>
  <c r="M303" i="15"/>
  <c r="J303" i="15"/>
  <c r="G303" i="15"/>
  <c r="E303" i="15"/>
  <c r="C303" i="15"/>
  <c r="D303" i="15" s="1"/>
  <c r="AN302" i="15"/>
  <c r="AK302" i="15"/>
  <c r="AH302" i="15"/>
  <c r="AE302" i="15"/>
  <c r="AB302" i="15"/>
  <c r="Y302" i="15"/>
  <c r="V302" i="15"/>
  <c r="S302" i="15"/>
  <c r="P302" i="15"/>
  <c r="M302" i="15"/>
  <c r="J302" i="15"/>
  <c r="G302" i="15"/>
  <c r="E302" i="15"/>
  <c r="C302" i="15"/>
  <c r="AN301" i="15"/>
  <c r="AK301" i="15"/>
  <c r="AH301" i="15"/>
  <c r="AE301" i="15"/>
  <c r="AB301" i="15"/>
  <c r="Y301" i="15"/>
  <c r="V301" i="15"/>
  <c r="S301" i="15"/>
  <c r="P301" i="15"/>
  <c r="M301" i="15"/>
  <c r="J301" i="15"/>
  <c r="G301" i="15"/>
  <c r="E301" i="15"/>
  <c r="C301" i="15"/>
  <c r="AN300" i="15"/>
  <c r="AK300" i="15"/>
  <c r="AH300" i="15"/>
  <c r="AE300" i="15"/>
  <c r="AB300" i="15"/>
  <c r="Y300" i="15"/>
  <c r="V300" i="15"/>
  <c r="S300" i="15"/>
  <c r="P300" i="15"/>
  <c r="M300" i="15"/>
  <c r="J300" i="15"/>
  <c r="G300" i="15"/>
  <c r="E300" i="15"/>
  <c r="C300" i="15"/>
  <c r="AN299" i="15"/>
  <c r="AK299" i="15"/>
  <c r="AH299" i="15"/>
  <c r="AE299" i="15"/>
  <c r="AB299" i="15"/>
  <c r="Y299" i="15"/>
  <c r="V299" i="15"/>
  <c r="S299" i="15"/>
  <c r="P299" i="15"/>
  <c r="M299" i="15"/>
  <c r="J299" i="15"/>
  <c r="G299" i="15"/>
  <c r="E299" i="15"/>
  <c r="C299" i="15"/>
  <c r="AN298" i="15"/>
  <c r="AK298" i="15"/>
  <c r="AH298" i="15"/>
  <c r="AE298" i="15"/>
  <c r="AB298" i="15"/>
  <c r="Y298" i="15"/>
  <c r="V298" i="15"/>
  <c r="S298" i="15"/>
  <c r="P298" i="15"/>
  <c r="M298" i="15"/>
  <c r="J298" i="15"/>
  <c r="G298" i="15"/>
  <c r="E298" i="15"/>
  <c r="C298" i="15"/>
  <c r="AN297" i="15"/>
  <c r="AK297" i="15"/>
  <c r="AH297" i="15"/>
  <c r="AE297" i="15"/>
  <c r="AB297" i="15"/>
  <c r="Y297" i="15"/>
  <c r="V297" i="15"/>
  <c r="S297" i="15"/>
  <c r="P297" i="15"/>
  <c r="M297" i="15"/>
  <c r="J297" i="15"/>
  <c r="G297" i="15"/>
  <c r="E297" i="15"/>
  <c r="C297" i="15"/>
  <c r="AO287" i="15"/>
  <c r="AN287" i="15" s="1"/>
  <c r="AL287" i="15"/>
  <c r="AK287" i="15" s="1"/>
  <c r="AI287" i="15"/>
  <c r="AF287" i="15"/>
  <c r="AE287" i="15" s="1"/>
  <c r="AC287" i="15"/>
  <c r="AB287" i="15" s="1"/>
  <c r="Z287" i="15"/>
  <c r="Y287" i="15" s="1"/>
  <c r="W287" i="15"/>
  <c r="V287" i="15" s="1"/>
  <c r="T287" i="15"/>
  <c r="S287" i="15" s="1"/>
  <c r="Q287" i="15"/>
  <c r="P287" i="15" s="1"/>
  <c r="N287" i="15"/>
  <c r="M287" i="15" s="1"/>
  <c r="K287" i="15"/>
  <c r="J287" i="15" s="1"/>
  <c r="H287" i="15"/>
  <c r="G287" i="15" s="1"/>
  <c r="E286" i="15"/>
  <c r="E285" i="15"/>
  <c r="E284" i="15"/>
  <c r="E283" i="15"/>
  <c r="E282" i="15"/>
  <c r="E281" i="15"/>
  <c r="E280" i="15"/>
  <c r="E279" i="15"/>
  <c r="E278" i="15"/>
  <c r="E277" i="15"/>
  <c r="E276" i="15"/>
  <c r="E275" i="15"/>
  <c r="E274" i="15"/>
  <c r="E273" i="15"/>
  <c r="E272" i="15"/>
  <c r="E271" i="15"/>
  <c r="E270" i="15"/>
  <c r="E269" i="15"/>
  <c r="AO268" i="15"/>
  <c r="AN268" i="15" s="1"/>
  <c r="AL268" i="15"/>
  <c r="AI268" i="15"/>
  <c r="AH268" i="15" s="1"/>
  <c r="AF268" i="15"/>
  <c r="AC268" i="15"/>
  <c r="Z268" i="15"/>
  <c r="Z289" i="15" s="1"/>
  <c r="Y289" i="15" s="1"/>
  <c r="W268" i="15"/>
  <c r="V268" i="15" s="1"/>
  <c r="T268" i="15"/>
  <c r="Q268" i="15"/>
  <c r="P268" i="15" s="1"/>
  <c r="N268" i="15"/>
  <c r="K268" i="15"/>
  <c r="H268" i="15"/>
  <c r="E267" i="15"/>
  <c r="E266" i="15"/>
  <c r="E265" i="15"/>
  <c r="E264" i="15"/>
  <c r="E263" i="15"/>
  <c r="E262" i="15"/>
  <c r="E261" i="15"/>
  <c r="E260" i="15"/>
  <c r="E259" i="15"/>
  <c r="E258" i="15"/>
  <c r="E257" i="15"/>
  <c r="E256" i="15"/>
  <c r="AO252" i="15"/>
  <c r="AN252" i="15"/>
  <c r="AL252" i="15"/>
  <c r="AK252" i="15"/>
  <c r="AI252" i="15"/>
  <c r="AH252" i="15"/>
  <c r="AF252" i="15"/>
  <c r="AE252" i="15"/>
  <c r="AC252" i="15"/>
  <c r="AB252" i="15"/>
  <c r="Z252" i="15"/>
  <c r="Y252" i="15"/>
  <c r="W252" i="15"/>
  <c r="V252" i="15"/>
  <c r="T252" i="15"/>
  <c r="S252" i="15"/>
  <c r="Q252" i="15"/>
  <c r="P252" i="15"/>
  <c r="N252" i="15"/>
  <c r="M252" i="15"/>
  <c r="K252" i="15"/>
  <c r="J252" i="15"/>
  <c r="H252" i="15"/>
  <c r="G252" i="15"/>
  <c r="AO250" i="15"/>
  <c r="AL250" i="15"/>
  <c r="AI250" i="15"/>
  <c r="AF250" i="15"/>
  <c r="AC250" i="15"/>
  <c r="Z250" i="15"/>
  <c r="W250" i="15"/>
  <c r="T250" i="15"/>
  <c r="Q250" i="15"/>
  <c r="N250" i="15"/>
  <c r="K250" i="15"/>
  <c r="H250" i="15"/>
  <c r="E249" i="15"/>
  <c r="D249" i="15"/>
  <c r="C249" i="15"/>
  <c r="AO247" i="15"/>
  <c r="AL247" i="15"/>
  <c r="AI247" i="15"/>
  <c r="AF247" i="15"/>
  <c r="AC247" i="15"/>
  <c r="Z247" i="15"/>
  <c r="W247" i="15"/>
  <c r="T247" i="15"/>
  <c r="Q247" i="15"/>
  <c r="N247" i="15"/>
  <c r="K247" i="15"/>
  <c r="H247" i="15"/>
  <c r="E246" i="15"/>
  <c r="D246" i="15"/>
  <c r="C246" i="15"/>
  <c r="AO244" i="15"/>
  <c r="AL244" i="15"/>
  <c r="AI244" i="15"/>
  <c r="AF244" i="15"/>
  <c r="AC244" i="15"/>
  <c r="Z244" i="15"/>
  <c r="W244" i="15"/>
  <c r="T244" i="15"/>
  <c r="Q244" i="15"/>
  <c r="N244" i="15"/>
  <c r="K244" i="15"/>
  <c r="H244" i="15"/>
  <c r="E243" i="15"/>
  <c r="D243" i="15"/>
  <c r="C243" i="15"/>
  <c r="AO231" i="15"/>
  <c r="AL231" i="15"/>
  <c r="AI231" i="15"/>
  <c r="AF231" i="15"/>
  <c r="AC231" i="15"/>
  <c r="Z231" i="15"/>
  <c r="W231" i="15"/>
  <c r="T231" i="15"/>
  <c r="Q231" i="15"/>
  <c r="N231" i="15"/>
  <c r="K231" i="15"/>
  <c r="H231" i="15"/>
  <c r="E230" i="15"/>
  <c r="E229" i="15"/>
  <c r="E228" i="15"/>
  <c r="E227" i="15"/>
  <c r="E226" i="15"/>
  <c r="E225" i="15"/>
  <c r="E224" i="15"/>
  <c r="E223" i="15"/>
  <c r="E222" i="15"/>
  <c r="E221" i="15"/>
  <c r="E220" i="15"/>
  <c r="E219" i="15"/>
  <c r="E218" i="15"/>
  <c r="E217" i="15"/>
  <c r="E216" i="15"/>
  <c r="E215" i="15"/>
  <c r="E214" i="15"/>
  <c r="E213" i="15"/>
  <c r="AO212" i="15"/>
  <c r="AL212" i="15"/>
  <c r="AI212" i="15"/>
  <c r="AF212" i="15"/>
  <c r="AC212" i="15"/>
  <c r="Z212" i="15"/>
  <c r="W212" i="15"/>
  <c r="T212" i="15"/>
  <c r="Q212" i="15"/>
  <c r="N212" i="15"/>
  <c r="K212" i="15"/>
  <c r="K233" i="15" s="1"/>
  <c r="H212" i="15"/>
  <c r="E211" i="15"/>
  <c r="E210" i="15"/>
  <c r="E209" i="15"/>
  <c r="E208" i="15"/>
  <c r="E207" i="15"/>
  <c r="E206" i="15"/>
  <c r="E205" i="15"/>
  <c r="E204" i="15"/>
  <c r="E203" i="15"/>
  <c r="E202" i="15"/>
  <c r="E201" i="15"/>
  <c r="E200" i="15"/>
  <c r="AO194" i="15"/>
  <c r="AL194" i="15"/>
  <c r="AI194" i="15"/>
  <c r="AF194" i="15"/>
  <c r="AC194" i="15"/>
  <c r="Z194" i="15"/>
  <c r="W194" i="15"/>
  <c r="T194" i="15"/>
  <c r="Q194" i="15"/>
  <c r="N194" i="15"/>
  <c r="K194" i="15"/>
  <c r="H194" i="15"/>
  <c r="E193" i="15"/>
  <c r="E194" i="15" s="1"/>
  <c r="D193" i="15"/>
  <c r="C193" i="15"/>
  <c r="AO191" i="15"/>
  <c r="AL191" i="15"/>
  <c r="AI191" i="15"/>
  <c r="AF191" i="15"/>
  <c r="AC191" i="15"/>
  <c r="Z191" i="15"/>
  <c r="W191" i="15"/>
  <c r="T191" i="15"/>
  <c r="Q191" i="15"/>
  <c r="N191" i="15"/>
  <c r="K191" i="15"/>
  <c r="H191" i="15"/>
  <c r="E190" i="15"/>
  <c r="D190" i="15"/>
  <c r="C190" i="15"/>
  <c r="AO187" i="15"/>
  <c r="AN187" i="15"/>
  <c r="AM187" i="15"/>
  <c r="AL187" i="15"/>
  <c r="AK187" i="15"/>
  <c r="AK196" i="15" s="1"/>
  <c r="AJ187" i="15"/>
  <c r="AI187" i="15"/>
  <c r="AH187" i="15"/>
  <c r="AH196" i="15" s="1"/>
  <c r="AG187" i="15"/>
  <c r="AF187" i="15"/>
  <c r="AF196" i="15" s="1"/>
  <c r="AE187" i="15"/>
  <c r="AE196" i="15" s="1"/>
  <c r="AD187" i="15"/>
  <c r="AC187" i="15"/>
  <c r="AC196" i="15" s="1"/>
  <c r="AB187" i="15"/>
  <c r="AA187" i="15"/>
  <c r="Z187" i="15"/>
  <c r="Y187" i="15"/>
  <c r="Y196" i="15" s="1"/>
  <c r="X187" i="15"/>
  <c r="W187" i="15"/>
  <c r="W196" i="15" s="1"/>
  <c r="V187" i="15"/>
  <c r="U187" i="15"/>
  <c r="T187" i="15"/>
  <c r="S187" i="15"/>
  <c r="S196" i="15" s="1"/>
  <c r="R187" i="15"/>
  <c r="Q187" i="15"/>
  <c r="Q196" i="15" s="1"/>
  <c r="P187" i="15"/>
  <c r="O187" i="15"/>
  <c r="N187" i="15"/>
  <c r="M187" i="15"/>
  <c r="M196" i="15" s="1"/>
  <c r="L187" i="15"/>
  <c r="K187" i="15"/>
  <c r="K196" i="15" s="1"/>
  <c r="J187" i="15"/>
  <c r="J196" i="15" s="1"/>
  <c r="I187" i="15"/>
  <c r="H187" i="15"/>
  <c r="G187" i="15"/>
  <c r="G196" i="15" s="1"/>
  <c r="F187" i="15"/>
  <c r="E186" i="15"/>
  <c r="AN185" i="15"/>
  <c r="AK185" i="15"/>
  <c r="AH185" i="15"/>
  <c r="AE185" i="15"/>
  <c r="AB185" i="15"/>
  <c r="Y185" i="15"/>
  <c r="V185" i="15"/>
  <c r="S185" i="15"/>
  <c r="P185" i="15"/>
  <c r="M185" i="15"/>
  <c r="J185" i="15"/>
  <c r="G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E183" i="15"/>
  <c r="D183" i="15"/>
  <c r="C183" i="15"/>
  <c r="AN182" i="15"/>
  <c r="AK182" i="15"/>
  <c r="AH182" i="15"/>
  <c r="AE182" i="15"/>
  <c r="AB182" i="15"/>
  <c r="Y182" i="15"/>
  <c r="V182" i="15"/>
  <c r="S182" i="15"/>
  <c r="P182" i="15"/>
  <c r="M182" i="15"/>
  <c r="J182" i="15"/>
  <c r="G182" i="15"/>
  <c r="AO181" i="15"/>
  <c r="AL181" i="15"/>
  <c r="AI181" i="15"/>
  <c r="AF181" i="15"/>
  <c r="AC181" i="15"/>
  <c r="Z181" i="15"/>
  <c r="W181" i="15"/>
  <c r="T181" i="15"/>
  <c r="Q181" i="15"/>
  <c r="N181" i="15"/>
  <c r="K181" i="15"/>
  <c r="H181" i="15"/>
  <c r="E180" i="15"/>
  <c r="D180" i="15"/>
  <c r="C180" i="15"/>
  <c r="AN179" i="15"/>
  <c r="AK179" i="15"/>
  <c r="AH179" i="15"/>
  <c r="AE179" i="15"/>
  <c r="AB179" i="15"/>
  <c r="Y179" i="15"/>
  <c r="V179" i="15"/>
  <c r="S179" i="15"/>
  <c r="P179" i="15"/>
  <c r="M179" i="15"/>
  <c r="J179" i="15"/>
  <c r="G179" i="15"/>
  <c r="AO178" i="15"/>
  <c r="AL178" i="15"/>
  <c r="AI178" i="15"/>
  <c r="AF178" i="15"/>
  <c r="AC178" i="15"/>
  <c r="Z178" i="15"/>
  <c r="W178" i="15"/>
  <c r="T178" i="15"/>
  <c r="Q178" i="15"/>
  <c r="N178" i="15"/>
  <c r="K178" i="15"/>
  <c r="H178" i="15"/>
  <c r="E177" i="15"/>
  <c r="D177" i="15"/>
  <c r="C177" i="15"/>
  <c r="AN176" i="15"/>
  <c r="AK176" i="15"/>
  <c r="AH176" i="15"/>
  <c r="AE176" i="15"/>
  <c r="AB176" i="15"/>
  <c r="Y176" i="15"/>
  <c r="V176" i="15"/>
  <c r="S176" i="15"/>
  <c r="P176" i="15"/>
  <c r="M176" i="15"/>
  <c r="J176" i="15"/>
  <c r="G176" i="15"/>
  <c r="AO175" i="15"/>
  <c r="AL175" i="15"/>
  <c r="AI175" i="15"/>
  <c r="AF175" i="15"/>
  <c r="AC175" i="15"/>
  <c r="Z175" i="15"/>
  <c r="W175" i="15"/>
  <c r="T175" i="15"/>
  <c r="Q175" i="15"/>
  <c r="N175" i="15"/>
  <c r="K175" i="15"/>
  <c r="H175" i="15"/>
  <c r="E174" i="15"/>
  <c r="D174" i="15"/>
  <c r="C174" i="15"/>
  <c r="AO165" i="15"/>
  <c r="AL165" i="15"/>
  <c r="AI165" i="15"/>
  <c r="AF165" i="15"/>
  <c r="AC165" i="15"/>
  <c r="Z165" i="15"/>
  <c r="W165" i="15"/>
  <c r="T165" i="15"/>
  <c r="Q165" i="15"/>
  <c r="N165" i="15"/>
  <c r="K165" i="15"/>
  <c r="H165" i="15"/>
  <c r="E164" i="15"/>
  <c r="E163" i="15"/>
  <c r="E162" i="15"/>
  <c r="E161" i="15"/>
  <c r="E160" i="15"/>
  <c r="E159" i="15"/>
  <c r="E158" i="15"/>
  <c r="AO155" i="15"/>
  <c r="AL155" i="15"/>
  <c r="AI155" i="15"/>
  <c r="AF155" i="15"/>
  <c r="AC155" i="15"/>
  <c r="Z155" i="15"/>
  <c r="W155" i="15"/>
  <c r="T155" i="15"/>
  <c r="Q155" i="15"/>
  <c r="N155" i="15"/>
  <c r="K155" i="15"/>
  <c r="H155" i="15"/>
  <c r="E154" i="15"/>
  <c r="E153" i="15"/>
  <c r="E152" i="15"/>
  <c r="E151" i="15"/>
  <c r="E150" i="15"/>
  <c r="E149" i="15"/>
  <c r="E148" i="15"/>
  <c r="E147" i="15"/>
  <c r="E146" i="15"/>
  <c r="E145" i="15"/>
  <c r="E144" i="15"/>
  <c r="E143" i="15"/>
  <c r="E142" i="15"/>
  <c r="E141" i="15"/>
  <c r="E140" i="15"/>
  <c r="E139" i="15"/>
  <c r="E138" i="15"/>
  <c r="AO137" i="15"/>
  <c r="AL137" i="15"/>
  <c r="AI137" i="15"/>
  <c r="AF137" i="15"/>
  <c r="AC137" i="15"/>
  <c r="Z137" i="15"/>
  <c r="W137" i="15"/>
  <c r="T137" i="15"/>
  <c r="Q137" i="15"/>
  <c r="N137" i="15"/>
  <c r="K137" i="15"/>
  <c r="H137" i="15"/>
  <c r="E136" i="15"/>
  <c r="E135" i="15"/>
  <c r="E134" i="15"/>
  <c r="E133" i="15"/>
  <c r="E132" i="15"/>
  <c r="E131" i="15"/>
  <c r="E130" i="15"/>
  <c r="E129" i="15"/>
  <c r="E128" i="15"/>
  <c r="E127" i="15"/>
  <c r="E126" i="15"/>
  <c r="E125" i="15"/>
  <c r="AO124" i="15"/>
  <c r="AL124" i="15"/>
  <c r="AI124" i="15"/>
  <c r="AF124" i="15"/>
  <c r="AC124" i="15"/>
  <c r="AC157" i="15" s="1"/>
  <c r="Z124" i="15"/>
  <c r="W124" i="15"/>
  <c r="T124" i="15"/>
  <c r="Q124" i="15"/>
  <c r="N124" i="15"/>
  <c r="K124" i="15"/>
  <c r="H124" i="15"/>
  <c r="E123" i="15"/>
  <c r="E122" i="15"/>
  <c r="E121" i="15"/>
  <c r="E120" i="15"/>
  <c r="E119" i="15"/>
  <c r="E118" i="15"/>
  <c r="E117" i="15"/>
  <c r="E116" i="15"/>
  <c r="E115" i="15"/>
  <c r="E114" i="15"/>
  <c r="AO107" i="15"/>
  <c r="AM115" i="15" s="1"/>
  <c r="AL107" i="15"/>
  <c r="AJ115" i="15" s="1"/>
  <c r="AI107" i="15"/>
  <c r="AG115" i="15" s="1"/>
  <c r="AF107" i="15"/>
  <c r="AD115" i="15" s="1"/>
  <c r="AC107" i="15"/>
  <c r="AA115" i="15" s="1"/>
  <c r="Z107" i="15"/>
  <c r="X115" i="15" s="1"/>
  <c r="W107" i="15"/>
  <c r="U115" i="15" s="1"/>
  <c r="T107" i="15"/>
  <c r="R115" i="15" s="1"/>
  <c r="Q107" i="15"/>
  <c r="N107" i="15"/>
  <c r="L115" i="15" s="1"/>
  <c r="K107" i="15"/>
  <c r="I115" i="15" s="1"/>
  <c r="H107" i="15"/>
  <c r="F115" i="15" s="1"/>
  <c r="E106" i="15"/>
  <c r="E105" i="15"/>
  <c r="E104" i="15"/>
  <c r="AN102" i="15"/>
  <c r="AK102" i="15"/>
  <c r="AH102" i="15"/>
  <c r="AE102" i="15"/>
  <c r="AB102" i="15"/>
  <c r="Y102" i="15"/>
  <c r="V102" i="15"/>
  <c r="S102" i="15"/>
  <c r="P102" i="15"/>
  <c r="M102" i="15"/>
  <c r="J102" i="15"/>
  <c r="G102" i="15"/>
  <c r="E102" i="15"/>
  <c r="C102" i="15"/>
  <c r="AO99" i="15"/>
  <c r="AM114" i="15" s="1"/>
  <c r="AM99" i="15"/>
  <c r="AN119" i="15" s="1"/>
  <c r="AL99" i="15"/>
  <c r="AJ99" i="15"/>
  <c r="AK120" i="15" s="1"/>
  <c r="AI99" i="15"/>
  <c r="AG114" i="15" s="1"/>
  <c r="AG99" i="15"/>
  <c r="AH122" i="15" s="1"/>
  <c r="AF99" i="15"/>
  <c r="AD114" i="15" s="1"/>
  <c r="AD99" i="15"/>
  <c r="AE115" i="15" s="1"/>
  <c r="AC99" i="15"/>
  <c r="AA114" i="15" s="1"/>
  <c r="AA99" i="15"/>
  <c r="Z99" i="15"/>
  <c r="X99" i="15"/>
  <c r="Y120" i="15" s="1"/>
  <c r="W99" i="15"/>
  <c r="U99" i="15"/>
  <c r="V116" i="15" s="1"/>
  <c r="T99" i="15"/>
  <c r="R114" i="15" s="1"/>
  <c r="R99" i="15"/>
  <c r="S120" i="15" s="1"/>
  <c r="Q99" i="15"/>
  <c r="O114" i="15" s="1"/>
  <c r="O99" i="15"/>
  <c r="O107" i="15" s="1"/>
  <c r="N99" i="15"/>
  <c r="N110" i="15" s="1"/>
  <c r="L99" i="15"/>
  <c r="M115" i="15" s="1"/>
  <c r="K99" i="15"/>
  <c r="K110" i="15" s="1"/>
  <c r="I99" i="15"/>
  <c r="J122" i="15" s="1"/>
  <c r="H99" i="15"/>
  <c r="F114" i="15" s="1"/>
  <c r="F99" i="15"/>
  <c r="G122" i="15" s="1"/>
  <c r="AN98" i="15"/>
  <c r="AK98" i="15"/>
  <c r="AH98" i="15"/>
  <c r="AE98" i="15"/>
  <c r="AB98" i="15"/>
  <c r="Y98" i="15"/>
  <c r="V98" i="15"/>
  <c r="S98" i="15"/>
  <c r="P98" i="15"/>
  <c r="M98" i="15"/>
  <c r="J98" i="15"/>
  <c r="G98" i="15"/>
  <c r="E98" i="15"/>
  <c r="C98" i="15"/>
  <c r="AN97" i="15"/>
  <c r="AK97" i="15"/>
  <c r="AH97" i="15"/>
  <c r="AE97" i="15"/>
  <c r="AB97" i="15"/>
  <c r="Y97" i="15"/>
  <c r="V97" i="15"/>
  <c r="S97" i="15"/>
  <c r="P97" i="15"/>
  <c r="M97" i="15"/>
  <c r="J97" i="15"/>
  <c r="G97" i="15"/>
  <c r="E97" i="15"/>
  <c r="C97" i="15"/>
  <c r="E96" i="15"/>
  <c r="AO86" i="15"/>
  <c r="AL86" i="15"/>
  <c r="AI86" i="15"/>
  <c r="AF86" i="15"/>
  <c r="AC86" i="15"/>
  <c r="Z86" i="15"/>
  <c r="W86" i="15"/>
  <c r="T86" i="15"/>
  <c r="Q86" i="15"/>
  <c r="N86" i="15"/>
  <c r="K86" i="15"/>
  <c r="H86" i="15"/>
  <c r="E85" i="15"/>
  <c r="E84" i="15"/>
  <c r="E83" i="15"/>
  <c r="E82" i="15"/>
  <c r="E81" i="15"/>
  <c r="E80" i="15"/>
  <c r="E79" i="15"/>
  <c r="E78" i="15"/>
  <c r="AO75" i="15"/>
  <c r="AL75" i="15"/>
  <c r="AI75" i="15"/>
  <c r="AF75" i="15"/>
  <c r="AC75" i="15"/>
  <c r="Z75" i="15"/>
  <c r="W75" i="15"/>
  <c r="T75" i="15"/>
  <c r="Q75" i="15"/>
  <c r="N75" i="15"/>
  <c r="K75" i="15"/>
  <c r="H75" i="15"/>
  <c r="E74" i="15"/>
  <c r="E73" i="15"/>
  <c r="E72" i="15"/>
  <c r="E71" i="15"/>
  <c r="E70" i="15"/>
  <c r="E69" i="15"/>
  <c r="E68" i="15"/>
  <c r="E67" i="15"/>
  <c r="E66" i="15"/>
  <c r="E65" i="15"/>
  <c r="E64" i="15"/>
  <c r="E63" i="15"/>
  <c r="E62" i="15"/>
  <c r="E61" i="15"/>
  <c r="E60" i="15"/>
  <c r="E59" i="15"/>
  <c r="E58" i="15"/>
  <c r="AO57" i="15"/>
  <c r="AL57" i="15"/>
  <c r="AI57" i="15"/>
  <c r="AF57" i="15"/>
  <c r="AC57" i="15"/>
  <c r="Z57" i="15"/>
  <c r="W57" i="15"/>
  <c r="T57" i="15"/>
  <c r="Q57" i="15"/>
  <c r="N57" i="15"/>
  <c r="K57" i="15"/>
  <c r="H57" i="15"/>
  <c r="E56" i="15"/>
  <c r="E55" i="15"/>
  <c r="E54" i="15"/>
  <c r="E53" i="15"/>
  <c r="E52" i="15"/>
  <c r="E51" i="15"/>
  <c r="E50" i="15"/>
  <c r="E49" i="15"/>
  <c r="E48" i="15"/>
  <c r="E47" i="15"/>
  <c r="E46" i="15"/>
  <c r="E45" i="15"/>
  <c r="AO44" i="15"/>
  <c r="AL44" i="15"/>
  <c r="AI44" i="15"/>
  <c r="AF44" i="15"/>
  <c r="AC44" i="15"/>
  <c r="Z44" i="15"/>
  <c r="W44" i="15"/>
  <c r="T44" i="15"/>
  <c r="Q44" i="15"/>
  <c r="N44" i="15"/>
  <c r="K44" i="15"/>
  <c r="H44" i="15"/>
  <c r="H77" i="15" s="1"/>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E40" i="15"/>
  <c r="E39" i="15"/>
  <c r="E38" i="15"/>
  <c r="E37" i="15"/>
  <c r="E36" i="15"/>
  <c r="E35" i="15"/>
  <c r="E34"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E26" i="15"/>
  <c r="E25" i="15"/>
  <c r="E24" i="15"/>
  <c r="E22" i="15"/>
  <c r="AN20" i="15"/>
  <c r="AK20" i="15"/>
  <c r="AH20" i="15"/>
  <c r="AE20" i="15"/>
  <c r="AB20" i="15"/>
  <c r="Y20" i="15"/>
  <c r="V20" i="15"/>
  <c r="S20" i="15"/>
  <c r="P20" i="15"/>
  <c r="M20" i="15"/>
  <c r="J20" i="15"/>
  <c r="G20" i="15"/>
  <c r="E20" i="15"/>
  <c r="C20" i="15"/>
  <c r="AN18" i="15"/>
  <c r="AK18" i="15"/>
  <c r="AH18" i="15"/>
  <c r="AE18" i="15"/>
  <c r="AB18" i="15"/>
  <c r="Y18" i="15"/>
  <c r="V18" i="15"/>
  <c r="S18" i="15"/>
  <c r="P18" i="15"/>
  <c r="M18" i="15"/>
  <c r="J18" i="15"/>
  <c r="G18" i="15"/>
  <c r="E18" i="15"/>
  <c r="C18" i="15"/>
  <c r="AO16" i="15"/>
  <c r="AM16" i="15"/>
  <c r="AN25" i="15" s="1"/>
  <c r="AL16" i="15"/>
  <c r="AJ16" i="15"/>
  <c r="AJ30" i="15" s="1"/>
  <c r="AI16" i="15"/>
  <c r="AG34" i="15" s="1"/>
  <c r="AG16" i="15"/>
  <c r="AH26" i="15" s="1"/>
  <c r="AF16" i="15"/>
  <c r="AD16" i="15"/>
  <c r="AE26" i="15" s="1"/>
  <c r="AC16" i="15"/>
  <c r="AA34" i="15" s="1"/>
  <c r="AA16" i="15"/>
  <c r="Z16" i="15"/>
  <c r="X16" i="15"/>
  <c r="Y25" i="15" s="1"/>
  <c r="W16" i="15"/>
  <c r="U16" i="15"/>
  <c r="U27" i="15" s="1"/>
  <c r="V37" i="15" s="1"/>
  <c r="T16" i="15"/>
  <c r="R34" i="15" s="1"/>
  <c r="R16" i="15"/>
  <c r="S24" i="15" s="1"/>
  <c r="Q16" i="15"/>
  <c r="O34" i="15" s="1"/>
  <c r="O16" i="15"/>
  <c r="P25" i="15" s="1"/>
  <c r="N16" i="15"/>
  <c r="L16" i="15"/>
  <c r="M26" i="15" s="1"/>
  <c r="K16" i="15"/>
  <c r="I34" i="15" s="1"/>
  <c r="I16" i="15"/>
  <c r="J26" i="15" s="1"/>
  <c r="H16" i="15"/>
  <c r="F16" i="15"/>
  <c r="G26" i="15" s="1"/>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N10" i="15"/>
  <c r="AK10" i="15"/>
  <c r="AH10" i="15"/>
  <c r="AE10" i="15"/>
  <c r="AB10" i="15"/>
  <c r="Y10" i="15"/>
  <c r="V10" i="15"/>
  <c r="S10" i="15"/>
  <c r="P10" i="15"/>
  <c r="M10" i="15"/>
  <c r="J10" i="15"/>
  <c r="G10" i="15"/>
  <c r="E10" i="15"/>
  <c r="C10" i="15"/>
  <c r="AN9" i="15"/>
  <c r="AK9" i="15"/>
  <c r="AH9" i="15"/>
  <c r="AE9" i="15"/>
  <c r="AB9" i="15"/>
  <c r="Y9" i="15"/>
  <c r="V9" i="15"/>
  <c r="S9" i="15"/>
  <c r="P9" i="15"/>
  <c r="M9" i="15"/>
  <c r="J9" i="15"/>
  <c r="G9" i="15"/>
  <c r="E9" i="15"/>
  <c r="C9" i="15"/>
  <c r="E8" i="15"/>
  <c r="E297" i="16"/>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B1" i="15"/>
  <c r="E497" i="16"/>
  <c r="E495" i="16"/>
  <c r="E494" i="16"/>
  <c r="E493" i="16"/>
  <c r="Q484" i="16"/>
  <c r="E482" i="16"/>
  <c r="E481" i="16"/>
  <c r="E480" i="16"/>
  <c r="E479" i="16"/>
  <c r="E478" i="16"/>
  <c r="E476" i="16"/>
  <c r="E474" i="16"/>
  <c r="E473" i="16"/>
  <c r="E472" i="16"/>
  <c r="AI483" i="16"/>
  <c r="AC483" i="16"/>
  <c r="Z483" i="16"/>
  <c r="W483" i="16"/>
  <c r="T483" i="16"/>
  <c r="AF469" i="16"/>
  <c r="E467" i="16"/>
  <c r="E466" i="16"/>
  <c r="E465" i="16"/>
  <c r="Z469" i="16"/>
  <c r="T469" i="16"/>
  <c r="E464" i="16"/>
  <c r="AL484" i="16"/>
  <c r="AI484" i="16"/>
  <c r="AF484" i="16"/>
  <c r="AC484" i="16"/>
  <c r="N484" i="16"/>
  <c r="K484" i="16"/>
  <c r="H484" i="16"/>
  <c r="E463" i="16"/>
  <c r="E461" i="16"/>
  <c r="AO484" i="16"/>
  <c r="E459" i="16"/>
  <c r="AF468" i="16"/>
  <c r="E458" i="16"/>
  <c r="E457" i="16"/>
  <c r="E456" i="16"/>
  <c r="AO468" i="16"/>
  <c r="AL468" i="16"/>
  <c r="AI468" i="16"/>
  <c r="W468" i="16"/>
  <c r="Q468" i="16"/>
  <c r="N468" i="16"/>
  <c r="K468" i="16"/>
  <c r="E455" i="16"/>
  <c r="E450" i="16"/>
  <c r="E449" i="16"/>
  <c r="E448" i="16"/>
  <c r="E446" i="16"/>
  <c r="E444" i="16"/>
  <c r="E443" i="16"/>
  <c r="AO469" i="16"/>
  <c r="E442" i="16"/>
  <c r="Q469" i="16"/>
  <c r="E441" i="16"/>
  <c r="E440" i="16"/>
  <c r="E438" i="16"/>
  <c r="E436" i="16"/>
  <c r="E429" i="16"/>
  <c r="E428" i="16"/>
  <c r="E427" i="16"/>
  <c r="E426" i="16"/>
  <c r="E424" i="16"/>
  <c r="AL435" i="16"/>
  <c r="AC435" i="16"/>
  <c r="Z435" i="16"/>
  <c r="N435" i="16"/>
  <c r="AF397" i="16"/>
  <c r="AE397" i="16" s="1"/>
  <c r="H397" i="16"/>
  <c r="G397" i="16" s="1"/>
  <c r="E396" i="16"/>
  <c r="E395" i="16"/>
  <c r="E394" i="16"/>
  <c r="E392" i="16"/>
  <c r="E391" i="16"/>
  <c r="E390" i="16"/>
  <c r="E387" i="16"/>
  <c r="E386" i="16"/>
  <c r="E384" i="16"/>
  <c r="AO397" i="16"/>
  <c r="AC397" i="16"/>
  <c r="E382" i="16"/>
  <c r="T397" i="16"/>
  <c r="S397" i="16" s="1"/>
  <c r="AL397" i="16"/>
  <c r="Q397" i="16"/>
  <c r="N397" i="16"/>
  <c r="AK379" i="16"/>
  <c r="AH379" i="16"/>
  <c r="AE379" i="16"/>
  <c r="AB379" i="16"/>
  <c r="V379" i="16"/>
  <c r="S379" i="16"/>
  <c r="M379" i="16"/>
  <c r="J379" i="16"/>
  <c r="G379" i="16"/>
  <c r="E378" i="16"/>
  <c r="E377" i="16"/>
  <c r="E375" i="16"/>
  <c r="E374" i="16"/>
  <c r="E373" i="16"/>
  <c r="E372" i="16"/>
  <c r="E369" i="16"/>
  <c r="E367" i="16"/>
  <c r="AM364" i="16"/>
  <c r="AN364" i="16" s="1"/>
  <c r="AJ364" i="16"/>
  <c r="AK364" i="16" s="1"/>
  <c r="AC364" i="16"/>
  <c r="W364" i="16"/>
  <c r="U364" i="16"/>
  <c r="V364" i="16" s="1"/>
  <c r="T364" i="16"/>
  <c r="R364" i="16"/>
  <c r="S364" i="16" s="1"/>
  <c r="O364" i="16"/>
  <c r="P364" i="16" s="1"/>
  <c r="L364" i="16"/>
  <c r="M364" i="16" s="1"/>
  <c r="K364" i="16"/>
  <c r="AO364" i="16"/>
  <c r="AN362" i="16"/>
  <c r="AL364" i="16"/>
  <c r="AI364" i="16"/>
  <c r="AF364" i="16"/>
  <c r="AE362" i="16"/>
  <c r="AA364" i="16"/>
  <c r="AB364" i="16" s="1"/>
  <c r="Z364" i="16"/>
  <c r="Y362" i="16"/>
  <c r="X364" i="16"/>
  <c r="Y364" i="16" s="1"/>
  <c r="V362" i="16"/>
  <c r="S362" i="16"/>
  <c r="Q364" i="16"/>
  <c r="P362" i="16"/>
  <c r="N364" i="16"/>
  <c r="J362" i="16"/>
  <c r="C362" i="16"/>
  <c r="H364" i="16"/>
  <c r="G362" i="16"/>
  <c r="Z351" i="16"/>
  <c r="Z353" i="16" s="1"/>
  <c r="E350" i="16"/>
  <c r="E349" i="16"/>
  <c r="E348" i="16"/>
  <c r="E347" i="16"/>
  <c r="E345" i="16"/>
  <c r="E344" i="16"/>
  <c r="E342" i="16"/>
  <c r="E339" i="16"/>
  <c r="AL351" i="16"/>
  <c r="E337" i="16"/>
  <c r="E336" i="16"/>
  <c r="E334" i="16"/>
  <c r="E329" i="16"/>
  <c r="E327" i="16"/>
  <c r="E324" i="16"/>
  <c r="E323" i="16"/>
  <c r="E322" i="16"/>
  <c r="E321" i="16"/>
  <c r="E320" i="16"/>
  <c r="AN314" i="16"/>
  <c r="AK314" i="16"/>
  <c r="AH314" i="16"/>
  <c r="AE314" i="16"/>
  <c r="AB314" i="16"/>
  <c r="Y314" i="16"/>
  <c r="E314" i="16"/>
  <c r="V314" i="16"/>
  <c r="S314" i="16"/>
  <c r="P314" i="16"/>
  <c r="M314" i="16"/>
  <c r="J314" i="16"/>
  <c r="AN313" i="16"/>
  <c r="AK313" i="16"/>
  <c r="AH313" i="16"/>
  <c r="AE313" i="16"/>
  <c r="AB313" i="16"/>
  <c r="Y313" i="16"/>
  <c r="V313" i="16"/>
  <c r="S313" i="16"/>
  <c r="P313" i="16"/>
  <c r="M313" i="16"/>
  <c r="J313" i="16"/>
  <c r="G313" i="16"/>
  <c r="E313" i="16"/>
  <c r="AN310" i="16"/>
  <c r="AK310" i="16"/>
  <c r="AH310" i="16"/>
  <c r="AE310" i="16"/>
  <c r="AB310" i="16"/>
  <c r="Y310" i="16"/>
  <c r="V310" i="16"/>
  <c r="S310" i="16"/>
  <c r="P310" i="16"/>
  <c r="M310" i="16"/>
  <c r="J310" i="16"/>
  <c r="E310" i="16"/>
  <c r="AN309" i="16"/>
  <c r="AK309" i="16"/>
  <c r="AH309" i="16"/>
  <c r="AE309" i="16"/>
  <c r="AB309" i="16"/>
  <c r="Y309" i="16"/>
  <c r="S309" i="16"/>
  <c r="P309" i="16"/>
  <c r="M309" i="16"/>
  <c r="J309" i="16"/>
  <c r="G309" i="16"/>
  <c r="E309" i="16"/>
  <c r="AJ306" i="16"/>
  <c r="AN305" i="16"/>
  <c r="AK305" i="16"/>
  <c r="AH305" i="16"/>
  <c r="AE305" i="16"/>
  <c r="AB305" i="16"/>
  <c r="Y305" i="16"/>
  <c r="V305" i="16"/>
  <c r="S305" i="16"/>
  <c r="P305" i="16"/>
  <c r="M305" i="16"/>
  <c r="E305" i="16"/>
  <c r="J305" i="16"/>
  <c r="G305" i="16"/>
  <c r="AN304" i="16"/>
  <c r="AK304" i="16"/>
  <c r="AH304" i="16"/>
  <c r="AE304" i="16"/>
  <c r="AB304" i="16"/>
  <c r="Y304" i="16"/>
  <c r="V304" i="16"/>
  <c r="S304" i="16"/>
  <c r="P304" i="16"/>
  <c r="M304" i="16"/>
  <c r="J304" i="16"/>
  <c r="E304" i="16"/>
  <c r="G304" i="16"/>
  <c r="AN303" i="16"/>
  <c r="AK303" i="16"/>
  <c r="AH303" i="16"/>
  <c r="AE303" i="16"/>
  <c r="AB303" i="16"/>
  <c r="Y303" i="16"/>
  <c r="V303" i="16"/>
  <c r="S303" i="16"/>
  <c r="P303" i="16"/>
  <c r="M303" i="16"/>
  <c r="E303" i="16"/>
  <c r="G303" i="16"/>
  <c r="AN302" i="16"/>
  <c r="AK302" i="16"/>
  <c r="AH302" i="16"/>
  <c r="AB302" i="16"/>
  <c r="Y302" i="16"/>
  <c r="V302" i="16"/>
  <c r="S302" i="16"/>
  <c r="P302" i="16"/>
  <c r="M302" i="16"/>
  <c r="J302" i="16"/>
  <c r="G302" i="16"/>
  <c r="AN301" i="16"/>
  <c r="AK301" i="16"/>
  <c r="AH301" i="16"/>
  <c r="AE301" i="16"/>
  <c r="AB301" i="16"/>
  <c r="Y301" i="16"/>
  <c r="E301" i="16"/>
  <c r="V301" i="16"/>
  <c r="S301" i="16"/>
  <c r="P301" i="16"/>
  <c r="M301" i="16"/>
  <c r="J301" i="16"/>
  <c r="G301" i="16"/>
  <c r="C301" i="16"/>
  <c r="AN300" i="16"/>
  <c r="AH300" i="16"/>
  <c r="AE300" i="16"/>
  <c r="AB300" i="16"/>
  <c r="Y300" i="16"/>
  <c r="V300" i="16"/>
  <c r="S300" i="16"/>
  <c r="P300" i="16"/>
  <c r="J300" i="16"/>
  <c r="AN299" i="16"/>
  <c r="AK299" i="16"/>
  <c r="AH299" i="16"/>
  <c r="AE299" i="16"/>
  <c r="E299" i="16"/>
  <c r="Y299" i="16"/>
  <c r="S299" i="16"/>
  <c r="P299" i="16"/>
  <c r="M299" i="16"/>
  <c r="J299" i="16"/>
  <c r="G299" i="16"/>
  <c r="AN298" i="16"/>
  <c r="AK298" i="16"/>
  <c r="AH298" i="16"/>
  <c r="AE298" i="16"/>
  <c r="AB298" i="16"/>
  <c r="Y298" i="16"/>
  <c r="V298" i="16"/>
  <c r="T306" i="16"/>
  <c r="T311" i="16" s="1"/>
  <c r="T316" i="16" s="1"/>
  <c r="P298" i="16"/>
  <c r="J298" i="16"/>
  <c r="AN297" i="16"/>
  <c r="AK297" i="16"/>
  <c r="AI306" i="16"/>
  <c r="AI311" i="16" s="1"/>
  <c r="AI316" i="16" s="1"/>
  <c r="AH297" i="16"/>
  <c r="AF306" i="16"/>
  <c r="AF311" i="16" s="1"/>
  <c r="AF316" i="16" s="1"/>
  <c r="AE297" i="16"/>
  <c r="AC306" i="16"/>
  <c r="AC311" i="16" s="1"/>
  <c r="AC316" i="16" s="1"/>
  <c r="Z306" i="16"/>
  <c r="Z311" i="16" s="1"/>
  <c r="Z316" i="16" s="1"/>
  <c r="Y297" i="16"/>
  <c r="V297" i="16"/>
  <c r="S297" i="16"/>
  <c r="R306" i="16"/>
  <c r="Q306" i="16"/>
  <c r="Q311" i="16" s="1"/>
  <c r="Q316" i="16" s="1"/>
  <c r="P332" i="16" s="1"/>
  <c r="P297" i="16"/>
  <c r="M297" i="16"/>
  <c r="J297" i="16"/>
  <c r="H306" i="16"/>
  <c r="H311" i="16" s="1"/>
  <c r="H316" i="16" s="1"/>
  <c r="G297" i="16"/>
  <c r="C297" i="16"/>
  <c r="AO287" i="16"/>
  <c r="AN287" i="16" s="1"/>
  <c r="E286" i="16"/>
  <c r="E285" i="16"/>
  <c r="E284" i="16"/>
  <c r="E283" i="16"/>
  <c r="E282" i="16"/>
  <c r="E280" i="16"/>
  <c r="E279" i="16"/>
  <c r="E278" i="16"/>
  <c r="E277" i="16"/>
  <c r="E276" i="16"/>
  <c r="E275" i="16"/>
  <c r="E274" i="16"/>
  <c r="E272" i="16"/>
  <c r="AC287" i="16"/>
  <c r="AB287" i="16" s="1"/>
  <c r="Q287" i="16"/>
  <c r="P287" i="16" s="1"/>
  <c r="E270" i="16"/>
  <c r="AF287" i="16"/>
  <c r="AE287" i="16" s="1"/>
  <c r="Z287" i="16"/>
  <c r="Y287" i="16" s="1"/>
  <c r="AL268" i="16"/>
  <c r="E267" i="16"/>
  <c r="E265" i="16"/>
  <c r="E263" i="16"/>
  <c r="E262" i="16"/>
  <c r="E260" i="16"/>
  <c r="E259" i="16"/>
  <c r="W268" i="16"/>
  <c r="AO268" i="16"/>
  <c r="AF268" i="16"/>
  <c r="Z268" i="16"/>
  <c r="T268" i="16"/>
  <c r="E256" i="16"/>
  <c r="H268" i="16"/>
  <c r="AN252" i="16"/>
  <c r="AL252" i="16"/>
  <c r="AH252" i="16"/>
  <c r="AF252" i="16"/>
  <c r="AF253" i="16" s="1"/>
  <c r="AE252" i="16"/>
  <c r="AB252" i="16"/>
  <c r="V252" i="16"/>
  <c r="T252" i="16"/>
  <c r="S252" i="16"/>
  <c r="P252" i="16"/>
  <c r="N252" i="16"/>
  <c r="H252" i="16"/>
  <c r="G252" i="16"/>
  <c r="AO250" i="16"/>
  <c r="AL250" i="16"/>
  <c r="AI250" i="16"/>
  <c r="AF250" i="16"/>
  <c r="AC250" i="16"/>
  <c r="Z250" i="16"/>
  <c r="W250" i="16"/>
  <c r="T250" i="16"/>
  <c r="Q250" i="16"/>
  <c r="N250" i="16"/>
  <c r="K250" i="16"/>
  <c r="H250" i="16"/>
  <c r="E249" i="16"/>
  <c r="D249" i="16"/>
  <c r="C249" i="16"/>
  <c r="AO247" i="16"/>
  <c r="AL247" i="16"/>
  <c r="AI247" i="16"/>
  <c r="AF247" i="16"/>
  <c r="AC247" i="16"/>
  <c r="Z247" i="16"/>
  <c r="W247" i="16"/>
  <c r="T247" i="16"/>
  <c r="Q247" i="16"/>
  <c r="N247" i="16"/>
  <c r="K247" i="16"/>
  <c r="H247" i="16"/>
  <c r="E246" i="16"/>
  <c r="D246" i="16"/>
  <c r="C246" i="16"/>
  <c r="AO244" i="16"/>
  <c r="AF244" i="16"/>
  <c r="Q244" i="16"/>
  <c r="H244" i="16"/>
  <c r="AO252" i="16"/>
  <c r="AL244" i="16"/>
  <c r="AC252" i="16"/>
  <c r="Z252" i="16"/>
  <c r="Y252" i="16"/>
  <c r="T244" i="16"/>
  <c r="Q252" i="16"/>
  <c r="N244" i="16"/>
  <c r="M252" i="16"/>
  <c r="J252" i="16"/>
  <c r="C243" i="16"/>
  <c r="AF231" i="16"/>
  <c r="T231" i="16"/>
  <c r="E230" i="16"/>
  <c r="E229" i="16"/>
  <c r="E228" i="16"/>
  <c r="E227" i="16"/>
  <c r="E226" i="16"/>
  <c r="E225" i="16"/>
  <c r="E224" i="16"/>
  <c r="E223" i="16"/>
  <c r="E221" i="16"/>
  <c r="E220" i="16"/>
  <c r="E218" i="16"/>
  <c r="E217" i="16"/>
  <c r="AI231" i="16"/>
  <c r="E215" i="16"/>
  <c r="W231" i="16"/>
  <c r="E214" i="16"/>
  <c r="Z231" i="16"/>
  <c r="E213" i="16"/>
  <c r="E211" i="16"/>
  <c r="E210" i="16"/>
  <c r="E209" i="16"/>
  <c r="E208" i="16"/>
  <c r="E207" i="16"/>
  <c r="T212" i="16"/>
  <c r="AI212" i="16"/>
  <c r="E203" i="16"/>
  <c r="AF212" i="16"/>
  <c r="E202" i="16"/>
  <c r="AO212" i="16"/>
  <c r="Q212" i="16"/>
  <c r="AL212" i="16"/>
  <c r="Z212" i="16"/>
  <c r="N212" i="16"/>
  <c r="AF194" i="16"/>
  <c r="Z194" i="16"/>
  <c r="T194" i="16"/>
  <c r="H194" i="16"/>
  <c r="AO194" i="16"/>
  <c r="AL194" i="16"/>
  <c r="AI194" i="16"/>
  <c r="AC194" i="16"/>
  <c r="W194" i="16"/>
  <c r="Q194" i="16"/>
  <c r="N194" i="16"/>
  <c r="K194" i="16"/>
  <c r="C193" i="16"/>
  <c r="D193" i="16"/>
  <c r="AL191" i="16"/>
  <c r="T191" i="16"/>
  <c r="AO191" i="16"/>
  <c r="AI191" i="16"/>
  <c r="AF191" i="16"/>
  <c r="AC191" i="16"/>
  <c r="Z191" i="16"/>
  <c r="W191" i="16"/>
  <c r="Q191" i="16"/>
  <c r="N191" i="16"/>
  <c r="K191" i="16"/>
  <c r="E190" i="16"/>
  <c r="AN187" i="16"/>
  <c r="AN196" i="16" s="1"/>
  <c r="AL187" i="16"/>
  <c r="AF187" i="16"/>
  <c r="AD187" i="16"/>
  <c r="X187" i="16"/>
  <c r="V187" i="16"/>
  <c r="V196" i="16" s="1"/>
  <c r="P187" i="16"/>
  <c r="P196" i="16" s="1"/>
  <c r="N187" i="16"/>
  <c r="H187" i="16"/>
  <c r="F187" i="16"/>
  <c r="E186" i="16"/>
  <c r="AK185" i="16"/>
  <c r="S185" i="16"/>
  <c r="M185" i="16"/>
  <c r="AN184" i="16"/>
  <c r="AL184" i="16"/>
  <c r="AK184" i="16"/>
  <c r="AH184" i="16"/>
  <c r="AE184" i="16"/>
  <c r="AC184" i="16"/>
  <c r="AB184" i="16"/>
  <c r="Y184" i="16"/>
  <c r="V184" i="16"/>
  <c r="S184" i="16"/>
  <c r="P184" i="16"/>
  <c r="N184" i="16"/>
  <c r="M184" i="16"/>
  <c r="J184" i="16"/>
  <c r="G184" i="16"/>
  <c r="D184" i="16"/>
  <c r="AO184" i="16"/>
  <c r="AN185" i="16"/>
  <c r="AI184" i="16"/>
  <c r="AH185" i="16"/>
  <c r="AF184" i="16"/>
  <c r="AE185" i="16"/>
  <c r="AB185" i="16"/>
  <c r="W184" i="16"/>
  <c r="V185" i="16"/>
  <c r="T184" i="16"/>
  <c r="Q184" i="16"/>
  <c r="P185" i="16"/>
  <c r="K184" i="16"/>
  <c r="H184" i="16"/>
  <c r="G185" i="16"/>
  <c r="AK182" i="16"/>
  <c r="AE182" i="16"/>
  <c r="M182" i="16"/>
  <c r="AC181" i="16"/>
  <c r="W181" i="16"/>
  <c r="AO181" i="16"/>
  <c r="AN182" i="16"/>
  <c r="AL181" i="16"/>
  <c r="AF181" i="16"/>
  <c r="AB182" i="16"/>
  <c r="Z181" i="16"/>
  <c r="Y182" i="16"/>
  <c r="V182" i="16"/>
  <c r="T181" i="16"/>
  <c r="S182" i="16"/>
  <c r="Q181" i="16"/>
  <c r="P182" i="16"/>
  <c r="N181" i="16"/>
  <c r="C180" i="16"/>
  <c r="E180" i="16"/>
  <c r="G182" i="16"/>
  <c r="AN179" i="16"/>
  <c r="AE179" i="16"/>
  <c r="P179" i="16"/>
  <c r="G179" i="16"/>
  <c r="AF178" i="16"/>
  <c r="W178" i="16"/>
  <c r="H178" i="16"/>
  <c r="AO178" i="16"/>
  <c r="AK187" i="16"/>
  <c r="AI178" i="16"/>
  <c r="AH179" i="16"/>
  <c r="C177" i="16"/>
  <c r="Z178" i="16"/>
  <c r="Y179" i="16"/>
  <c r="U187" i="16"/>
  <c r="S179" i="16"/>
  <c r="Q178" i="16"/>
  <c r="M187" i="16"/>
  <c r="J179" i="16"/>
  <c r="AN176" i="16"/>
  <c r="Y176" i="16"/>
  <c r="S176" i="16"/>
  <c r="P176" i="16"/>
  <c r="AO175" i="16"/>
  <c r="AI175" i="16"/>
  <c r="AF175" i="16"/>
  <c r="Q175" i="16"/>
  <c r="K175" i="16"/>
  <c r="H175" i="16"/>
  <c r="AM187" i="16"/>
  <c r="AL175" i="16"/>
  <c r="AI187" i="16"/>
  <c r="AH176" i="16"/>
  <c r="AE176" i="16"/>
  <c r="AA187" i="16"/>
  <c r="Z175" i="16"/>
  <c r="W175" i="16"/>
  <c r="V176" i="16"/>
  <c r="S187" i="16"/>
  <c r="R187" i="16"/>
  <c r="O187" i="16"/>
  <c r="N175" i="16"/>
  <c r="K187" i="16"/>
  <c r="J176" i="16"/>
  <c r="G176" i="16"/>
  <c r="D174" i="16"/>
  <c r="E164" i="16"/>
  <c r="T165" i="16"/>
  <c r="E162" i="16"/>
  <c r="E160" i="16"/>
  <c r="AL165" i="16"/>
  <c r="AF165" i="16"/>
  <c r="N165" i="16"/>
  <c r="AO165" i="16"/>
  <c r="Z165" i="16"/>
  <c r="W165" i="16"/>
  <c r="Q165" i="16"/>
  <c r="E154" i="16"/>
  <c r="E153" i="16"/>
  <c r="E152" i="16"/>
  <c r="E148" i="16"/>
  <c r="E147" i="16"/>
  <c r="E146" i="16"/>
  <c r="E145" i="16"/>
  <c r="E143" i="16"/>
  <c r="E141" i="16"/>
  <c r="E140" i="16"/>
  <c r="E139" i="16"/>
  <c r="Z155" i="16"/>
  <c r="E138" i="16"/>
  <c r="E136" i="16"/>
  <c r="E134" i="16"/>
  <c r="E132" i="16"/>
  <c r="E130" i="16"/>
  <c r="T137" i="16"/>
  <c r="E127" i="16"/>
  <c r="AL137" i="16"/>
  <c r="AF137" i="16"/>
  <c r="W137" i="16"/>
  <c r="N137" i="16"/>
  <c r="H137" i="16"/>
  <c r="AF124" i="16"/>
  <c r="T124" i="16"/>
  <c r="E123" i="16"/>
  <c r="E122" i="16"/>
  <c r="E121" i="16"/>
  <c r="E120" i="16"/>
  <c r="E119" i="16"/>
  <c r="W124" i="16"/>
  <c r="E116" i="16"/>
  <c r="AI124" i="16"/>
  <c r="Z124" i="16"/>
  <c r="Q124" i="16"/>
  <c r="AL107" i="16"/>
  <c r="AO107" i="16"/>
  <c r="AI107" i="16"/>
  <c r="AG115" i="16" s="1"/>
  <c r="AF107" i="16"/>
  <c r="AC107" i="16"/>
  <c r="AA115" i="16" s="1"/>
  <c r="W107" i="16"/>
  <c r="U115" i="16" s="1"/>
  <c r="Q107" i="16"/>
  <c r="N107" i="16"/>
  <c r="K107" i="16"/>
  <c r="H107" i="16"/>
  <c r="AN102" i="16"/>
  <c r="AK102" i="16"/>
  <c r="AH102" i="16"/>
  <c r="AE102" i="16"/>
  <c r="AB102" i="16"/>
  <c r="Y102" i="16"/>
  <c r="S102" i="16"/>
  <c r="P102" i="16"/>
  <c r="M102" i="16"/>
  <c r="J102" i="16"/>
  <c r="G102" i="16"/>
  <c r="E102" i="16"/>
  <c r="AL99" i="16"/>
  <c r="AI99" i="16"/>
  <c r="X99" i="16"/>
  <c r="Y116" i="16" s="1"/>
  <c r="U99" i="16"/>
  <c r="V122" i="16" s="1"/>
  <c r="R99" i="16"/>
  <c r="S122" i="16" s="1"/>
  <c r="N99" i="16"/>
  <c r="L114" i="16" s="1"/>
  <c r="F99" i="16"/>
  <c r="AN98" i="16"/>
  <c r="AH98" i="16"/>
  <c r="AE98" i="16"/>
  <c r="AC99" i="16"/>
  <c r="AB98" i="16"/>
  <c r="AA99" i="16"/>
  <c r="Z99" i="16"/>
  <c r="S98" i="16"/>
  <c r="E98" i="16"/>
  <c r="M98" i="16"/>
  <c r="J98" i="16"/>
  <c r="C98" i="16"/>
  <c r="G98" i="16"/>
  <c r="AM99" i="16"/>
  <c r="AM110" i="16" s="1"/>
  <c r="AF99" i="16"/>
  <c r="AF110" i="16" s="1"/>
  <c r="AD99" i="16"/>
  <c r="AB97" i="16"/>
  <c r="Y97" i="16"/>
  <c r="W99" i="16"/>
  <c r="V97" i="16"/>
  <c r="T99" i="16"/>
  <c r="S97" i="16"/>
  <c r="P97" i="16"/>
  <c r="O99" i="16"/>
  <c r="M97" i="16"/>
  <c r="K99" i="16"/>
  <c r="I99" i="16"/>
  <c r="I110" i="16" s="1"/>
  <c r="H99" i="16"/>
  <c r="G97" i="16"/>
  <c r="E96" i="16"/>
  <c r="N86" i="16"/>
  <c r="E85" i="16"/>
  <c r="E83" i="16"/>
  <c r="E81" i="16"/>
  <c r="W86" i="16"/>
  <c r="E80" i="16"/>
  <c r="AI86" i="16"/>
  <c r="Z86" i="16"/>
  <c r="T86" i="16"/>
  <c r="Q86" i="16"/>
  <c r="E74" i="16"/>
  <c r="E73" i="16"/>
  <c r="E72" i="16"/>
  <c r="E71" i="16"/>
  <c r="E70" i="16"/>
  <c r="E69" i="16"/>
  <c r="E67" i="16"/>
  <c r="E64" i="16"/>
  <c r="E63" i="16"/>
  <c r="AF75" i="16"/>
  <c r="E62" i="16"/>
  <c r="H75" i="16"/>
  <c r="E61" i="16"/>
  <c r="E60" i="16"/>
  <c r="E59" i="16"/>
  <c r="AO75" i="16"/>
  <c r="AI75" i="16"/>
  <c r="AC75" i="16"/>
  <c r="Z75" i="16"/>
  <c r="W75" i="16"/>
  <c r="T75" i="16"/>
  <c r="Q75" i="16"/>
  <c r="K75" i="16"/>
  <c r="AC57" i="16"/>
  <c r="E56" i="16"/>
  <c r="AO57" i="16"/>
  <c r="E53" i="16"/>
  <c r="E52" i="16"/>
  <c r="E50" i="16"/>
  <c r="E49" i="16"/>
  <c r="E48" i="16"/>
  <c r="E47" i="16"/>
  <c r="Q57" i="16"/>
  <c r="AI57" i="16"/>
  <c r="AF57" i="16"/>
  <c r="W57" i="16"/>
  <c r="T57" i="16"/>
  <c r="K57"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E39" i="16"/>
  <c r="K27" i="16"/>
  <c r="AL27" i="16"/>
  <c r="AF27" i="16"/>
  <c r="AD35" i="16" s="1"/>
  <c r="Z27" i="16"/>
  <c r="X35" i="16" s="1"/>
  <c r="W27" i="16"/>
  <c r="T27" i="16"/>
  <c r="R35" i="16" s="1"/>
  <c r="N27" i="16"/>
  <c r="H27" i="16"/>
  <c r="F35" i="16" s="1"/>
  <c r="E22" i="16"/>
  <c r="AN20" i="16"/>
  <c r="AK20" i="16"/>
  <c r="AH20" i="16"/>
  <c r="AE20" i="16"/>
  <c r="AB20" i="16"/>
  <c r="Y20" i="16"/>
  <c r="V20" i="16"/>
  <c r="S20" i="16"/>
  <c r="P20" i="16"/>
  <c r="M20" i="16"/>
  <c r="J20" i="16"/>
  <c r="E20" i="16"/>
  <c r="AN18" i="16"/>
  <c r="AK18" i="16"/>
  <c r="AE18" i="16"/>
  <c r="C18" i="16"/>
  <c r="Y18" i="16"/>
  <c r="S18" i="16"/>
  <c r="P18" i="16"/>
  <c r="M18" i="16"/>
  <c r="G18" i="16"/>
  <c r="AM16" i="16"/>
  <c r="AN24" i="16" s="1"/>
  <c r="Z16" i="16"/>
  <c r="Z30" i="16" s="1"/>
  <c r="W16" i="16"/>
  <c r="U34" i="16" s="1"/>
  <c r="R16" i="16"/>
  <c r="O16" i="16"/>
  <c r="O30" i="16" s="1"/>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AN11" i="16"/>
  <c r="AK11" i="16"/>
  <c r="AH11" i="16"/>
  <c r="AE11" i="16"/>
  <c r="AB11" i="16"/>
  <c r="Y11" i="16"/>
  <c r="S11" i="16"/>
  <c r="P11" i="16"/>
  <c r="M11" i="16"/>
  <c r="J11" i="16"/>
  <c r="G11" i="16"/>
  <c r="E11" i="16"/>
  <c r="AN10" i="16"/>
  <c r="AH10" i="16"/>
  <c r="AE10" i="16"/>
  <c r="AB10" i="16"/>
  <c r="Y10" i="16"/>
  <c r="V10" i="16"/>
  <c r="T16" i="16"/>
  <c r="P10" i="16"/>
  <c r="J10" i="16"/>
  <c r="E10" i="16"/>
  <c r="C10" i="16"/>
  <c r="AO16" i="16"/>
  <c r="AL16" i="16"/>
  <c r="AK9" i="16"/>
  <c r="AI16" i="16"/>
  <c r="AG16" i="16"/>
  <c r="AF16" i="16"/>
  <c r="C9" i="16"/>
  <c r="X16" i="16"/>
  <c r="X27" i="16" s="1"/>
  <c r="S9" i="16"/>
  <c r="Q16" i="16"/>
  <c r="P9" i="16"/>
  <c r="M9" i="16"/>
  <c r="K16" i="16"/>
  <c r="I16" i="16"/>
  <c r="H16" i="16"/>
  <c r="F16" i="16"/>
  <c r="E8" i="16"/>
  <c r="AR464" i="17"/>
  <c r="AR463" i="17"/>
  <c r="AR462" i="17"/>
  <c r="D10" i="15" l="1"/>
  <c r="K289" i="15"/>
  <c r="AE99" i="15"/>
  <c r="Z110" i="15"/>
  <c r="D310" i="15"/>
  <c r="AL253" i="15"/>
  <c r="D302" i="15"/>
  <c r="J118" i="15"/>
  <c r="AO188" i="15"/>
  <c r="D301" i="15"/>
  <c r="AO253" i="16"/>
  <c r="M397" i="15"/>
  <c r="S188" i="16"/>
  <c r="H233" i="15"/>
  <c r="AH16" i="16"/>
  <c r="S115" i="15"/>
  <c r="M122" i="15"/>
  <c r="J155" i="15"/>
  <c r="V16" i="15"/>
  <c r="D20" i="15"/>
  <c r="N401" i="15"/>
  <c r="E250" i="16"/>
  <c r="AH114" i="15"/>
  <c r="N233" i="15"/>
  <c r="Q253" i="15"/>
  <c r="AC253" i="15"/>
  <c r="AI253" i="15"/>
  <c r="AO253" i="15"/>
  <c r="D299" i="15"/>
  <c r="C364" i="15"/>
  <c r="D364" i="15" s="1"/>
  <c r="H30" i="15"/>
  <c r="H88" i="15" s="1"/>
  <c r="AF30" i="15"/>
  <c r="AE57" i="15" s="1"/>
  <c r="AL30" i="15"/>
  <c r="AK30" i="15" s="1"/>
  <c r="D18" i="15"/>
  <c r="E181" i="15"/>
  <c r="AO196" i="15"/>
  <c r="AN231" i="15" s="1"/>
  <c r="AK306" i="15"/>
  <c r="D309" i="15"/>
  <c r="G353" i="15"/>
  <c r="AF30" i="16"/>
  <c r="AE57" i="16" s="1"/>
  <c r="Q110" i="15"/>
  <c r="P155" i="15" s="1"/>
  <c r="V106" i="16"/>
  <c r="J25" i="15"/>
  <c r="S104" i="15"/>
  <c r="AF110" i="15"/>
  <c r="AE137" i="15" s="1"/>
  <c r="Y115" i="15"/>
  <c r="J119" i="15"/>
  <c r="E187" i="15"/>
  <c r="E196" i="15" s="1"/>
  <c r="D185" i="15"/>
  <c r="V212" i="15"/>
  <c r="AE25" i="15"/>
  <c r="E57" i="15"/>
  <c r="D102" i="15"/>
  <c r="AH104" i="15"/>
  <c r="AG110" i="15"/>
  <c r="Y119" i="15"/>
  <c r="K291" i="15"/>
  <c r="AK397" i="15"/>
  <c r="X30" i="15"/>
  <c r="E107" i="15"/>
  <c r="C115" i="15" s="1"/>
  <c r="AI157" i="15"/>
  <c r="D179" i="15"/>
  <c r="T253" i="15"/>
  <c r="D298" i="15"/>
  <c r="AH353" i="15"/>
  <c r="X27" i="15"/>
  <c r="Y37" i="15" s="1"/>
  <c r="S114" i="15"/>
  <c r="S116" i="15"/>
  <c r="AE212" i="15"/>
  <c r="AK26" i="15"/>
  <c r="AD34" i="15"/>
  <c r="J188" i="15"/>
  <c r="P107" i="15"/>
  <c r="S121" i="15"/>
  <c r="AH188" i="15"/>
  <c r="K253" i="15"/>
  <c r="AF399" i="15"/>
  <c r="AE399" i="15" s="1"/>
  <c r="Y24" i="15"/>
  <c r="P99" i="15"/>
  <c r="G115" i="15"/>
  <c r="AC188" i="15"/>
  <c r="AO233" i="15"/>
  <c r="AN233" i="15" s="1"/>
  <c r="D300" i="15"/>
  <c r="E379" i="15"/>
  <c r="K30" i="16"/>
  <c r="J57" i="16" s="1"/>
  <c r="Z355" i="16"/>
  <c r="AH25" i="15"/>
  <c r="S26" i="15"/>
  <c r="AN26" i="15"/>
  <c r="Q30" i="15"/>
  <c r="P44" i="15" s="1"/>
  <c r="AG30" i="15"/>
  <c r="F34" i="15"/>
  <c r="AB114" i="15"/>
  <c r="AB123" i="15"/>
  <c r="AB122" i="15"/>
  <c r="AB106" i="15"/>
  <c r="U110" i="15"/>
  <c r="I114" i="15"/>
  <c r="V114" i="15"/>
  <c r="AB116" i="15"/>
  <c r="AB117" i="15"/>
  <c r="AB119" i="15"/>
  <c r="AB120" i="15"/>
  <c r="J124" i="15"/>
  <c r="AN104" i="16"/>
  <c r="AN115" i="16"/>
  <c r="H110" i="16"/>
  <c r="D9" i="15"/>
  <c r="N30" i="15"/>
  <c r="S16" i="15"/>
  <c r="AN16" i="15"/>
  <c r="J24" i="15"/>
  <c r="AH24" i="15"/>
  <c r="V25" i="15"/>
  <c r="AK25" i="15"/>
  <c r="V26" i="15"/>
  <c r="AJ27" i="15"/>
  <c r="AK27" i="15" s="1"/>
  <c r="R30" i="15"/>
  <c r="V36" i="15"/>
  <c r="G57" i="15"/>
  <c r="AK75" i="15"/>
  <c r="C99" i="15"/>
  <c r="D105" i="15" s="1"/>
  <c r="AB99" i="15"/>
  <c r="AL110" i="15"/>
  <c r="AK137" i="15" s="1"/>
  <c r="V104" i="15"/>
  <c r="P105" i="15"/>
  <c r="G106" i="15"/>
  <c r="AE106" i="15"/>
  <c r="L107" i="15"/>
  <c r="M107" i="15" s="1"/>
  <c r="I110" i="15"/>
  <c r="J110" i="15" s="1"/>
  <c r="AA110" i="15"/>
  <c r="AI110" i="15"/>
  <c r="AH110" i="15" s="1"/>
  <c r="J114" i="15"/>
  <c r="X114" i="15"/>
  <c r="AJ114" i="15"/>
  <c r="AB115" i="15"/>
  <c r="AE117" i="15"/>
  <c r="AB118" i="15"/>
  <c r="S119" i="15"/>
  <c r="AH120" i="15"/>
  <c r="V121" i="15"/>
  <c r="E165" i="15"/>
  <c r="E184" i="15"/>
  <c r="J233" i="15"/>
  <c r="AI196" i="15"/>
  <c r="AH212" i="15" s="1"/>
  <c r="AI188" i="15"/>
  <c r="K188" i="15"/>
  <c r="AC355" i="15"/>
  <c r="AB332" i="15"/>
  <c r="E332" i="15"/>
  <c r="V351" i="15"/>
  <c r="AH351" i="15"/>
  <c r="AO399" i="15"/>
  <c r="AO401" i="15" s="1"/>
  <c r="AN397" i="15"/>
  <c r="AI399" i="15"/>
  <c r="T30" i="16"/>
  <c r="S75" i="16" s="1"/>
  <c r="W30" i="16"/>
  <c r="V57" i="16" s="1"/>
  <c r="AL30" i="16"/>
  <c r="W110" i="16"/>
  <c r="V124" i="16" s="1"/>
  <c r="Y115" i="16"/>
  <c r="V117" i="16"/>
  <c r="J123" i="16"/>
  <c r="S196" i="16"/>
  <c r="E16" i="15"/>
  <c r="C34" i="15" s="1"/>
  <c r="J16" i="15"/>
  <c r="Y16" i="15"/>
  <c r="AE16" i="15"/>
  <c r="AO30" i="15"/>
  <c r="AN44" i="15" s="1"/>
  <c r="AN24" i="15"/>
  <c r="AD27" i="15"/>
  <c r="AE40" i="15" s="1"/>
  <c r="I30" i="15"/>
  <c r="T30" i="15"/>
  <c r="S44" i="15" s="1"/>
  <c r="Z30" i="15"/>
  <c r="AM30" i="15"/>
  <c r="X34" i="15"/>
  <c r="Z77" i="15"/>
  <c r="K77" i="15"/>
  <c r="W77" i="15"/>
  <c r="AI77" i="15"/>
  <c r="E75" i="15"/>
  <c r="E99" i="15"/>
  <c r="C114" i="15" s="1"/>
  <c r="Y105" i="15"/>
  <c r="Y122" i="15"/>
  <c r="AB104" i="15"/>
  <c r="S105" i="15"/>
  <c r="J106" i="15"/>
  <c r="AH106" i="15"/>
  <c r="X107" i="15"/>
  <c r="Y107" i="15" s="1"/>
  <c r="AC110" i="15"/>
  <c r="AB155" i="15" s="1"/>
  <c r="AO110" i="15"/>
  <c r="L114" i="15"/>
  <c r="O115" i="15"/>
  <c r="P116" i="15"/>
  <c r="J117" i="15"/>
  <c r="AH117" i="15"/>
  <c r="AH118" i="15"/>
  <c r="V119" i="15"/>
  <c r="J120" i="15"/>
  <c r="AB121" i="15"/>
  <c r="S123" i="15"/>
  <c r="Q157" i="15"/>
  <c r="Y137" i="15"/>
  <c r="E155" i="15"/>
  <c r="H196" i="15"/>
  <c r="G233" i="15" s="1"/>
  <c r="H188" i="15"/>
  <c r="T196" i="15"/>
  <c r="T188" i="15"/>
  <c r="W233" i="15"/>
  <c r="V233" i="15" s="1"/>
  <c r="W253" i="15"/>
  <c r="E268" i="15"/>
  <c r="D268" i="15" s="1"/>
  <c r="AL289" i="15"/>
  <c r="AK289" i="15" s="1"/>
  <c r="AK268" i="15"/>
  <c r="P306" i="15"/>
  <c r="U311" i="15"/>
  <c r="U316" i="15" s="1"/>
  <c r="V306" i="15"/>
  <c r="Z355" i="15"/>
  <c r="H399" i="15"/>
  <c r="G399" i="15" s="1"/>
  <c r="G397" i="15"/>
  <c r="P397" i="15"/>
  <c r="K399" i="15"/>
  <c r="J399" i="15" s="1"/>
  <c r="H253" i="16"/>
  <c r="T253" i="16"/>
  <c r="V24" i="15"/>
  <c r="AM27" i="15"/>
  <c r="AN40" i="15" s="1"/>
  <c r="K30" i="15"/>
  <c r="J44" i="15" s="1"/>
  <c r="U30" i="15"/>
  <c r="AC30" i="15"/>
  <c r="AO77" i="15"/>
  <c r="D98" i="15"/>
  <c r="AE122" i="15"/>
  <c r="AE123" i="15"/>
  <c r="J104" i="15"/>
  <c r="AB105" i="15"/>
  <c r="V106" i="15"/>
  <c r="V117" i="15"/>
  <c r="J121" i="15"/>
  <c r="H157" i="15"/>
  <c r="D187" i="15"/>
  <c r="J268" i="15"/>
  <c r="AH137" i="15"/>
  <c r="E175" i="15"/>
  <c r="G188" i="15"/>
  <c r="Z188" i="15"/>
  <c r="Y188" i="15"/>
  <c r="AL233" i="15"/>
  <c r="T233" i="15"/>
  <c r="AF233" i="15"/>
  <c r="AE233" i="15" s="1"/>
  <c r="E252" i="15"/>
  <c r="H289" i="15"/>
  <c r="H291" i="15" s="1"/>
  <c r="S306" i="15"/>
  <c r="P311" i="15"/>
  <c r="E468" i="15"/>
  <c r="E484" i="15"/>
  <c r="M124" i="15"/>
  <c r="J137" i="15"/>
  <c r="N157" i="15"/>
  <c r="M157" i="15" s="1"/>
  <c r="E191" i="15"/>
  <c r="Z196" i="15"/>
  <c r="Y231" i="15" s="1"/>
  <c r="E231" i="15"/>
  <c r="E351" i="15"/>
  <c r="E469" i="15"/>
  <c r="E483" i="15"/>
  <c r="E5" i="23"/>
  <c r="G5" i="23"/>
  <c r="C187" i="15"/>
  <c r="D188" i="15" s="1"/>
  <c r="D176" i="15"/>
  <c r="Y38" i="15"/>
  <c r="T157" i="15"/>
  <c r="G289" i="15"/>
  <c r="AB268" i="15"/>
  <c r="AC289" i="15"/>
  <c r="AB289" i="15" s="1"/>
  <c r="G16" i="15"/>
  <c r="P16" i="15"/>
  <c r="Y26" i="15"/>
  <c r="AB24" i="15"/>
  <c r="M25" i="15"/>
  <c r="AB26" i="15"/>
  <c r="Y27" i="15"/>
  <c r="AG27" i="15"/>
  <c r="L30" i="15"/>
  <c r="L34" i="15"/>
  <c r="Y34" i="15"/>
  <c r="AM34" i="15"/>
  <c r="Y36" i="15"/>
  <c r="V39" i="15"/>
  <c r="E44" i="15"/>
  <c r="T77" i="15"/>
  <c r="AK44" i="15"/>
  <c r="AL77" i="15"/>
  <c r="M123" i="15"/>
  <c r="M119" i="15"/>
  <c r="M118" i="15"/>
  <c r="M121" i="15"/>
  <c r="M104" i="15"/>
  <c r="M99" i="15"/>
  <c r="M116" i="15"/>
  <c r="L110" i="15"/>
  <c r="M110" i="15" s="1"/>
  <c r="M105" i="15"/>
  <c r="M120" i="15"/>
  <c r="M117" i="15"/>
  <c r="M114" i="15"/>
  <c r="M106" i="15"/>
  <c r="U114" i="15"/>
  <c r="W110" i="15"/>
  <c r="V137" i="15" s="1"/>
  <c r="V99" i="15"/>
  <c r="AK121" i="15"/>
  <c r="AN124" i="15"/>
  <c r="AO157" i="15"/>
  <c r="S231" i="15"/>
  <c r="E212" i="15"/>
  <c r="P231" i="15"/>
  <c r="E27" i="15"/>
  <c r="C35" i="15" s="1"/>
  <c r="AE24" i="15"/>
  <c r="W30" i="15"/>
  <c r="Y39" i="15"/>
  <c r="V40" i="15"/>
  <c r="G44" i="15"/>
  <c r="M137" i="15"/>
  <c r="Y121" i="15"/>
  <c r="Y116" i="15"/>
  <c r="Y123" i="15"/>
  <c r="Y117" i="15"/>
  <c r="Y106" i="15"/>
  <c r="Y118" i="15"/>
  <c r="Y114" i="15"/>
  <c r="Y104" i="15"/>
  <c r="Y99" i="15"/>
  <c r="X110" i="15"/>
  <c r="Y110" i="15" s="1"/>
  <c r="AN116" i="15"/>
  <c r="AL157" i="15"/>
  <c r="E306" i="15"/>
  <c r="E311" i="15" s="1"/>
  <c r="E316" i="15" s="1"/>
  <c r="X311" i="15"/>
  <c r="Y306" i="15"/>
  <c r="K408" i="15"/>
  <c r="K405" i="15"/>
  <c r="J316" i="15"/>
  <c r="F27" i="15"/>
  <c r="J75" i="15"/>
  <c r="S25" i="15"/>
  <c r="AH16" i="15"/>
  <c r="G24" i="15"/>
  <c r="I27" i="15"/>
  <c r="R27" i="15"/>
  <c r="AA27" i="15"/>
  <c r="O30" i="15"/>
  <c r="G77" i="15"/>
  <c r="J57" i="15"/>
  <c r="E86" i="15"/>
  <c r="P123" i="15"/>
  <c r="P121" i="15"/>
  <c r="P115" i="15"/>
  <c r="O110" i="15"/>
  <c r="P104" i="15"/>
  <c r="P119" i="15"/>
  <c r="P114" i="15"/>
  <c r="P120" i="15"/>
  <c r="P117" i="15"/>
  <c r="P106" i="15"/>
  <c r="P122" i="15"/>
  <c r="AN105" i="15"/>
  <c r="H110" i="15"/>
  <c r="G137" i="15" s="1"/>
  <c r="P118" i="15"/>
  <c r="N188" i="15"/>
  <c r="N196" i="15"/>
  <c r="V196" i="15"/>
  <c r="W188" i="15"/>
  <c r="V188" i="15"/>
  <c r="AL188" i="15"/>
  <c r="AL196" i="15"/>
  <c r="Z197" i="15"/>
  <c r="AL355" i="15"/>
  <c r="AK332" i="15"/>
  <c r="AM316" i="15"/>
  <c r="F30" i="15"/>
  <c r="G30" i="15" s="1"/>
  <c r="AK123" i="15"/>
  <c r="AK119" i="15"/>
  <c r="AK118" i="15"/>
  <c r="AK122" i="15"/>
  <c r="AK104" i="15"/>
  <c r="AK99" i="15"/>
  <c r="AK116" i="15"/>
  <c r="AJ110" i="15"/>
  <c r="AK105" i="15"/>
  <c r="AK117" i="15"/>
  <c r="AK114" i="15"/>
  <c r="AK106" i="15"/>
  <c r="E124" i="15"/>
  <c r="AK115" i="15"/>
  <c r="AH287" i="15"/>
  <c r="AI289" i="15"/>
  <c r="AB16" i="15"/>
  <c r="AK24" i="15"/>
  <c r="AK16" i="15"/>
  <c r="P24" i="15"/>
  <c r="AB25" i="15"/>
  <c r="AI30" i="15"/>
  <c r="AH57" i="15" s="1"/>
  <c r="AC77" i="15"/>
  <c r="G99" i="15"/>
  <c r="AJ107" i="15"/>
  <c r="AK107" i="15" s="1"/>
  <c r="D196" i="15"/>
  <c r="AF197" i="15"/>
  <c r="AI233" i="15"/>
  <c r="S268" i="15"/>
  <c r="T289" i="15"/>
  <c r="AO311" i="15"/>
  <c r="AO316" i="15" s="1"/>
  <c r="AN351" i="15" s="1"/>
  <c r="AN306" i="15"/>
  <c r="D379" i="15"/>
  <c r="C16" i="15"/>
  <c r="M24" i="15"/>
  <c r="M16" i="15"/>
  <c r="AK57" i="15"/>
  <c r="P26" i="15"/>
  <c r="L27" i="15"/>
  <c r="V27" i="15"/>
  <c r="AA30" i="15"/>
  <c r="U34" i="15"/>
  <c r="G75" i="15"/>
  <c r="AN123" i="15"/>
  <c r="AN122" i="15"/>
  <c r="AN115" i="15"/>
  <c r="AM110" i="15"/>
  <c r="AN104" i="15"/>
  <c r="AN121" i="15"/>
  <c r="AN114" i="15"/>
  <c r="AN117" i="15"/>
  <c r="AN106" i="15"/>
  <c r="AN120" i="15"/>
  <c r="AN118" i="15"/>
  <c r="Y155" i="15"/>
  <c r="Z157" i="15"/>
  <c r="Y157" i="15" s="1"/>
  <c r="J332" i="15"/>
  <c r="AE306" i="15"/>
  <c r="AD311" i="15"/>
  <c r="O27" i="15"/>
  <c r="AD30" i="15"/>
  <c r="G25" i="15"/>
  <c r="V34" i="15"/>
  <c r="AJ34" i="15"/>
  <c r="V35" i="15"/>
  <c r="V38" i="15"/>
  <c r="Q77" i="15"/>
  <c r="AF77" i="15"/>
  <c r="N77" i="15"/>
  <c r="D97" i="15"/>
  <c r="T110" i="15"/>
  <c r="S124" i="15" s="1"/>
  <c r="AN99" i="15"/>
  <c r="AM107" i="15"/>
  <c r="AN107" i="15" s="1"/>
  <c r="E287" i="15"/>
  <c r="G105" i="15"/>
  <c r="AE105" i="15"/>
  <c r="I107" i="15"/>
  <c r="J107" i="15" s="1"/>
  <c r="AG107" i="15"/>
  <c r="AH107" i="15" s="1"/>
  <c r="R110" i="15"/>
  <c r="G116" i="15"/>
  <c r="AE116" i="15"/>
  <c r="S118" i="15"/>
  <c r="AH123" i="15"/>
  <c r="E137" i="15"/>
  <c r="AN137" i="15"/>
  <c r="M155" i="15"/>
  <c r="W197" i="15"/>
  <c r="M188" i="15"/>
  <c r="AE188" i="15"/>
  <c r="K197" i="15"/>
  <c r="P212" i="15"/>
  <c r="AK231" i="15"/>
  <c r="Q233" i="15"/>
  <c r="P233" i="15" s="1"/>
  <c r="H253" i="15"/>
  <c r="AF253" i="15"/>
  <c r="N289" i="15"/>
  <c r="M289" i="15" s="1"/>
  <c r="M268" i="15"/>
  <c r="AF289" i="15"/>
  <c r="AE268" i="15"/>
  <c r="C306" i="15"/>
  <c r="J351" i="15"/>
  <c r="AB351" i="15"/>
  <c r="K353" i="15"/>
  <c r="J353" i="15" s="1"/>
  <c r="J99" i="15"/>
  <c r="AH99" i="15"/>
  <c r="J105" i="15"/>
  <c r="AH105" i="15"/>
  <c r="R107" i="15"/>
  <c r="S107" i="15" s="1"/>
  <c r="J115" i="15"/>
  <c r="V115" i="15"/>
  <c r="AH115" i="15"/>
  <c r="J116" i="15"/>
  <c r="AH116" i="15"/>
  <c r="V118" i="15"/>
  <c r="AE119" i="15"/>
  <c r="AE121" i="15"/>
  <c r="S122" i="15"/>
  <c r="G123" i="15"/>
  <c r="P196" i="15"/>
  <c r="Q405" i="15" s="1"/>
  <c r="P188" i="15"/>
  <c r="AN196" i="15"/>
  <c r="AO197" i="15" s="1"/>
  <c r="AN188" i="15"/>
  <c r="Q188" i="15"/>
  <c r="AF188" i="15"/>
  <c r="D252" i="15"/>
  <c r="E250" i="15"/>
  <c r="N253" i="15"/>
  <c r="D297" i="15"/>
  <c r="M306" i="15"/>
  <c r="N311" i="15"/>
  <c r="N316" i="15" s="1"/>
  <c r="AG311" i="15"/>
  <c r="AH306" i="15"/>
  <c r="N405" i="15"/>
  <c r="N408" i="15"/>
  <c r="AK353" i="15"/>
  <c r="S99" i="15"/>
  <c r="G104" i="15"/>
  <c r="AE104" i="15"/>
  <c r="S106" i="15"/>
  <c r="AA107" i="15"/>
  <c r="AB107" i="15" s="1"/>
  <c r="S117" i="15"/>
  <c r="G119" i="15"/>
  <c r="AH119" i="15"/>
  <c r="V120" i="15"/>
  <c r="G121" i="15"/>
  <c r="AH121" i="15"/>
  <c r="V122" i="15"/>
  <c r="J123" i="15"/>
  <c r="AF157" i="15"/>
  <c r="W157" i="15"/>
  <c r="E178" i="15"/>
  <c r="S188" i="15"/>
  <c r="K235" i="15"/>
  <c r="E247" i="15"/>
  <c r="W289" i="15"/>
  <c r="AE351" i="15"/>
  <c r="AF353" i="15"/>
  <c r="E397" i="15"/>
  <c r="D397" i="15" s="1"/>
  <c r="T399" i="15"/>
  <c r="Q401" i="15"/>
  <c r="U107" i="15"/>
  <c r="V107" i="15" s="1"/>
  <c r="F110" i="15"/>
  <c r="AD110" i="15"/>
  <c r="G114" i="15"/>
  <c r="AE114" i="15"/>
  <c r="G118" i="15"/>
  <c r="AE118" i="15"/>
  <c r="V123" i="15"/>
  <c r="K157" i="15"/>
  <c r="D182" i="15"/>
  <c r="AK188" i="15"/>
  <c r="AI197" i="15"/>
  <c r="AN212" i="15"/>
  <c r="AB231" i="15"/>
  <c r="Z253" i="15"/>
  <c r="Z291" i="15"/>
  <c r="G268" i="15"/>
  <c r="G306" i="15"/>
  <c r="F311" i="15"/>
  <c r="P316" i="15"/>
  <c r="Y353" i="15"/>
  <c r="Z399" i="15"/>
  <c r="Y399" i="15" s="1"/>
  <c r="V105" i="15"/>
  <c r="F107" i="15"/>
  <c r="G107" i="15" s="1"/>
  <c r="AD107" i="15"/>
  <c r="AE107" i="15" s="1"/>
  <c r="AE120" i="15"/>
  <c r="AB196" i="15"/>
  <c r="AB188" i="15"/>
  <c r="Z233" i="15"/>
  <c r="AE231" i="15"/>
  <c r="J289" i="15"/>
  <c r="H355" i="15"/>
  <c r="G332" i="15"/>
  <c r="T408" i="15"/>
  <c r="T405" i="15"/>
  <c r="AA311" i="15"/>
  <c r="AB306" i="15"/>
  <c r="AC399" i="15"/>
  <c r="AB399" i="15" s="1"/>
  <c r="AB397" i="15"/>
  <c r="G117" i="15"/>
  <c r="G120" i="15"/>
  <c r="Y124" i="15"/>
  <c r="AK155" i="15"/>
  <c r="J306" i="15"/>
  <c r="T316" i="15"/>
  <c r="S311" i="15"/>
  <c r="AJ311" i="15"/>
  <c r="G351" i="15"/>
  <c r="AB353" i="15"/>
  <c r="J212" i="15"/>
  <c r="AK212" i="15"/>
  <c r="V231" i="15"/>
  <c r="E244" i="15"/>
  <c r="Y268" i="15"/>
  <c r="AK351" i="15"/>
  <c r="W399" i="15"/>
  <c r="J231" i="15"/>
  <c r="AO289" i="15"/>
  <c r="AI355" i="15"/>
  <c r="Y351" i="15"/>
  <c r="AB212" i="15"/>
  <c r="AC233" i="15"/>
  <c r="AB233" i="15" s="1"/>
  <c r="Q289" i="15"/>
  <c r="W355" i="15"/>
  <c r="J311" i="15"/>
  <c r="Q353" i="15"/>
  <c r="P351" i="15"/>
  <c r="V353" i="15"/>
  <c r="H401" i="15"/>
  <c r="E435" i="15"/>
  <c r="C11" i="16"/>
  <c r="D11" i="16" s="1"/>
  <c r="V11" i="16"/>
  <c r="N16" i="16"/>
  <c r="AG34" i="16"/>
  <c r="Y27" i="16"/>
  <c r="Y35" i="16"/>
  <c r="D10" i="16"/>
  <c r="X30" i="16"/>
  <c r="Y30" i="16" s="1"/>
  <c r="Y26" i="16"/>
  <c r="Y16" i="16"/>
  <c r="Y25" i="16"/>
  <c r="Y24" i="16"/>
  <c r="AJ34" i="16"/>
  <c r="F30" i="16"/>
  <c r="G25" i="16"/>
  <c r="F27" i="16"/>
  <c r="G37" i="16" s="1"/>
  <c r="G24" i="16"/>
  <c r="G16" i="16"/>
  <c r="G26" i="16"/>
  <c r="C12" i="16"/>
  <c r="D12" i="16" s="1"/>
  <c r="G12" i="16"/>
  <c r="C20" i="16"/>
  <c r="D20" i="16" s="1"/>
  <c r="R34" i="16"/>
  <c r="E34" i="16"/>
  <c r="T44" i="16"/>
  <c r="U35" i="16"/>
  <c r="F114" i="16"/>
  <c r="E114" i="16"/>
  <c r="H124" i="16"/>
  <c r="H30" i="16"/>
  <c r="G75" i="16" s="1"/>
  <c r="F34" i="16"/>
  <c r="O34" i="16"/>
  <c r="P16" i="16"/>
  <c r="AA16" i="16"/>
  <c r="AA27" i="16" s="1"/>
  <c r="AB9" i="16"/>
  <c r="L16" i="16"/>
  <c r="M10" i="16"/>
  <c r="E12" i="16"/>
  <c r="AI27" i="16"/>
  <c r="AI30" i="16" s="1"/>
  <c r="AH75" i="16" s="1"/>
  <c r="E26" i="16"/>
  <c r="E38" i="16"/>
  <c r="J26" i="16"/>
  <c r="I30" i="16"/>
  <c r="J24" i="16"/>
  <c r="J25" i="16"/>
  <c r="AC16" i="16"/>
  <c r="AA34" i="16" s="1"/>
  <c r="J16" i="16"/>
  <c r="X34" i="16"/>
  <c r="Y75" i="16"/>
  <c r="I34" i="16"/>
  <c r="AD16" i="16"/>
  <c r="AM34" i="16"/>
  <c r="AN16" i="16"/>
  <c r="I35" i="16"/>
  <c r="E36" i="16"/>
  <c r="Y39" i="16"/>
  <c r="AJ16" i="16"/>
  <c r="AK10" i="16"/>
  <c r="R30" i="16"/>
  <c r="S25" i="16"/>
  <c r="S24" i="16"/>
  <c r="S26" i="16"/>
  <c r="S16" i="16"/>
  <c r="R27" i="16"/>
  <c r="S39" i="16" s="1"/>
  <c r="AB18" i="16"/>
  <c r="E25" i="16"/>
  <c r="AD34" i="16"/>
  <c r="U16" i="16"/>
  <c r="U27" i="16" s="1"/>
  <c r="AH26" i="16"/>
  <c r="AH25" i="16"/>
  <c r="AH24" i="16"/>
  <c r="AG30" i="16"/>
  <c r="S10" i="16"/>
  <c r="E37" i="16"/>
  <c r="H44" i="16"/>
  <c r="AF44" i="16"/>
  <c r="AB120" i="16"/>
  <c r="AB116" i="16"/>
  <c r="AB105" i="16"/>
  <c r="AB118" i="16"/>
  <c r="AA107" i="16"/>
  <c r="AB107" i="16" s="1"/>
  <c r="AB121" i="16"/>
  <c r="AB114" i="16"/>
  <c r="AA110" i="16"/>
  <c r="AB117" i="16"/>
  <c r="AB115" i="16"/>
  <c r="AB106" i="16"/>
  <c r="AB123" i="16"/>
  <c r="AB104" i="16"/>
  <c r="AB122" i="16"/>
  <c r="AB119" i="16"/>
  <c r="AB99" i="16"/>
  <c r="E35" i="16"/>
  <c r="Y36" i="16"/>
  <c r="E46" i="16"/>
  <c r="N75" i="16"/>
  <c r="AL75" i="16"/>
  <c r="AK75" i="16" s="1"/>
  <c r="E66" i="16"/>
  <c r="E68" i="16"/>
  <c r="AC86" i="16"/>
  <c r="AO86" i="16"/>
  <c r="P120" i="16"/>
  <c r="P116" i="16"/>
  <c r="O107" i="16"/>
  <c r="P107" i="16" s="1"/>
  <c r="P105" i="16"/>
  <c r="P122" i="16"/>
  <c r="P118" i="16"/>
  <c r="P123" i="16"/>
  <c r="P117" i="16"/>
  <c r="P106" i="16"/>
  <c r="P104" i="16"/>
  <c r="P119" i="16"/>
  <c r="P114" i="16"/>
  <c r="O110" i="16"/>
  <c r="P121" i="16"/>
  <c r="P115" i="16"/>
  <c r="D98" i="16"/>
  <c r="AJ99" i="16"/>
  <c r="AK98" i="16"/>
  <c r="E9" i="16"/>
  <c r="E18" i="16"/>
  <c r="D18" i="16" s="1"/>
  <c r="AM30" i="16"/>
  <c r="E54" i="16"/>
  <c r="AC110" i="16"/>
  <c r="AF233" i="16"/>
  <c r="V9" i="16"/>
  <c r="G10" i="16"/>
  <c r="V18" i="16"/>
  <c r="G20" i="16"/>
  <c r="P24" i="16"/>
  <c r="Y38" i="16"/>
  <c r="Z57" i="16"/>
  <c r="Y57" i="16" s="1"/>
  <c r="K86" i="16"/>
  <c r="E78" i="16"/>
  <c r="E82" i="16"/>
  <c r="E84" i="16"/>
  <c r="T107" i="16"/>
  <c r="R115" i="16" s="1"/>
  <c r="G9" i="16"/>
  <c r="AE9" i="16"/>
  <c r="O27" i="16"/>
  <c r="P38" i="16" s="1"/>
  <c r="AM27" i="16"/>
  <c r="AN40" i="16" s="1"/>
  <c r="E24" i="16"/>
  <c r="Q27" i="16"/>
  <c r="O35" i="16" s="1"/>
  <c r="AC27" i="16"/>
  <c r="AA35" i="16" s="1"/>
  <c r="AO27" i="16"/>
  <c r="AM35" i="16" s="1"/>
  <c r="N44" i="16"/>
  <c r="Y40" i="16"/>
  <c r="E65" i="16"/>
  <c r="AJ114" i="16"/>
  <c r="AL110" i="16"/>
  <c r="AK137" i="16" s="1"/>
  <c r="E105" i="16"/>
  <c r="AN9" i="16"/>
  <c r="P26" i="16"/>
  <c r="AN26" i="16"/>
  <c r="AN25" i="16"/>
  <c r="P25" i="16"/>
  <c r="Z44" i="16"/>
  <c r="Y34" i="16"/>
  <c r="AL44" i="16"/>
  <c r="E45" i="16"/>
  <c r="H57" i="16"/>
  <c r="R114" i="16"/>
  <c r="AO99" i="16"/>
  <c r="AN99" i="16" s="1"/>
  <c r="AN97" i="16"/>
  <c r="G123" i="16"/>
  <c r="G119" i="16"/>
  <c r="G115" i="16"/>
  <c r="G121" i="16"/>
  <c r="G117" i="16"/>
  <c r="G106" i="16"/>
  <c r="G122" i="16"/>
  <c r="G120" i="16"/>
  <c r="G116" i="16"/>
  <c r="G105" i="16"/>
  <c r="G99" i="16"/>
  <c r="G114" i="16"/>
  <c r="F107" i="16"/>
  <c r="G107" i="16" s="1"/>
  <c r="G104" i="16"/>
  <c r="G118" i="16"/>
  <c r="I115" i="16"/>
  <c r="K124" i="16"/>
  <c r="V137" i="16"/>
  <c r="K137" i="16"/>
  <c r="E128" i="16"/>
  <c r="Y9" i="16"/>
  <c r="I27" i="16"/>
  <c r="J38" i="16" s="1"/>
  <c r="AG27" i="16"/>
  <c r="AH37" i="16" s="1"/>
  <c r="Y37" i="16"/>
  <c r="E51" i="16"/>
  <c r="I114" i="16"/>
  <c r="K110" i="16"/>
  <c r="AE123" i="16"/>
  <c r="AE119" i="16"/>
  <c r="AE104" i="16"/>
  <c r="AE115" i="16"/>
  <c r="AE121" i="16"/>
  <c r="AE117" i="16"/>
  <c r="AE106" i="16"/>
  <c r="AE122" i="16"/>
  <c r="AE120" i="16"/>
  <c r="AE116" i="16"/>
  <c r="AE105" i="16"/>
  <c r="AE99" i="16"/>
  <c r="AE114" i="16"/>
  <c r="AE118" i="16"/>
  <c r="AD107" i="16"/>
  <c r="AE107" i="16" s="1"/>
  <c r="AD110" i="16"/>
  <c r="AE110" i="16" s="1"/>
  <c r="F110" i="16"/>
  <c r="G110" i="16" s="1"/>
  <c r="J9" i="16"/>
  <c r="AH9" i="16"/>
  <c r="J18" i="16"/>
  <c r="AH18" i="16"/>
  <c r="E55" i="16"/>
  <c r="E79" i="16"/>
  <c r="S121" i="16"/>
  <c r="S119" i="16"/>
  <c r="S104" i="16"/>
  <c r="S123" i="16"/>
  <c r="S117" i="16"/>
  <c r="S106" i="16"/>
  <c r="R107" i="16"/>
  <c r="S107" i="16" s="1"/>
  <c r="S120" i="16"/>
  <c r="S116" i="16"/>
  <c r="S114" i="16"/>
  <c r="R110" i="16"/>
  <c r="S105" i="16"/>
  <c r="S118" i="16"/>
  <c r="S115" i="16"/>
  <c r="S99" i="16"/>
  <c r="AE124" i="16"/>
  <c r="AB40" i="16"/>
  <c r="E58" i="16"/>
  <c r="AL86" i="16"/>
  <c r="AG99" i="16"/>
  <c r="E104" i="16"/>
  <c r="X107" i="16"/>
  <c r="J114" i="16"/>
  <c r="U114" i="16"/>
  <c r="AL124" i="16"/>
  <c r="L115" i="16"/>
  <c r="AM115" i="16"/>
  <c r="Y120" i="16"/>
  <c r="Z137" i="16"/>
  <c r="E126" i="16"/>
  <c r="M397" i="16"/>
  <c r="N399" i="16"/>
  <c r="M399" i="16" s="1"/>
  <c r="AK397" i="16"/>
  <c r="AL399" i="16"/>
  <c r="AK399" i="16" s="1"/>
  <c r="E40" i="16"/>
  <c r="K44" i="16"/>
  <c r="W44" i="16"/>
  <c r="AI44" i="16"/>
  <c r="E97" i="16"/>
  <c r="E99" i="16" s="1"/>
  <c r="Q99" i="16"/>
  <c r="AH97" i="16"/>
  <c r="V98" i="16"/>
  <c r="J99" i="16"/>
  <c r="Z107" i="16"/>
  <c r="Y105" i="16"/>
  <c r="X114" i="16"/>
  <c r="E118" i="16"/>
  <c r="E125" i="16"/>
  <c r="Y268" i="16"/>
  <c r="Z289" i="16"/>
  <c r="Y289" i="16" s="1"/>
  <c r="L35" i="16"/>
  <c r="AJ35" i="16"/>
  <c r="J118" i="16"/>
  <c r="J115" i="16"/>
  <c r="J121" i="16"/>
  <c r="J120" i="16"/>
  <c r="J116" i="16"/>
  <c r="J105" i="16"/>
  <c r="J122" i="16"/>
  <c r="J119" i="16"/>
  <c r="I107" i="16"/>
  <c r="J107" i="16" s="1"/>
  <c r="J104" i="16"/>
  <c r="V118" i="16"/>
  <c r="V123" i="16"/>
  <c r="V114" i="16"/>
  <c r="U110" i="16"/>
  <c r="V120" i="16"/>
  <c r="V116" i="16"/>
  <c r="V115" i="16"/>
  <c r="V105" i="16"/>
  <c r="V119" i="16"/>
  <c r="V104" i="16"/>
  <c r="J106" i="16"/>
  <c r="N110" i="16"/>
  <c r="N124" i="16"/>
  <c r="AN114" i="16"/>
  <c r="O115" i="16"/>
  <c r="J117" i="16"/>
  <c r="G137" i="16"/>
  <c r="AE137" i="16"/>
  <c r="E129" i="16"/>
  <c r="J97" i="16"/>
  <c r="AK97" i="16"/>
  <c r="L99" i="16"/>
  <c r="V99" i="16"/>
  <c r="C102" i="16"/>
  <c r="D102" i="16" s="1"/>
  <c r="E106" i="16"/>
  <c r="AC124" i="16"/>
  <c r="AO124" i="16"/>
  <c r="AD115" i="16"/>
  <c r="E117" i="16"/>
  <c r="V121" i="16"/>
  <c r="AI137" i="16"/>
  <c r="E135" i="16"/>
  <c r="T233" i="16"/>
  <c r="P98" i="16"/>
  <c r="Y98" i="16"/>
  <c r="Y122" i="16"/>
  <c r="Y117" i="16"/>
  <c r="Y114" i="16"/>
  <c r="X110" i="16"/>
  <c r="Y106" i="16"/>
  <c r="Y119" i="16"/>
  <c r="Y104" i="16"/>
  <c r="Y99" i="16"/>
  <c r="Y121" i="16"/>
  <c r="Y118" i="16"/>
  <c r="AG114" i="16"/>
  <c r="AI110" i="16"/>
  <c r="V102" i="16"/>
  <c r="J185" i="16"/>
  <c r="C183" i="16"/>
  <c r="Y185" i="16"/>
  <c r="Z184" i="16"/>
  <c r="Q44" i="16"/>
  <c r="AC44" i="16"/>
  <c r="AO44" i="16"/>
  <c r="N57" i="16"/>
  <c r="AL57" i="16"/>
  <c r="AK57" i="16" s="1"/>
  <c r="AN120" i="16"/>
  <c r="AN116" i="16"/>
  <c r="AM107" i="16"/>
  <c r="AN107" i="16" s="1"/>
  <c r="AN105" i="16"/>
  <c r="AN122" i="16"/>
  <c r="AN118" i="16"/>
  <c r="AN123" i="16"/>
  <c r="AN117" i="16"/>
  <c r="AN106" i="16"/>
  <c r="AD114" i="16"/>
  <c r="F115" i="16"/>
  <c r="E115" i="16"/>
  <c r="AN121" i="16"/>
  <c r="Y123" i="16"/>
  <c r="H86" i="16"/>
  <c r="AF86" i="16"/>
  <c r="C97" i="16"/>
  <c r="AE97" i="16"/>
  <c r="U107" i="16"/>
  <c r="V107" i="16" s="1"/>
  <c r="AJ115" i="16"/>
  <c r="AN119" i="16"/>
  <c r="AA114" i="16"/>
  <c r="Q137" i="16"/>
  <c r="AO137" i="16"/>
  <c r="AC155" i="16"/>
  <c r="AB155" i="16" s="1"/>
  <c r="K165" i="16"/>
  <c r="AI165" i="16"/>
  <c r="C174" i="16"/>
  <c r="D190" i="16"/>
  <c r="E191" i="16" s="1"/>
  <c r="C190" i="16"/>
  <c r="E193" i="16"/>
  <c r="E194" i="16" s="1"/>
  <c r="E205" i="16"/>
  <c r="K212" i="16"/>
  <c r="AI233" i="16"/>
  <c r="AC268" i="16"/>
  <c r="E261" i="16"/>
  <c r="N268" i="16"/>
  <c r="AK268" i="16"/>
  <c r="E131" i="16"/>
  <c r="H155" i="16"/>
  <c r="G155" i="16" s="1"/>
  <c r="AF155" i="16"/>
  <c r="AE155" i="16" s="1"/>
  <c r="Q155" i="16"/>
  <c r="AO155" i="16"/>
  <c r="AL196" i="16"/>
  <c r="AK212" i="16" s="1"/>
  <c r="AL188" i="16"/>
  <c r="Z233" i="16"/>
  <c r="H212" i="16"/>
  <c r="E216" i="16"/>
  <c r="K231" i="16"/>
  <c r="E222" i="16"/>
  <c r="Z253" i="16"/>
  <c r="G268" i="16"/>
  <c r="AF289" i="16"/>
  <c r="AE289" i="16" s="1"/>
  <c r="AE268" i="16"/>
  <c r="E133" i="16"/>
  <c r="K155" i="16"/>
  <c r="AI155" i="16"/>
  <c r="E149" i="16"/>
  <c r="E151" i="16"/>
  <c r="AC212" i="16"/>
  <c r="K252" i="16"/>
  <c r="K244" i="16"/>
  <c r="E243" i="16"/>
  <c r="AI252" i="16"/>
  <c r="AI244" i="16"/>
  <c r="V268" i="16"/>
  <c r="S332" i="16"/>
  <c r="N155" i="16"/>
  <c r="AL155" i="16"/>
  <c r="E142" i="16"/>
  <c r="E144" i="16"/>
  <c r="E159" i="16"/>
  <c r="H165" i="16"/>
  <c r="E161" i="16"/>
  <c r="I187" i="16"/>
  <c r="Q187" i="16"/>
  <c r="Y187" i="16"/>
  <c r="AG187" i="16"/>
  <c r="AO187" i="16"/>
  <c r="N196" i="16"/>
  <c r="N188" i="16"/>
  <c r="E200" i="16"/>
  <c r="E204" i="16"/>
  <c r="E206" i="16"/>
  <c r="AC231" i="16"/>
  <c r="Q231" i="16"/>
  <c r="AO231" i="16"/>
  <c r="AO233" i="16" s="1"/>
  <c r="AC137" i="16"/>
  <c r="AB137" i="16" s="1"/>
  <c r="E163" i="16"/>
  <c r="E177" i="16"/>
  <c r="K178" i="16"/>
  <c r="V188" i="16"/>
  <c r="W212" i="16"/>
  <c r="E201" i="16"/>
  <c r="AN268" i="16"/>
  <c r="AO289" i="16"/>
  <c r="AN289" i="16" s="1"/>
  <c r="T155" i="16"/>
  <c r="T157" i="16" s="1"/>
  <c r="K196" i="16"/>
  <c r="AI196" i="16"/>
  <c r="AH212" i="16" s="1"/>
  <c r="T178" i="16"/>
  <c r="AB179" i="16"/>
  <c r="E219" i="16"/>
  <c r="H231" i="16"/>
  <c r="S268" i="16"/>
  <c r="M298" i="16"/>
  <c r="L306" i="16"/>
  <c r="W155" i="16"/>
  <c r="V155" i="16" s="1"/>
  <c r="E150" i="16"/>
  <c r="E158" i="16"/>
  <c r="AC165" i="16"/>
  <c r="L187" i="16"/>
  <c r="M188" i="16" s="1"/>
  <c r="M176" i="16"/>
  <c r="T187" i="16"/>
  <c r="T175" i="16"/>
  <c r="AB187" i="16"/>
  <c r="AC175" i="16"/>
  <c r="AB176" i="16"/>
  <c r="AJ187" i="16"/>
  <c r="AK188" i="16" s="1"/>
  <c r="AK176" i="16"/>
  <c r="M196" i="16"/>
  <c r="AC187" i="16"/>
  <c r="AK196" i="16"/>
  <c r="J182" i="16"/>
  <c r="K181" i="16"/>
  <c r="D180" i="16"/>
  <c r="D182" i="16" s="1"/>
  <c r="AH182" i="16"/>
  <c r="AI181" i="16"/>
  <c r="N231" i="16"/>
  <c r="AL231" i="16"/>
  <c r="E174" i="16"/>
  <c r="D177" i="16"/>
  <c r="H181" i="16"/>
  <c r="G187" i="16"/>
  <c r="H188" i="16" s="1"/>
  <c r="W187" i="16"/>
  <c r="AE187" i="16"/>
  <c r="H196" i="16"/>
  <c r="AF196" i="16"/>
  <c r="AE212" i="16" s="1"/>
  <c r="AK252" i="16"/>
  <c r="AL253" i="16" s="1"/>
  <c r="K306" i="16"/>
  <c r="K311" i="16" s="1"/>
  <c r="K316" i="16" s="1"/>
  <c r="AO306" i="16"/>
  <c r="AO311" i="16" s="1"/>
  <c r="AO316" i="16" s="1"/>
  <c r="AB299" i="16"/>
  <c r="M300" i="16"/>
  <c r="D301" i="16"/>
  <c r="AE302" i="16"/>
  <c r="Y353" i="16"/>
  <c r="Y351" i="16"/>
  <c r="P397" i="16"/>
  <c r="Q399" i="16"/>
  <c r="P399" i="16" s="1"/>
  <c r="N178" i="16"/>
  <c r="AL178" i="16"/>
  <c r="V179" i="16"/>
  <c r="AC253" i="16"/>
  <c r="H287" i="16"/>
  <c r="G287" i="16" s="1"/>
  <c r="E269" i="16"/>
  <c r="AE332" i="16"/>
  <c r="AB332" i="16"/>
  <c r="D183" i="16"/>
  <c r="E264" i="16"/>
  <c r="E266" i="16"/>
  <c r="Q268" i="16"/>
  <c r="K287" i="16"/>
  <c r="J287" i="16" s="1"/>
  <c r="AI287" i="16"/>
  <c r="AH287" i="16" s="1"/>
  <c r="W306" i="16"/>
  <c r="W311" i="16" s="1"/>
  <c r="W316" i="16" s="1"/>
  <c r="C298" i="16"/>
  <c r="C313" i="16"/>
  <c r="D313" i="16" s="1"/>
  <c r="AC351" i="16"/>
  <c r="AB351" i="16" s="1"/>
  <c r="Q351" i="16"/>
  <c r="P351" i="16" s="1"/>
  <c r="AO351" i="16"/>
  <c r="AO353" i="16" s="1"/>
  <c r="AN353" i="16" s="1"/>
  <c r="E183" i="16"/>
  <c r="J187" i="16"/>
  <c r="Z187" i="16"/>
  <c r="AH187" i="16"/>
  <c r="P188" i="16"/>
  <c r="AN188" i="16"/>
  <c r="D243" i="16"/>
  <c r="D252" i="16" s="1"/>
  <c r="W252" i="16"/>
  <c r="W244" i="16"/>
  <c r="Z244" i="16"/>
  <c r="E247" i="16"/>
  <c r="K268" i="16"/>
  <c r="E257" i="16"/>
  <c r="AI268" i="16"/>
  <c r="E273" i="16"/>
  <c r="N306" i="16"/>
  <c r="N311" i="16" s="1"/>
  <c r="N316" i="16" s="1"/>
  <c r="M332" i="16" s="1"/>
  <c r="X306" i="16"/>
  <c r="AH332" i="16"/>
  <c r="E298" i="16"/>
  <c r="S298" i="16"/>
  <c r="AK300" i="16"/>
  <c r="C305" i="16"/>
  <c r="D305" i="16" s="1"/>
  <c r="C309" i="16"/>
  <c r="D309" i="16" s="1"/>
  <c r="V309" i="16"/>
  <c r="C310" i="16"/>
  <c r="D310" i="16" s="1"/>
  <c r="G310" i="16"/>
  <c r="AC244" i="16"/>
  <c r="N287" i="16"/>
  <c r="M287" i="16" s="1"/>
  <c r="E271" i="16"/>
  <c r="AL287" i="16"/>
  <c r="AK287" i="16" s="1"/>
  <c r="D297" i="16"/>
  <c r="C299" i="16"/>
  <c r="D299" i="16" s="1"/>
  <c r="V299" i="16"/>
  <c r="C300" i="16"/>
  <c r="G300" i="16"/>
  <c r="AJ311" i="16"/>
  <c r="AB397" i="16"/>
  <c r="AC399" i="16"/>
  <c r="AB399" i="16" s="1"/>
  <c r="AN397" i="16"/>
  <c r="AO399" i="16"/>
  <c r="AN399" i="16" s="1"/>
  <c r="H191" i="16"/>
  <c r="N253" i="16"/>
  <c r="T287" i="16"/>
  <c r="S287" i="16" s="1"/>
  <c r="E281" i="16"/>
  <c r="E300" i="16"/>
  <c r="C303" i="16"/>
  <c r="D303" i="16" s="1"/>
  <c r="J303" i="16"/>
  <c r="D362" i="16"/>
  <c r="C364" i="16"/>
  <c r="D364" i="16" s="1"/>
  <c r="AL401" i="16"/>
  <c r="AC178" i="16"/>
  <c r="M179" i="16"/>
  <c r="AK179" i="16"/>
  <c r="Q253" i="16"/>
  <c r="E258" i="16"/>
  <c r="W287" i="16"/>
  <c r="V287" i="16" s="1"/>
  <c r="G332" i="16"/>
  <c r="S306" i="16"/>
  <c r="R311" i="16"/>
  <c r="AA306" i="16"/>
  <c r="AB297" i="16"/>
  <c r="AL306" i="16"/>
  <c r="AL311" i="16" s="1"/>
  <c r="AL316" i="16" s="1"/>
  <c r="AK332" i="16" s="1"/>
  <c r="E302" i="16"/>
  <c r="AB362" i="16"/>
  <c r="C304" i="16"/>
  <c r="D304" i="16" s="1"/>
  <c r="U306" i="16"/>
  <c r="E331" i="16"/>
  <c r="E335" i="16"/>
  <c r="E371" i="16"/>
  <c r="E376" i="16"/>
  <c r="P379" i="16"/>
  <c r="E388" i="16"/>
  <c r="E389" i="16"/>
  <c r="F306" i="16"/>
  <c r="AD306" i="16"/>
  <c r="T351" i="16"/>
  <c r="S351" i="16" s="1"/>
  <c r="E333" i="16"/>
  <c r="E462" i="16"/>
  <c r="T468" i="16"/>
  <c r="G298" i="16"/>
  <c r="C302" i="16"/>
  <c r="O306" i="16"/>
  <c r="AM306" i="16"/>
  <c r="W351" i="16"/>
  <c r="N401" i="16"/>
  <c r="W397" i="16"/>
  <c r="V397" i="16" s="1"/>
  <c r="C314" i="16"/>
  <c r="D314" i="16" s="1"/>
  <c r="E338" i="16"/>
  <c r="E343" i="16"/>
  <c r="AG364" i="16"/>
  <c r="AH364" i="16" s="1"/>
  <c r="Z397" i="16"/>
  <c r="E385" i="16"/>
  <c r="I306" i="16"/>
  <c r="AG306" i="16"/>
  <c r="G314" i="16"/>
  <c r="E330" i="16"/>
  <c r="E340" i="16"/>
  <c r="E341" i="16"/>
  <c r="N351" i="16"/>
  <c r="AH362" i="16"/>
  <c r="E370" i="16"/>
  <c r="Y379" i="16"/>
  <c r="AN379" i="16"/>
  <c r="E383" i="16"/>
  <c r="E328" i="16"/>
  <c r="Y332" i="16"/>
  <c r="H351" i="16"/>
  <c r="G351" i="16" s="1"/>
  <c r="AF351" i="16"/>
  <c r="AE351" i="16" s="1"/>
  <c r="AL353" i="16"/>
  <c r="Q401" i="16"/>
  <c r="E368" i="16"/>
  <c r="E380" i="16"/>
  <c r="E381" i="16"/>
  <c r="E325" i="16"/>
  <c r="E326" i="16"/>
  <c r="K351" i="16"/>
  <c r="AI351" i="16"/>
  <c r="E346" i="16"/>
  <c r="I364" i="16"/>
  <c r="J364" i="16" s="1"/>
  <c r="K397" i="16"/>
  <c r="J397" i="16" s="1"/>
  <c r="AI397" i="16"/>
  <c r="AH397" i="16" s="1"/>
  <c r="E393" i="16"/>
  <c r="H435" i="16"/>
  <c r="AF435" i="16"/>
  <c r="W469" i="16"/>
  <c r="K435" i="16"/>
  <c r="AI435" i="16"/>
  <c r="E430" i="16"/>
  <c r="E362" i="16"/>
  <c r="E364" i="16" s="1"/>
  <c r="M362" i="16"/>
  <c r="AK362" i="16"/>
  <c r="F364" i="16"/>
  <c r="G364" i="16" s="1"/>
  <c r="AD364" i="16"/>
  <c r="AE364" i="16" s="1"/>
  <c r="H399" i="16"/>
  <c r="G399" i="16" s="1"/>
  <c r="T399" i="16"/>
  <c r="S399" i="16" s="1"/>
  <c r="AF399" i="16"/>
  <c r="AE399" i="16" s="1"/>
  <c r="E460" i="16"/>
  <c r="AC469" i="16"/>
  <c r="H468" i="16"/>
  <c r="H483" i="16"/>
  <c r="AF483" i="16"/>
  <c r="Q435" i="16"/>
  <c r="AO435" i="16"/>
  <c r="E437" i="16"/>
  <c r="T484" i="16"/>
  <c r="K483" i="16"/>
  <c r="E471" i="16"/>
  <c r="E475" i="16"/>
  <c r="T435" i="16"/>
  <c r="E423" i="16"/>
  <c r="E425" i="16"/>
  <c r="E439" i="16"/>
  <c r="E445" i="16"/>
  <c r="Z468" i="16"/>
  <c r="W484" i="16"/>
  <c r="K469" i="16"/>
  <c r="AI469" i="16"/>
  <c r="N483" i="16"/>
  <c r="AL483" i="16"/>
  <c r="E477" i="16"/>
  <c r="E496" i="16"/>
  <c r="W435" i="16"/>
  <c r="E431" i="16"/>
  <c r="E447" i="16"/>
  <c r="AC468" i="16"/>
  <c r="Z484" i="16"/>
  <c r="N469" i="16"/>
  <c r="AL469" i="16"/>
  <c r="H469" i="16"/>
  <c r="Q483" i="16"/>
  <c r="AO483" i="16"/>
  <c r="E432" i="16"/>
  <c r="E433" i="16"/>
  <c r="E422" i="16"/>
  <c r="C34" i="19"/>
  <c r="C17" i="19"/>
  <c r="Q353" i="16" l="1"/>
  <c r="P353" i="16" s="1"/>
  <c r="AE75" i="16"/>
  <c r="AE30" i="15"/>
  <c r="AE34" i="15"/>
  <c r="AN34" i="15"/>
  <c r="S37" i="16"/>
  <c r="AE75" i="15"/>
  <c r="AK155" i="16"/>
  <c r="C110" i="15"/>
  <c r="N167" i="15"/>
  <c r="AE44" i="15"/>
  <c r="Z88" i="15"/>
  <c r="D118" i="15"/>
  <c r="M233" i="15"/>
  <c r="AN57" i="15"/>
  <c r="AN75" i="15"/>
  <c r="AN77" i="15"/>
  <c r="E16" i="16"/>
  <c r="D122" i="15"/>
  <c r="AF291" i="16"/>
  <c r="AO235" i="15"/>
  <c r="AE27" i="15"/>
  <c r="P30" i="15"/>
  <c r="C16" i="16"/>
  <c r="C27" i="16" s="1"/>
  <c r="D39" i="16" s="1"/>
  <c r="AH40" i="16"/>
  <c r="AK233" i="15"/>
  <c r="W399" i="16"/>
  <c r="K88" i="15"/>
  <c r="AH57" i="16"/>
  <c r="AK36" i="15"/>
  <c r="AN30" i="15"/>
  <c r="E469" i="16"/>
  <c r="E231" i="16"/>
  <c r="S40" i="16"/>
  <c r="E27" i="16"/>
  <c r="E30" i="16" s="1"/>
  <c r="AB110" i="16"/>
  <c r="J30" i="16"/>
  <c r="K401" i="15"/>
  <c r="AE110" i="15"/>
  <c r="D123" i="15"/>
  <c r="D106" i="15"/>
  <c r="AH233" i="15"/>
  <c r="Y40" i="15"/>
  <c r="K409" i="15"/>
  <c r="V77" i="15"/>
  <c r="V124" i="15"/>
  <c r="Y35" i="15"/>
  <c r="M30" i="15"/>
  <c r="AO88" i="15"/>
  <c r="AF401" i="15"/>
  <c r="AH231" i="15"/>
  <c r="AC409" i="15"/>
  <c r="AE155" i="15"/>
  <c r="E197" i="15"/>
  <c r="AK231" i="16"/>
  <c r="S36" i="16"/>
  <c r="V75" i="16"/>
  <c r="S34" i="16"/>
  <c r="Y212" i="15"/>
  <c r="AN399" i="15"/>
  <c r="P77" i="15"/>
  <c r="D119" i="15"/>
  <c r="D120" i="15"/>
  <c r="Q409" i="15"/>
  <c r="O435" i="15" s="1"/>
  <c r="AE39" i="15"/>
  <c r="P110" i="15"/>
  <c r="AE36" i="15"/>
  <c r="E353" i="15"/>
  <c r="T235" i="15"/>
  <c r="Y30" i="15"/>
  <c r="AI399" i="16"/>
  <c r="AH399" i="16" s="1"/>
  <c r="J75" i="16"/>
  <c r="P137" i="15"/>
  <c r="G231" i="15"/>
  <c r="AE124" i="15"/>
  <c r="Q167" i="15"/>
  <c r="AF409" i="15"/>
  <c r="AD468" i="15" s="1"/>
  <c r="T353" i="16"/>
  <c r="S353" i="16" s="1"/>
  <c r="AN39" i="16"/>
  <c r="S57" i="16"/>
  <c r="S30" i="16"/>
  <c r="AA483" i="15"/>
  <c r="D99" i="15"/>
  <c r="T197" i="15"/>
  <c r="V110" i="15"/>
  <c r="P157" i="15"/>
  <c r="J30" i="15"/>
  <c r="AB110" i="15"/>
  <c r="AK353" i="16"/>
  <c r="E379" i="16"/>
  <c r="Q157" i="16"/>
  <c r="AN36" i="16"/>
  <c r="AC401" i="15"/>
  <c r="AK110" i="15"/>
  <c r="AB44" i="15"/>
  <c r="AB157" i="15"/>
  <c r="S233" i="15"/>
  <c r="S212" i="15"/>
  <c r="S77" i="15"/>
  <c r="AH77" i="15"/>
  <c r="P57" i="15"/>
  <c r="P36" i="16"/>
  <c r="E188" i="15"/>
  <c r="Q235" i="15"/>
  <c r="V311" i="15"/>
  <c r="P124" i="15"/>
  <c r="E484" i="16"/>
  <c r="E184" i="16"/>
  <c r="AK124" i="15"/>
  <c r="Y44" i="15"/>
  <c r="AC167" i="15"/>
  <c r="P75" i="15"/>
  <c r="AK157" i="15"/>
  <c r="S57" i="15"/>
  <c r="AC401" i="16"/>
  <c r="AL409" i="15"/>
  <c r="AJ468" i="15" s="1"/>
  <c r="S75" i="15"/>
  <c r="E30" i="15"/>
  <c r="D57" i="15" s="1"/>
  <c r="AL291" i="15"/>
  <c r="AB77" i="15"/>
  <c r="AH157" i="15"/>
  <c r="C306" i="16"/>
  <c r="V40" i="16"/>
  <c r="V36" i="16"/>
  <c r="V37" i="16"/>
  <c r="V39" i="16"/>
  <c r="P353" i="15"/>
  <c r="Q355" i="15"/>
  <c r="AE157" i="15"/>
  <c r="AF167" i="15"/>
  <c r="AF353" i="16"/>
  <c r="AE353" i="16" s="1"/>
  <c r="T401" i="16"/>
  <c r="M231" i="16"/>
  <c r="E244" i="16"/>
  <c r="AH155" i="16"/>
  <c r="AL289" i="16"/>
  <c r="AK289" i="16" s="1"/>
  <c r="C187" i="16"/>
  <c r="E75" i="16"/>
  <c r="V35" i="16"/>
  <c r="AK77" i="15"/>
  <c r="AL88" i="15"/>
  <c r="AH399" i="15"/>
  <c r="AI401" i="15"/>
  <c r="AK38" i="15"/>
  <c r="AK35" i="15"/>
  <c r="AK34" i="15"/>
  <c r="AK40" i="15"/>
  <c r="AK37" i="15"/>
  <c r="AK39" i="15"/>
  <c r="M75" i="15"/>
  <c r="M57" i="15"/>
  <c r="M44" i="15"/>
  <c r="W157" i="16"/>
  <c r="V157" i="16" s="1"/>
  <c r="E332" i="16"/>
  <c r="D179" i="16"/>
  <c r="D187" i="16"/>
  <c r="E165" i="16"/>
  <c r="E178" i="16"/>
  <c r="E212" i="16"/>
  <c r="E233" i="16" s="1"/>
  <c r="E155" i="16"/>
  <c r="X115" i="16"/>
  <c r="Z110" i="16"/>
  <c r="J35" i="16"/>
  <c r="J39" i="16"/>
  <c r="V38" i="16"/>
  <c r="AE77" i="15"/>
  <c r="AF88" i="15"/>
  <c r="H409" i="15"/>
  <c r="F468" i="15" s="1"/>
  <c r="G155" i="15"/>
  <c r="AO167" i="15"/>
  <c r="AN155" i="15"/>
  <c r="Y233" i="15"/>
  <c r="Z235" i="15"/>
  <c r="E468" i="16"/>
  <c r="H401" i="16"/>
  <c r="E268" i="16"/>
  <c r="D268" i="16" s="1"/>
  <c r="D185" i="16"/>
  <c r="H289" i="16"/>
  <c r="G289" i="16" s="1"/>
  <c r="AH233" i="16"/>
  <c r="J40" i="16"/>
  <c r="AH35" i="16"/>
  <c r="AH38" i="16"/>
  <c r="AH39" i="16"/>
  <c r="E57" i="16"/>
  <c r="AG35" i="16"/>
  <c r="AB35" i="16"/>
  <c r="AB37" i="16"/>
  <c r="AB36" i="16"/>
  <c r="AJ483" i="15"/>
  <c r="AN39" i="15"/>
  <c r="AN37" i="15"/>
  <c r="AN35" i="15"/>
  <c r="AN38" i="15"/>
  <c r="AN36" i="15"/>
  <c r="AN27" i="15"/>
  <c r="V57" i="15"/>
  <c r="D231" i="15"/>
  <c r="G212" i="15"/>
  <c r="H197" i="15"/>
  <c r="AI235" i="15"/>
  <c r="V157" i="15"/>
  <c r="N403" i="15"/>
  <c r="N409" i="15"/>
  <c r="L483" i="15" s="1"/>
  <c r="W235" i="15"/>
  <c r="M77" i="15"/>
  <c r="D114" i="15"/>
  <c r="D115" i="15"/>
  <c r="D116" i="15"/>
  <c r="AB30" i="15"/>
  <c r="AE38" i="15"/>
  <c r="AF235" i="15"/>
  <c r="AE35" i="15"/>
  <c r="AB124" i="15"/>
  <c r="D351" i="15"/>
  <c r="E110" i="15"/>
  <c r="D110" i="15" s="1"/>
  <c r="AB75" i="15"/>
  <c r="J77" i="15"/>
  <c r="Y57" i="15"/>
  <c r="Z409" i="15"/>
  <c r="Y75" i="15"/>
  <c r="AI157" i="16"/>
  <c r="AH157" i="16" s="1"/>
  <c r="V110" i="16"/>
  <c r="Y107" i="16"/>
  <c r="G57" i="16"/>
  <c r="AH30" i="16"/>
  <c r="G110" i="15"/>
  <c r="E253" i="15"/>
  <c r="AB137" i="15"/>
  <c r="H235" i="15"/>
  <c r="S110" i="15"/>
  <c r="AN110" i="15"/>
  <c r="D104" i="15"/>
  <c r="C107" i="15"/>
  <c r="D107" i="15" s="1"/>
  <c r="D117" i="15"/>
  <c r="D121" i="15"/>
  <c r="AE37" i="15"/>
  <c r="AB57" i="15"/>
  <c r="K403" i="15"/>
  <c r="AN157" i="15"/>
  <c r="Y77" i="15"/>
  <c r="AI167" i="15"/>
  <c r="AH155" i="15"/>
  <c r="AH124" i="15"/>
  <c r="S30" i="15"/>
  <c r="E252" i="16"/>
  <c r="E253" i="16" s="1"/>
  <c r="D353" i="15"/>
  <c r="J157" i="15"/>
  <c r="K167" i="15"/>
  <c r="AJ435" i="15"/>
  <c r="AJ316" i="15"/>
  <c r="AK311" i="15"/>
  <c r="Z401" i="15"/>
  <c r="S399" i="15"/>
  <c r="T401" i="15"/>
  <c r="D137" i="15"/>
  <c r="T409" i="15"/>
  <c r="AI291" i="15"/>
  <c r="AH289" i="15"/>
  <c r="N291" i="15"/>
  <c r="Z167" i="15"/>
  <c r="J39" i="15"/>
  <c r="J34" i="15"/>
  <c r="J36" i="15"/>
  <c r="J37" i="15"/>
  <c r="J35" i="15"/>
  <c r="J27" i="15"/>
  <c r="J38" i="15"/>
  <c r="J40" i="15"/>
  <c r="Q197" i="15"/>
  <c r="E77" i="15"/>
  <c r="V30" i="15"/>
  <c r="AE289" i="15"/>
  <c r="AF291" i="15"/>
  <c r="Q408" i="15"/>
  <c r="Q403" i="15" s="1"/>
  <c r="AB311" i="15"/>
  <c r="AA316" i="15"/>
  <c r="P40" i="15"/>
  <c r="P39" i="15"/>
  <c r="P36" i="15"/>
  <c r="P38" i="15"/>
  <c r="P34" i="15"/>
  <c r="P35" i="15"/>
  <c r="P37" i="15"/>
  <c r="P27" i="15"/>
  <c r="M39" i="15"/>
  <c r="M27" i="15"/>
  <c r="M40" i="15"/>
  <c r="M36" i="15"/>
  <c r="M38" i="15"/>
  <c r="M35" i="15"/>
  <c r="M34" i="15"/>
  <c r="M37" i="15"/>
  <c r="AN332" i="15"/>
  <c r="AO355" i="15"/>
  <c r="AI409" i="15"/>
  <c r="AH75" i="15"/>
  <c r="AI88" i="15"/>
  <c r="AH44" i="15"/>
  <c r="AH30" i="15"/>
  <c r="N197" i="15"/>
  <c r="M212" i="15"/>
  <c r="M231" i="15"/>
  <c r="N235" i="15"/>
  <c r="I435" i="15"/>
  <c r="I468" i="15"/>
  <c r="I483" i="15"/>
  <c r="AC235" i="15"/>
  <c r="D212" i="15"/>
  <c r="E233" i="15"/>
  <c r="S157" i="15"/>
  <c r="M332" i="15"/>
  <c r="N355" i="15"/>
  <c r="S40" i="15"/>
  <c r="S36" i="15"/>
  <c r="S34" i="15"/>
  <c r="S38" i="15"/>
  <c r="S35" i="15"/>
  <c r="S27" i="15"/>
  <c r="S37" i="15"/>
  <c r="S39" i="15"/>
  <c r="S332" i="15"/>
  <c r="T355" i="15"/>
  <c r="S351" i="15"/>
  <c r="S316" i="15"/>
  <c r="AE353" i="15"/>
  <c r="AF355" i="15"/>
  <c r="D287" i="15"/>
  <c r="E289" i="15"/>
  <c r="T167" i="15"/>
  <c r="S155" i="15"/>
  <c r="S137" i="15"/>
  <c r="S289" i="15"/>
  <c r="T291" i="15"/>
  <c r="AL167" i="15"/>
  <c r="Q88" i="15"/>
  <c r="G38" i="15"/>
  <c r="G34" i="15"/>
  <c r="G37" i="15"/>
  <c r="G39" i="15"/>
  <c r="G35" i="15"/>
  <c r="G36" i="15"/>
  <c r="G40" i="15"/>
  <c r="G27" i="15"/>
  <c r="W409" i="15"/>
  <c r="W88" i="15"/>
  <c r="V75" i="15"/>
  <c r="V44" i="15"/>
  <c r="AH39" i="15"/>
  <c r="AH40" i="15"/>
  <c r="AH37" i="15"/>
  <c r="AH35" i="15"/>
  <c r="AH34" i="15"/>
  <c r="AH36" i="15"/>
  <c r="AH27" i="15"/>
  <c r="AH38" i="15"/>
  <c r="M316" i="15"/>
  <c r="AD316" i="15"/>
  <c r="AE311" i="15"/>
  <c r="D26" i="15"/>
  <c r="D16" i="15"/>
  <c r="C27" i="15"/>
  <c r="D25" i="15"/>
  <c r="C30" i="15"/>
  <c r="D24" i="15"/>
  <c r="T88" i="15"/>
  <c r="M351" i="15"/>
  <c r="W401" i="15"/>
  <c r="V399" i="15"/>
  <c r="AC291" i="15"/>
  <c r="T403" i="15"/>
  <c r="G311" i="15"/>
  <c r="F316" i="15"/>
  <c r="M311" i="15"/>
  <c r="E399" i="15"/>
  <c r="E157" i="15"/>
  <c r="AN311" i="15"/>
  <c r="AL197" i="15"/>
  <c r="AL235" i="15"/>
  <c r="Y311" i="15"/>
  <c r="X316" i="15"/>
  <c r="W167" i="15"/>
  <c r="V155" i="15"/>
  <c r="AO409" i="15"/>
  <c r="AC197" i="15"/>
  <c r="W291" i="15"/>
  <c r="V289" i="15"/>
  <c r="D306" i="15"/>
  <c r="C311" i="15"/>
  <c r="AO405" i="15"/>
  <c r="AN316" i="15"/>
  <c r="AO408" i="15"/>
  <c r="AC88" i="15"/>
  <c r="M353" i="15"/>
  <c r="E355" i="15"/>
  <c r="AD435" i="15"/>
  <c r="AD483" i="15"/>
  <c r="Q291" i="15"/>
  <c r="P289" i="15"/>
  <c r="AN289" i="15"/>
  <c r="AO291" i="15"/>
  <c r="AG316" i="15"/>
  <c r="AH311" i="15"/>
  <c r="N88" i="15"/>
  <c r="K355" i="15"/>
  <c r="D332" i="15"/>
  <c r="H167" i="15"/>
  <c r="G157" i="15"/>
  <c r="G124" i="15"/>
  <c r="AB38" i="15"/>
  <c r="AB40" i="15"/>
  <c r="AB37" i="15"/>
  <c r="AB27" i="15"/>
  <c r="AB39" i="15"/>
  <c r="AB34" i="15"/>
  <c r="AB36" i="15"/>
  <c r="AB35" i="15"/>
  <c r="S353" i="15"/>
  <c r="AN353" i="15"/>
  <c r="W408" i="15"/>
  <c r="V316" i="15"/>
  <c r="W405" i="15"/>
  <c r="C311" i="16"/>
  <c r="D379" i="16"/>
  <c r="V399" i="16"/>
  <c r="W401" i="16"/>
  <c r="K289" i="16"/>
  <c r="J289" i="16" s="1"/>
  <c r="J268" i="16"/>
  <c r="AH196" i="16"/>
  <c r="AH188" i="16"/>
  <c r="AF355" i="16"/>
  <c r="AE188" i="16"/>
  <c r="AE196" i="16"/>
  <c r="AF197" i="16" s="1"/>
  <c r="K233" i="16"/>
  <c r="J233" i="16" s="1"/>
  <c r="J212" i="16"/>
  <c r="D176" i="16"/>
  <c r="E107" i="16"/>
  <c r="E110" i="16" s="1"/>
  <c r="AH27" i="16"/>
  <c r="AH34" i="16"/>
  <c r="AO110" i="16"/>
  <c r="AN124" i="16" s="1"/>
  <c r="AM114" i="16"/>
  <c r="Z77" i="16"/>
  <c r="Y44" i="16"/>
  <c r="H77" i="16"/>
  <c r="G77" i="16" s="1"/>
  <c r="G44" i="16"/>
  <c r="AB34" i="16"/>
  <c r="AB27" i="16"/>
  <c r="AK25" i="16"/>
  <c r="AK26" i="16"/>
  <c r="AK16" i="16"/>
  <c r="AK24" i="16"/>
  <c r="AJ30" i="16"/>
  <c r="AK30" i="16" s="1"/>
  <c r="AJ27" i="16"/>
  <c r="M26" i="16"/>
  <c r="M25" i="16"/>
  <c r="M16" i="16"/>
  <c r="L30" i="16"/>
  <c r="M24" i="16"/>
  <c r="H157" i="16"/>
  <c r="G124" i="16"/>
  <c r="L27" i="16"/>
  <c r="F311" i="16"/>
  <c r="G306" i="16"/>
  <c r="O311" i="16"/>
  <c r="P306" i="16"/>
  <c r="H291" i="16"/>
  <c r="E287" i="16"/>
  <c r="D287" i="16" s="1"/>
  <c r="W196" i="16"/>
  <c r="V212" i="16" s="1"/>
  <c r="W188" i="16"/>
  <c r="AB196" i="16"/>
  <c r="AB188" i="16"/>
  <c r="AI188" i="16"/>
  <c r="N197" i="16"/>
  <c r="W289" i="16"/>
  <c r="V289" i="16" s="1"/>
  <c r="Z291" i="16"/>
  <c r="D196" i="16"/>
  <c r="D188" i="16"/>
  <c r="E137" i="16"/>
  <c r="Q110" i="16"/>
  <c r="O114" i="16"/>
  <c r="J27" i="16"/>
  <c r="J34" i="16"/>
  <c r="AH36" i="16"/>
  <c r="G36" i="16"/>
  <c r="AE231" i="16"/>
  <c r="AK117" i="16"/>
  <c r="AK106" i="16"/>
  <c r="AJ107" i="16"/>
  <c r="AK107" i="16" s="1"/>
  <c r="AK122" i="16"/>
  <c r="AK119" i="16"/>
  <c r="AK114" i="16"/>
  <c r="AJ110" i="16"/>
  <c r="AK110" i="16" s="1"/>
  <c r="AK104" i="16"/>
  <c r="AK115" i="16"/>
  <c r="AK123" i="16"/>
  <c r="AK118" i="16"/>
  <c r="AK116" i="16"/>
  <c r="AK105" i="16"/>
  <c r="AK99" i="16"/>
  <c r="AK120" i="16"/>
  <c r="AK121" i="16"/>
  <c r="P99" i="16"/>
  <c r="J37" i="16"/>
  <c r="P35" i="16"/>
  <c r="AN38" i="16"/>
  <c r="S27" i="16"/>
  <c r="S35" i="16"/>
  <c r="AC30" i="16"/>
  <c r="AB44" i="16" s="1"/>
  <c r="H409" i="16"/>
  <c r="F435" i="16" s="1"/>
  <c r="E124" i="16"/>
  <c r="C114" i="16"/>
  <c r="G30" i="16"/>
  <c r="AI409" i="16"/>
  <c r="AG435" i="16" s="1"/>
  <c r="AD30" i="16"/>
  <c r="AE30" i="16" s="1"/>
  <c r="AE25" i="16"/>
  <c r="AE26" i="16"/>
  <c r="AE24" i="16"/>
  <c r="AE16" i="16"/>
  <c r="AD27" i="16"/>
  <c r="E483" i="16"/>
  <c r="AO157" i="16"/>
  <c r="AI77" i="16"/>
  <c r="AH77" i="16" s="1"/>
  <c r="AH44" i="16"/>
  <c r="AH118" i="16"/>
  <c r="AH115" i="16"/>
  <c r="AH121" i="16"/>
  <c r="AH120" i="16"/>
  <c r="AH116" i="16"/>
  <c r="AH105" i="16"/>
  <c r="AH122" i="16"/>
  <c r="AH119" i="16"/>
  <c r="AG107" i="16"/>
  <c r="AH107" i="16" s="1"/>
  <c r="AH104" i="16"/>
  <c r="AH114" i="16"/>
  <c r="AH117" i="16"/>
  <c r="AH106" i="16"/>
  <c r="AH99" i="16"/>
  <c r="AG110" i="16"/>
  <c r="AH110" i="16" s="1"/>
  <c r="AH123" i="16"/>
  <c r="T110" i="16"/>
  <c r="S110" i="16" s="1"/>
  <c r="P39" i="16"/>
  <c r="E86" i="16"/>
  <c r="AE233" i="16"/>
  <c r="G39" i="16"/>
  <c r="V26" i="16"/>
  <c r="U30" i="16"/>
  <c r="V30" i="16" s="1"/>
  <c r="V24" i="16"/>
  <c r="V16" i="16"/>
  <c r="V25" i="16"/>
  <c r="AF409" i="16"/>
  <c r="AD435" i="16" s="1"/>
  <c r="AL409" i="16"/>
  <c r="D302" i="16"/>
  <c r="J196" i="16"/>
  <c r="K197" i="16" s="1"/>
  <c r="J188" i="16"/>
  <c r="AN332" i="16"/>
  <c r="AO355" i="16"/>
  <c r="AC196" i="16"/>
  <c r="AB231" i="16" s="1"/>
  <c r="AC188" i="16"/>
  <c r="L311" i="16"/>
  <c r="M306" i="16"/>
  <c r="AI235" i="16"/>
  <c r="AI197" i="16"/>
  <c r="W233" i="16"/>
  <c r="AO196" i="16"/>
  <c r="AN233" i="16" s="1"/>
  <c r="AO188" i="16"/>
  <c r="J155" i="16"/>
  <c r="AL197" i="16"/>
  <c r="AC157" i="16"/>
  <c r="AB157" i="16" s="1"/>
  <c r="AB124" i="16"/>
  <c r="W77" i="16"/>
  <c r="V44" i="16"/>
  <c r="J110" i="16"/>
  <c r="J36" i="16"/>
  <c r="AN34" i="16"/>
  <c r="AN27" i="16"/>
  <c r="AN37" i="16"/>
  <c r="AB39" i="16"/>
  <c r="C35" i="16"/>
  <c r="K409" i="16"/>
  <c r="N30" i="16"/>
  <c r="M75" i="16" s="1"/>
  <c r="L34" i="16"/>
  <c r="D300" i="16"/>
  <c r="M117" i="16"/>
  <c r="M106" i="16"/>
  <c r="L107" i="16"/>
  <c r="M107" i="16" s="1"/>
  <c r="M122" i="16"/>
  <c r="M119" i="16"/>
  <c r="M114" i="16"/>
  <c r="L110" i="16"/>
  <c r="M110" i="16" s="1"/>
  <c r="M104" i="16"/>
  <c r="M115" i="16"/>
  <c r="M123" i="16"/>
  <c r="M118" i="16"/>
  <c r="M116" i="16"/>
  <c r="M105" i="16"/>
  <c r="M99" i="16"/>
  <c r="M120" i="16"/>
  <c r="M121" i="16"/>
  <c r="E435" i="16"/>
  <c r="AL355" i="16"/>
  <c r="Z196" i="16"/>
  <c r="Z188" i="16"/>
  <c r="J351" i="16"/>
  <c r="K353" i="16"/>
  <c r="J353" i="16" s="1"/>
  <c r="K399" i="16"/>
  <c r="J306" i="16"/>
  <c r="I311" i="16"/>
  <c r="E351" i="16"/>
  <c r="R316" i="16"/>
  <c r="S311" i="16"/>
  <c r="AO291" i="16"/>
  <c r="AK306" i="16"/>
  <c r="W253" i="16"/>
  <c r="Q355" i="16"/>
  <c r="AK351" i="16"/>
  <c r="J332" i="16"/>
  <c r="N233" i="16"/>
  <c r="M233" i="16" s="1"/>
  <c r="K235" i="16"/>
  <c r="Y196" i="16"/>
  <c r="Y188" i="16"/>
  <c r="J231" i="16"/>
  <c r="AB268" i="16"/>
  <c r="AC289" i="16"/>
  <c r="AO77" i="16"/>
  <c r="E181" i="16"/>
  <c r="K77" i="16"/>
  <c r="J44" i="16"/>
  <c r="AL157" i="16"/>
  <c r="AK157" i="16" s="1"/>
  <c r="AK124" i="16"/>
  <c r="AH124" i="16"/>
  <c r="J137" i="16"/>
  <c r="AL77" i="16"/>
  <c r="AK44" i="16"/>
  <c r="P34" i="16"/>
  <c r="P27" i="16"/>
  <c r="AO30" i="16"/>
  <c r="AB26" i="16"/>
  <c r="AB25" i="16"/>
  <c r="AB24" i="16"/>
  <c r="AA30" i="16"/>
  <c r="AB16" i="16"/>
  <c r="T77" i="16"/>
  <c r="S44" i="16"/>
  <c r="G27" i="16"/>
  <c r="G35" i="16"/>
  <c r="AM311" i="16"/>
  <c r="AN306" i="16"/>
  <c r="AO401" i="16"/>
  <c r="D298" i="16"/>
  <c r="G188" i="16"/>
  <c r="G196" i="16"/>
  <c r="H197" i="16" s="1"/>
  <c r="AL233" i="16"/>
  <c r="AK233" i="16" s="1"/>
  <c r="M268" i="16"/>
  <c r="N289" i="16"/>
  <c r="AH351" i="16"/>
  <c r="AI353" i="16"/>
  <c r="E397" i="16"/>
  <c r="D397" i="16" s="1"/>
  <c r="AG311" i="16"/>
  <c r="AH306" i="16"/>
  <c r="AF401" i="16"/>
  <c r="U311" i="16"/>
  <c r="V306" i="16"/>
  <c r="AA311" i="16"/>
  <c r="AB306" i="16"/>
  <c r="X311" i="16"/>
  <c r="Y306" i="16"/>
  <c r="V332" i="16"/>
  <c r="E306" i="16"/>
  <c r="E311" i="16" s="1"/>
  <c r="E316" i="16" s="1"/>
  <c r="D332" i="16" s="1"/>
  <c r="T188" i="16"/>
  <c r="T196" i="16"/>
  <c r="S233" i="16" s="1"/>
  <c r="M212" i="16"/>
  <c r="K188" i="16"/>
  <c r="AI253" i="16"/>
  <c r="AC233" i="16"/>
  <c r="AH231" i="16"/>
  <c r="AJ483" i="16"/>
  <c r="H353" i="16"/>
  <c r="M351" i="16"/>
  <c r="N353" i="16"/>
  <c r="M353" i="16" s="1"/>
  <c r="V351" i="16"/>
  <c r="W353" i="16"/>
  <c r="V353" i="16" s="1"/>
  <c r="AJ316" i="16"/>
  <c r="AK311" i="16"/>
  <c r="AN351" i="16"/>
  <c r="E187" i="16"/>
  <c r="E175" i="16"/>
  <c r="T289" i="16"/>
  <c r="Q196" i="16"/>
  <c r="P231" i="16" s="1"/>
  <c r="Q188" i="16"/>
  <c r="M155" i="16"/>
  <c r="AF188" i="16"/>
  <c r="Q233" i="16"/>
  <c r="AC77" i="16"/>
  <c r="M137" i="16"/>
  <c r="Z157" i="16"/>
  <c r="Y157" i="16" s="1"/>
  <c r="G40" i="16"/>
  <c r="P40" i="16"/>
  <c r="G34" i="16"/>
  <c r="AB38" i="16"/>
  <c r="N77" i="16"/>
  <c r="P37" i="16"/>
  <c r="AC167" i="16"/>
  <c r="V27" i="16"/>
  <c r="V34" i="16"/>
  <c r="S38" i="16"/>
  <c r="AN35" i="16"/>
  <c r="AF77" i="16"/>
  <c r="AE44" i="16"/>
  <c r="Q30" i="16"/>
  <c r="P44" i="16" s="1"/>
  <c r="E44" i="16"/>
  <c r="C34" i="16"/>
  <c r="D34" i="16"/>
  <c r="D9" i="16"/>
  <c r="Y397" i="16"/>
  <c r="Z399" i="16"/>
  <c r="AD311" i="16"/>
  <c r="AE306" i="16"/>
  <c r="AI289" i="16"/>
  <c r="AH289" i="16" s="1"/>
  <c r="AH268" i="16"/>
  <c r="P268" i="16"/>
  <c r="Q289" i="16"/>
  <c r="AC353" i="16"/>
  <c r="AF235" i="16"/>
  <c r="G231" i="16"/>
  <c r="T355" i="16"/>
  <c r="K253" i="16"/>
  <c r="G212" i="16"/>
  <c r="H233" i="16"/>
  <c r="G233" i="16" s="1"/>
  <c r="C99" i="16"/>
  <c r="D97" i="16"/>
  <c r="Q77" i="16"/>
  <c r="AH137" i="16"/>
  <c r="N157" i="16"/>
  <c r="M157" i="16" s="1"/>
  <c r="M124" i="16"/>
  <c r="AF157" i="16"/>
  <c r="K157" i="16"/>
  <c r="J157" i="16" s="1"/>
  <c r="J124" i="16"/>
  <c r="G38" i="16"/>
  <c r="W167" i="16"/>
  <c r="D24" i="16"/>
  <c r="D25" i="16" l="1"/>
  <c r="S155" i="16"/>
  <c r="D36" i="16"/>
  <c r="D27" i="16"/>
  <c r="D26" i="16"/>
  <c r="D35" i="16"/>
  <c r="S157" i="16"/>
  <c r="C30" i="16"/>
  <c r="D30" i="16" s="1"/>
  <c r="D38" i="16"/>
  <c r="AL291" i="16"/>
  <c r="D37" i="16"/>
  <c r="D16" i="16"/>
  <c r="M44" i="16"/>
  <c r="AI291" i="16"/>
  <c r="D40" i="16"/>
  <c r="D155" i="15"/>
  <c r="D124" i="15"/>
  <c r="D157" i="15"/>
  <c r="D75" i="16"/>
  <c r="F483" i="15"/>
  <c r="D75" i="15"/>
  <c r="W291" i="16"/>
  <c r="AB77" i="16"/>
  <c r="AB30" i="16"/>
  <c r="P157" i="16"/>
  <c r="AI401" i="16"/>
  <c r="AD483" i="16"/>
  <c r="AI167" i="16"/>
  <c r="V233" i="16"/>
  <c r="O468" i="15"/>
  <c r="O483" i="15"/>
  <c r="AA468" i="15"/>
  <c r="AA435" i="15"/>
  <c r="D44" i="15"/>
  <c r="D77" i="15"/>
  <c r="L468" i="15"/>
  <c r="AN137" i="16"/>
  <c r="E88" i="15"/>
  <c r="D30" i="15"/>
  <c r="L435" i="15"/>
  <c r="AN155" i="16"/>
  <c r="W403" i="15"/>
  <c r="E409" i="15"/>
  <c r="C483" i="15" s="1"/>
  <c r="C115" i="16"/>
  <c r="F435" i="15"/>
  <c r="K291" i="16"/>
  <c r="F483" i="16"/>
  <c r="M77" i="16"/>
  <c r="AB233" i="16"/>
  <c r="AL235" i="16"/>
  <c r="Y155" i="16"/>
  <c r="Y124" i="16"/>
  <c r="W355" i="16"/>
  <c r="AI88" i="16"/>
  <c r="AO403" i="15"/>
  <c r="D57" i="16"/>
  <c r="Y137" i="16"/>
  <c r="Y110" i="16"/>
  <c r="M57" i="16"/>
  <c r="P137" i="16"/>
  <c r="AB212" i="16"/>
  <c r="P110" i="16"/>
  <c r="P155" i="16"/>
  <c r="N355" i="16"/>
  <c r="H88" i="16"/>
  <c r="X468" i="15"/>
  <c r="X483" i="15"/>
  <c r="X435" i="15"/>
  <c r="F468" i="16"/>
  <c r="AF405" i="15"/>
  <c r="AF408" i="15"/>
  <c r="AE316" i="15"/>
  <c r="C435" i="15"/>
  <c r="Z405" i="15"/>
  <c r="Z408" i="15"/>
  <c r="Y316" i="15"/>
  <c r="AL408" i="15"/>
  <c r="AK316" i="15"/>
  <c r="AL405" i="15"/>
  <c r="AI408" i="15"/>
  <c r="AI405" i="15"/>
  <c r="AH316" i="15"/>
  <c r="D399" i="15"/>
  <c r="E401" i="15"/>
  <c r="AG435" i="15"/>
  <c r="AG468" i="15"/>
  <c r="AG483" i="15"/>
  <c r="R435" i="15"/>
  <c r="R483" i="15"/>
  <c r="R468" i="15"/>
  <c r="C316" i="15"/>
  <c r="D316" i="15" s="1"/>
  <c r="D311" i="15"/>
  <c r="D27" i="15"/>
  <c r="D40" i="15"/>
  <c r="D39" i="15"/>
  <c r="D34" i="15"/>
  <c r="D38" i="15"/>
  <c r="D36" i="15"/>
  <c r="D35" i="15"/>
  <c r="D37" i="15"/>
  <c r="D233" i="15"/>
  <c r="E235" i="15"/>
  <c r="U435" i="15"/>
  <c r="U468" i="15"/>
  <c r="U483" i="15"/>
  <c r="D289" i="15"/>
  <c r="E291" i="15"/>
  <c r="AM435" i="15"/>
  <c r="AM483" i="15"/>
  <c r="AM468" i="15"/>
  <c r="H408" i="15"/>
  <c r="G316" i="15"/>
  <c r="H405" i="15"/>
  <c r="AB316" i="15"/>
  <c r="AC408" i="15"/>
  <c r="AC405" i="15"/>
  <c r="E167" i="15"/>
  <c r="D155" i="16"/>
  <c r="I468" i="16"/>
  <c r="Y77" i="16"/>
  <c r="Z88" i="16"/>
  <c r="P77" i="16"/>
  <c r="S289" i="16"/>
  <c r="T291" i="16"/>
  <c r="AG316" i="16"/>
  <c r="AH311" i="16"/>
  <c r="M289" i="16"/>
  <c r="N291" i="16"/>
  <c r="S77" i="16"/>
  <c r="T88" i="16"/>
  <c r="AO409" i="16"/>
  <c r="AO88" i="16"/>
  <c r="AN75" i="16"/>
  <c r="AN57" i="16"/>
  <c r="K167" i="16"/>
  <c r="AD468" i="16"/>
  <c r="AN157" i="16"/>
  <c r="O316" i="16"/>
  <c r="P311" i="16"/>
  <c r="H235" i="16"/>
  <c r="AK27" i="16"/>
  <c r="AK35" i="16"/>
  <c r="AK37" i="16"/>
  <c r="AK34" i="16"/>
  <c r="AK38" i="16"/>
  <c r="AK40" i="16"/>
  <c r="AK36" i="16"/>
  <c r="AK39" i="16"/>
  <c r="AK77" i="16"/>
  <c r="AL88" i="16"/>
  <c r="Z197" i="16"/>
  <c r="Z235" i="16"/>
  <c r="Y212" i="16"/>
  <c r="Y231" i="16"/>
  <c r="AE40" i="16"/>
  <c r="AE27" i="16"/>
  <c r="AE35" i="16"/>
  <c r="AE37" i="16"/>
  <c r="AE39" i="16"/>
  <c r="AE34" i="16"/>
  <c r="AE38" i="16"/>
  <c r="AE36" i="16"/>
  <c r="AC409" i="16"/>
  <c r="AC88" i="16"/>
  <c r="AB57" i="16"/>
  <c r="AB75" i="16"/>
  <c r="G157" i="16"/>
  <c r="H167" i="16"/>
  <c r="AO167" i="16"/>
  <c r="AN110" i="16"/>
  <c r="K355" i="16"/>
  <c r="AD316" i="16"/>
  <c r="AE311" i="16"/>
  <c r="AE77" i="16"/>
  <c r="AF88" i="16"/>
  <c r="P233" i="16"/>
  <c r="E196" i="16"/>
  <c r="D233" i="16" s="1"/>
  <c r="E188" i="16"/>
  <c r="AH353" i="16"/>
  <c r="AI355" i="16"/>
  <c r="AN231" i="16"/>
  <c r="I483" i="16"/>
  <c r="AN30" i="16"/>
  <c r="AN44" i="16"/>
  <c r="S316" i="16"/>
  <c r="T408" i="16"/>
  <c r="T405" i="16"/>
  <c r="L316" i="16"/>
  <c r="M311" i="16"/>
  <c r="E289" i="16"/>
  <c r="D306" i="16"/>
  <c r="AE157" i="16"/>
  <c r="AF167" i="16"/>
  <c r="Y311" i="16"/>
  <c r="X316" i="16"/>
  <c r="D122" i="16"/>
  <c r="D120" i="16"/>
  <c r="D116" i="16"/>
  <c r="D105" i="16"/>
  <c r="D118" i="16"/>
  <c r="C107" i="16"/>
  <c r="D107" i="16" s="1"/>
  <c r="D114" i="16"/>
  <c r="C110" i="16"/>
  <c r="D110" i="16" s="1"/>
  <c r="D121" i="16"/>
  <c r="D117" i="16"/>
  <c r="D115" i="16"/>
  <c r="D106" i="16"/>
  <c r="D99" i="16"/>
  <c r="D123" i="16"/>
  <c r="D119" i="16"/>
  <c r="D104" i="16"/>
  <c r="Y399" i="16"/>
  <c r="Z401" i="16"/>
  <c r="T197" i="16"/>
  <c r="T235" i="16"/>
  <c r="S212" i="16"/>
  <c r="S231" i="16"/>
  <c r="AA316" i="16"/>
  <c r="AB311" i="16"/>
  <c r="AN77" i="16"/>
  <c r="D351" i="16"/>
  <c r="M27" i="16"/>
  <c r="M35" i="16"/>
  <c r="M40" i="16"/>
  <c r="M36" i="16"/>
  <c r="M39" i="16"/>
  <c r="M38" i="16"/>
  <c r="M34" i="16"/>
  <c r="M37" i="16"/>
  <c r="C316" i="16"/>
  <c r="D316" i="16" s="1"/>
  <c r="D311" i="16"/>
  <c r="J77" i="16"/>
  <c r="K88" i="16"/>
  <c r="AB353" i="16"/>
  <c r="AC355" i="16"/>
  <c r="E77" i="16"/>
  <c r="D44" i="16"/>
  <c r="G353" i="16"/>
  <c r="H355" i="16"/>
  <c r="AN311" i="16"/>
  <c r="AM316" i="16"/>
  <c r="AB289" i="16"/>
  <c r="AC291" i="16"/>
  <c r="I316" i="16"/>
  <c r="J311" i="16"/>
  <c r="AO197" i="16"/>
  <c r="AO235" i="16"/>
  <c r="AN212" i="16"/>
  <c r="AC235" i="16"/>
  <c r="AC197" i="16"/>
  <c r="Q167" i="16"/>
  <c r="P124" i="16"/>
  <c r="N235" i="16"/>
  <c r="W235" i="16"/>
  <c r="W197" i="16"/>
  <c r="W409" i="16"/>
  <c r="V231" i="16"/>
  <c r="M30" i="16"/>
  <c r="Y233" i="16"/>
  <c r="E353" i="16"/>
  <c r="D353" i="16" s="1"/>
  <c r="Q409" i="16"/>
  <c r="Q88" i="16"/>
  <c r="P30" i="16"/>
  <c r="P75" i="16"/>
  <c r="P57" i="16"/>
  <c r="V311" i="16"/>
  <c r="U316" i="16"/>
  <c r="I435" i="16"/>
  <c r="N409" i="16"/>
  <c r="N88" i="16"/>
  <c r="V77" i="16"/>
  <c r="W88" i="16"/>
  <c r="AJ435" i="16"/>
  <c r="AJ468" i="16"/>
  <c r="AG483" i="16"/>
  <c r="AG468" i="16"/>
  <c r="D137" i="16"/>
  <c r="N167" i="16"/>
  <c r="F316" i="16"/>
  <c r="G311" i="16"/>
  <c r="Z409" i="16"/>
  <c r="P289" i="16"/>
  <c r="Q291" i="16"/>
  <c r="Z167" i="16"/>
  <c r="Q197" i="16"/>
  <c r="Q235" i="16"/>
  <c r="P212" i="16"/>
  <c r="AK316" i="16"/>
  <c r="AL408" i="16"/>
  <c r="AL405" i="16"/>
  <c r="J399" i="16"/>
  <c r="K401" i="16"/>
  <c r="T167" i="16"/>
  <c r="T409" i="16"/>
  <c r="S124" i="16"/>
  <c r="S137" i="16"/>
  <c r="E157" i="16"/>
  <c r="D157" i="16" s="1"/>
  <c r="D124" i="16"/>
  <c r="AL167" i="16"/>
  <c r="E399" i="16"/>
  <c r="L2" i="21"/>
  <c r="C468" i="15" l="1"/>
  <c r="E355" i="16"/>
  <c r="Z403" i="15"/>
  <c r="AF403" i="15"/>
  <c r="AL403" i="15"/>
  <c r="AC403" i="15"/>
  <c r="AI403" i="15"/>
  <c r="H403" i="15"/>
  <c r="E408" i="15"/>
  <c r="E403" i="15" s="1"/>
  <c r="R483" i="16"/>
  <c r="R435" i="16"/>
  <c r="R468" i="16"/>
  <c r="AH316" i="16"/>
  <c r="AI405" i="16"/>
  <c r="AI408" i="16"/>
  <c r="AL403" i="16"/>
  <c r="AB316" i="16"/>
  <c r="AC405" i="16"/>
  <c r="AC408" i="16"/>
  <c r="M316" i="16"/>
  <c r="N405" i="16"/>
  <c r="N408" i="16"/>
  <c r="T403" i="16"/>
  <c r="E235" i="16"/>
  <c r="E197" i="16"/>
  <c r="D231" i="16"/>
  <c r="D212" i="16"/>
  <c r="D399" i="16"/>
  <c r="E401" i="16"/>
  <c r="D77" i="16"/>
  <c r="E88" i="16"/>
  <c r="X483" i="16"/>
  <c r="X435" i="16"/>
  <c r="X468" i="16"/>
  <c r="G316" i="16"/>
  <c r="H408" i="16"/>
  <c r="H405" i="16"/>
  <c r="L435" i="16"/>
  <c r="L468" i="16"/>
  <c r="L483" i="16"/>
  <c r="D289" i="16"/>
  <c r="E291" i="16"/>
  <c r="AF408" i="16"/>
  <c r="AE316" i="16"/>
  <c r="AF405" i="16"/>
  <c r="O468" i="16"/>
  <c r="O435" i="16"/>
  <c r="O483" i="16"/>
  <c r="J316" i="16"/>
  <c r="K405" i="16"/>
  <c r="K408" i="16"/>
  <c r="W405" i="16"/>
  <c r="V316" i="16"/>
  <c r="W408" i="16"/>
  <c r="AM468" i="16"/>
  <c r="AM435" i="16"/>
  <c r="AM483" i="16"/>
  <c r="E409" i="16"/>
  <c r="Y316" i="16"/>
  <c r="Z408" i="16"/>
  <c r="Z405" i="16"/>
  <c r="Q405" i="16"/>
  <c r="P316" i="16"/>
  <c r="Q408" i="16"/>
  <c r="U468" i="16"/>
  <c r="U483" i="16"/>
  <c r="U435" i="16"/>
  <c r="AN316" i="16"/>
  <c r="AO405" i="16"/>
  <c r="AO408" i="16"/>
  <c r="AA435" i="16"/>
  <c r="AA483" i="16"/>
  <c r="AA468" i="16"/>
  <c r="E167" i="16"/>
  <c r="C485" i="5"/>
  <c r="D483" i="5" s="1"/>
  <c r="E483" i="5" s="1"/>
  <c r="F483" i="5" s="1"/>
  <c r="N403" i="16" l="1"/>
  <c r="K403" i="16"/>
  <c r="AC403" i="16"/>
  <c r="Q403" i="16"/>
  <c r="AI403" i="16"/>
  <c r="C468" i="16"/>
  <c r="C483" i="16"/>
  <c r="C435" i="16"/>
  <c r="H403" i="16"/>
  <c r="E408" i="16"/>
  <c r="E403" i="16" s="1"/>
  <c r="AO403" i="16"/>
  <c r="Z403" i="16"/>
  <c r="W403" i="16"/>
  <c r="AF403" i="16"/>
  <c r="D469" i="5"/>
  <c r="E469" i="5" s="1"/>
  <c r="F469" i="5" s="1"/>
  <c r="D477" i="5"/>
  <c r="E477" i="5" s="1"/>
  <c r="F477" i="5" s="1"/>
  <c r="D471" i="5"/>
  <c r="E471" i="5" s="1"/>
  <c r="F471" i="5" s="1"/>
  <c r="D479" i="5"/>
  <c r="E479" i="5" s="1"/>
  <c r="F479" i="5" s="1"/>
  <c r="D473" i="5"/>
  <c r="E473" i="5" s="1"/>
  <c r="F473" i="5" s="1"/>
  <c r="D481" i="5"/>
  <c r="D467" i="5"/>
  <c r="D475" i="5"/>
  <c r="E475" i="5" s="1"/>
  <c r="F475" i="5" s="1"/>
  <c r="H34" i="19"/>
  <c r="E467" i="5" l="1"/>
  <c r="F467" i="5" s="1"/>
  <c r="D485" i="5"/>
  <c r="F19" i="19"/>
  <c r="E19" i="19"/>
  <c r="D19" i="19"/>
  <c r="F36" i="19"/>
  <c r="E36" i="19"/>
  <c r="D36" i="19"/>
  <c r="C35" i="19" l="1"/>
  <c r="C36" i="19" s="1"/>
  <c r="M2" i="21" l="1"/>
  <c r="C18" i="19"/>
  <c r="C19" i="19" s="1"/>
  <c r="A499" i="15" l="1"/>
  <c r="A498" i="15"/>
  <c r="A497" i="15"/>
  <c r="A496" i="15"/>
  <c r="A495" i="15"/>
  <c r="A494" i="15"/>
  <c r="A493" i="15"/>
  <c r="B487"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B404"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55" i="15"/>
  <c r="A354" i="15"/>
  <c r="A353" i="15"/>
  <c r="A352" i="15"/>
  <c r="A351" i="15"/>
  <c r="A350" i="15"/>
  <c r="A349" i="15"/>
  <c r="A348" i="15"/>
  <c r="A347" i="15"/>
  <c r="A346" i="15"/>
  <c r="A345" i="15"/>
  <c r="A344" i="15"/>
  <c r="A343" i="15"/>
  <c r="A342" i="15"/>
  <c r="A341" i="15"/>
  <c r="A340"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B293" i="15"/>
  <c r="B358" i="15" s="1"/>
  <c r="A291" i="15"/>
  <c r="A290" i="15"/>
  <c r="A289" i="15"/>
  <c r="A288" i="15"/>
  <c r="A287" i="15"/>
  <c r="A286" i="15"/>
  <c r="A285" i="15"/>
  <c r="A284" i="15"/>
  <c r="A283" i="15"/>
  <c r="A282" i="15"/>
  <c r="A281" i="15"/>
  <c r="A280" i="15"/>
  <c r="A279" i="15"/>
  <c r="A278" i="15"/>
  <c r="A277" i="15"/>
  <c r="A276"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B238" i="15"/>
  <c r="A235" i="15"/>
  <c r="A234" i="15"/>
  <c r="A233" i="15"/>
  <c r="A232" i="15"/>
  <c r="A231" i="15"/>
  <c r="A230" i="15"/>
  <c r="A229" i="15"/>
  <c r="A228" i="15"/>
  <c r="A227" i="15"/>
  <c r="A226" i="15"/>
  <c r="A225" i="15"/>
  <c r="A224" i="15"/>
  <c r="A223" i="15"/>
  <c r="A222" i="15"/>
  <c r="A221" i="15"/>
  <c r="A220"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B170"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B92"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AI453" i="15" l="1"/>
  <c r="W453" i="15"/>
  <c r="K453" i="15"/>
  <c r="AI452" i="15"/>
  <c r="W452" i="15"/>
  <c r="K452" i="15"/>
  <c r="AI451" i="15"/>
  <c r="W451" i="15"/>
  <c r="W454" i="15" s="1"/>
  <c r="U454" i="15" s="1"/>
  <c r="K451" i="15"/>
  <c r="AF434" i="15"/>
  <c r="T434" i="15"/>
  <c r="H434" i="15"/>
  <c r="AF420" i="15"/>
  <c r="T420" i="15"/>
  <c r="H420" i="15"/>
  <c r="AF419" i="15"/>
  <c r="T419" i="15"/>
  <c r="H419" i="15"/>
  <c r="AF418" i="15"/>
  <c r="T418" i="15"/>
  <c r="H418" i="15"/>
  <c r="AF417" i="15"/>
  <c r="AE417" i="15" s="1"/>
  <c r="T417" i="15"/>
  <c r="S417" i="15" s="1"/>
  <c r="H417" i="15"/>
  <c r="AF416" i="15"/>
  <c r="AE416" i="15" s="1"/>
  <c r="T416" i="15"/>
  <c r="S416" i="15" s="1"/>
  <c r="H416" i="15"/>
  <c r="AF415" i="15"/>
  <c r="AE415" i="15" s="1"/>
  <c r="T415" i="15"/>
  <c r="S415" i="15" s="1"/>
  <c r="H415" i="15"/>
  <c r="AF414" i="15"/>
  <c r="AE414" i="15" s="1"/>
  <c r="T414" i="15"/>
  <c r="S414" i="15" s="1"/>
  <c r="H414" i="15"/>
  <c r="AF413" i="15"/>
  <c r="AE413" i="15" s="1"/>
  <c r="T413" i="15"/>
  <c r="S413" i="15" s="1"/>
  <c r="H413" i="15"/>
  <c r="AF412" i="15"/>
  <c r="AE412" i="15" s="1"/>
  <c r="T412" i="15"/>
  <c r="S412" i="15" s="1"/>
  <c r="H412" i="15"/>
  <c r="AF411" i="15"/>
  <c r="T411" i="15"/>
  <c r="H411" i="15"/>
  <c r="AF453" i="15"/>
  <c r="T453" i="15"/>
  <c r="H453" i="15"/>
  <c r="AF452" i="15"/>
  <c r="T452" i="15"/>
  <c r="H452" i="15"/>
  <c r="AF451" i="15"/>
  <c r="T451" i="15"/>
  <c r="H451" i="15"/>
  <c r="AO434" i="15"/>
  <c r="AC434" i="15"/>
  <c r="Q434" i="15"/>
  <c r="AO420" i="15"/>
  <c r="AC420" i="15"/>
  <c r="Q420" i="15"/>
  <c r="AO419" i="15"/>
  <c r="AC419" i="15"/>
  <c r="Q419" i="15"/>
  <c r="AO418" i="15"/>
  <c r="AC418" i="15"/>
  <c r="Q418" i="15"/>
  <c r="AO417" i="15"/>
  <c r="AN417" i="15" s="1"/>
  <c r="AC417" i="15"/>
  <c r="AB417" i="15" s="1"/>
  <c r="Q417" i="15"/>
  <c r="P417" i="15" s="1"/>
  <c r="AO416" i="15"/>
  <c r="AN416" i="15" s="1"/>
  <c r="AC416" i="15"/>
  <c r="AB416" i="15" s="1"/>
  <c r="Q416" i="15"/>
  <c r="P416" i="15" s="1"/>
  <c r="AO415" i="15"/>
  <c r="AN415" i="15" s="1"/>
  <c r="AO453" i="15"/>
  <c r="AC453" i="15"/>
  <c r="Q453" i="15"/>
  <c r="AO452" i="15"/>
  <c r="AC452" i="15"/>
  <c r="Q452" i="15"/>
  <c r="AO451" i="15"/>
  <c r="AC451" i="15"/>
  <c r="Q451" i="15"/>
  <c r="AL434" i="15"/>
  <c r="Z434" i="15"/>
  <c r="N434" i="15"/>
  <c r="AL420" i="15"/>
  <c r="Z420" i="15"/>
  <c r="N420" i="15"/>
  <c r="AL419" i="15"/>
  <c r="Z419" i="15"/>
  <c r="N419" i="15"/>
  <c r="AL418" i="15"/>
  <c r="Z418" i="15"/>
  <c r="AL453" i="15"/>
  <c r="Z453" i="15"/>
  <c r="N453" i="15"/>
  <c r="AL452" i="15"/>
  <c r="Z452" i="15"/>
  <c r="N452" i="15"/>
  <c r="AL451" i="15"/>
  <c r="Z451" i="15"/>
  <c r="N451" i="15"/>
  <c r="AI434" i="15"/>
  <c r="W434" i="15"/>
  <c r="K434" i="15"/>
  <c r="AI420" i="15"/>
  <c r="W420" i="15"/>
  <c r="K420" i="15"/>
  <c r="AI419" i="15"/>
  <c r="W419" i="15"/>
  <c r="K419" i="15"/>
  <c r="AI418" i="15"/>
  <c r="W418" i="15"/>
  <c r="K418" i="15"/>
  <c r="AI417" i="15"/>
  <c r="AH417" i="15" s="1"/>
  <c r="W417" i="15"/>
  <c r="V417" i="15" s="1"/>
  <c r="K417" i="15"/>
  <c r="J417" i="15" s="1"/>
  <c r="AI416" i="15"/>
  <c r="AH416" i="15" s="1"/>
  <c r="W416" i="15"/>
  <c r="V416" i="15" s="1"/>
  <c r="K416" i="15"/>
  <c r="J416" i="15" s="1"/>
  <c r="AI415" i="15"/>
  <c r="AH415" i="15" s="1"/>
  <c r="W415" i="15"/>
  <c r="V415" i="15" s="1"/>
  <c r="K415" i="15"/>
  <c r="J415" i="15" s="1"/>
  <c r="AI414" i="15"/>
  <c r="AH414" i="15" s="1"/>
  <c r="W414" i="15"/>
  <c r="V414" i="15" s="1"/>
  <c r="K414" i="15"/>
  <c r="J414" i="15" s="1"/>
  <c r="AI413" i="15"/>
  <c r="AH413" i="15" s="1"/>
  <c r="W413" i="15"/>
  <c r="V413" i="15" s="1"/>
  <c r="K413" i="15"/>
  <c r="J413" i="15" s="1"/>
  <c r="AI412" i="15"/>
  <c r="AH412" i="15" s="1"/>
  <c r="W412" i="15"/>
  <c r="V412" i="15" s="1"/>
  <c r="K412" i="15"/>
  <c r="J412" i="15" s="1"/>
  <c r="AI411" i="15"/>
  <c r="W411" i="15"/>
  <c r="K411" i="15"/>
  <c r="N418" i="15"/>
  <c r="AL416" i="15"/>
  <c r="AK416" i="15" s="1"/>
  <c r="AC415" i="15"/>
  <c r="AB415" i="15" s="1"/>
  <c r="AO414" i="15"/>
  <c r="AN414" i="15" s="1"/>
  <c r="Q414" i="15"/>
  <c r="P414" i="15" s="1"/>
  <c r="AC413" i="15"/>
  <c r="AB413" i="15" s="1"/>
  <c r="AO412" i="15"/>
  <c r="AN412" i="15" s="1"/>
  <c r="Q412" i="15"/>
  <c r="P412" i="15" s="1"/>
  <c r="AC411" i="15"/>
  <c r="AL417" i="15"/>
  <c r="AK417" i="15" s="1"/>
  <c r="Z416" i="15"/>
  <c r="Y416" i="15" s="1"/>
  <c r="Z415" i="15"/>
  <c r="Y415" i="15" s="1"/>
  <c r="AL414" i="15"/>
  <c r="AK414" i="15" s="1"/>
  <c r="N414" i="15"/>
  <c r="M414" i="15" s="1"/>
  <c r="Z413" i="15"/>
  <c r="Y413" i="15" s="1"/>
  <c r="AL412" i="15"/>
  <c r="AK412" i="15" s="1"/>
  <c r="N412" i="15"/>
  <c r="M412" i="15" s="1"/>
  <c r="Z411" i="15"/>
  <c r="Z417" i="15"/>
  <c r="Y417" i="15" s="1"/>
  <c r="N416" i="15"/>
  <c r="M416" i="15" s="1"/>
  <c r="Q415" i="15"/>
  <c r="P415" i="15" s="1"/>
  <c r="AC414" i="15"/>
  <c r="AB414" i="15" s="1"/>
  <c r="AO413" i="15"/>
  <c r="AN413" i="15" s="1"/>
  <c r="Q413" i="15"/>
  <c r="P413" i="15" s="1"/>
  <c r="AC412" i="15"/>
  <c r="AB412" i="15" s="1"/>
  <c r="AO411" i="15"/>
  <c r="Q411" i="15"/>
  <c r="N417" i="15"/>
  <c r="M417" i="15" s="1"/>
  <c r="AL415" i="15"/>
  <c r="AK415" i="15" s="1"/>
  <c r="N415" i="15"/>
  <c r="M415" i="15" s="1"/>
  <c r="Z414" i="15"/>
  <c r="Y414" i="15" s="1"/>
  <c r="AL413" i="15"/>
  <c r="AK413" i="15" s="1"/>
  <c r="N413" i="15"/>
  <c r="M413" i="15" s="1"/>
  <c r="Z412" i="15"/>
  <c r="Y412" i="15" s="1"/>
  <c r="AL411" i="15"/>
  <c r="N411" i="15"/>
  <c r="E12" i="3"/>
  <c r="E11" i="3"/>
  <c r="E10" i="3"/>
  <c r="H12" i="3"/>
  <c r="H11" i="3"/>
  <c r="H10" i="3"/>
  <c r="K454" i="15" l="1"/>
  <c r="I454" i="15" s="1"/>
  <c r="AI454" i="15"/>
  <c r="AG454" i="15" s="1"/>
  <c r="E452" i="15"/>
  <c r="AE430" i="15"/>
  <c r="AE431" i="15"/>
  <c r="AE432" i="15"/>
  <c r="AE411" i="15"/>
  <c r="AE433" i="15"/>
  <c r="AF421" i="15"/>
  <c r="G413" i="15"/>
  <c r="E413" i="15"/>
  <c r="D413" i="15" s="1"/>
  <c r="E417" i="15"/>
  <c r="D417" i="15" s="1"/>
  <c r="G417" i="15"/>
  <c r="E434" i="15"/>
  <c r="AK432" i="15"/>
  <c r="AK433" i="15"/>
  <c r="AL421" i="15"/>
  <c r="AK430" i="15"/>
  <c r="AK431" i="15"/>
  <c r="AK411" i="15"/>
  <c r="P411" i="15"/>
  <c r="Q421" i="15"/>
  <c r="P432" i="15"/>
  <c r="P433" i="15"/>
  <c r="P431" i="15"/>
  <c r="P430" i="15"/>
  <c r="W421" i="15"/>
  <c r="V411" i="15"/>
  <c r="V433" i="15"/>
  <c r="V430" i="15"/>
  <c r="V432" i="15"/>
  <c r="V431" i="15"/>
  <c r="N454" i="15"/>
  <c r="L454" i="15" s="1"/>
  <c r="Q454" i="15"/>
  <c r="O454" i="15" s="1"/>
  <c r="H454" i="15"/>
  <c r="F454" i="15" s="1"/>
  <c r="E451" i="15"/>
  <c r="E412" i="15"/>
  <c r="G412" i="15"/>
  <c r="E416" i="15"/>
  <c r="D416" i="15" s="1"/>
  <c r="G416" i="15"/>
  <c r="E420" i="15"/>
  <c r="J432" i="15"/>
  <c r="J430" i="15"/>
  <c r="J411" i="15"/>
  <c r="K421" i="15"/>
  <c r="J431" i="15"/>
  <c r="J433" i="15"/>
  <c r="Z454" i="15"/>
  <c r="X454" i="15" s="1"/>
  <c r="AC454" i="15"/>
  <c r="AA454" i="15" s="1"/>
  <c r="T454" i="15"/>
  <c r="R454" i="15" s="1"/>
  <c r="G411" i="15"/>
  <c r="H421" i="15"/>
  <c r="E411" i="15"/>
  <c r="G430" i="15"/>
  <c r="G433" i="15"/>
  <c r="G432" i="15"/>
  <c r="G431" i="15"/>
  <c r="E415" i="15"/>
  <c r="D415" i="15" s="1"/>
  <c r="G415" i="15"/>
  <c r="E419" i="15"/>
  <c r="M432" i="15"/>
  <c r="M433" i="15"/>
  <c r="N421" i="15"/>
  <c r="M411" i="15"/>
  <c r="M431" i="15"/>
  <c r="M430" i="15"/>
  <c r="AO421" i="15"/>
  <c r="AN411" i="15"/>
  <c r="AN433" i="15"/>
  <c r="AN431" i="15"/>
  <c r="AN430" i="15"/>
  <c r="AN432" i="15"/>
  <c r="Y411" i="15"/>
  <c r="Y430" i="15"/>
  <c r="Z421" i="15"/>
  <c r="Y431" i="15"/>
  <c r="Y432" i="15"/>
  <c r="Y433" i="15"/>
  <c r="AH431" i="15"/>
  <c r="AH411" i="15"/>
  <c r="AH432" i="15"/>
  <c r="AH430" i="15"/>
  <c r="AH433" i="15"/>
  <c r="AI421" i="15"/>
  <c r="AB411" i="15"/>
  <c r="AC421" i="15"/>
  <c r="AB430" i="15"/>
  <c r="AB431" i="15"/>
  <c r="AB432" i="15"/>
  <c r="AB433" i="15"/>
  <c r="AL454" i="15"/>
  <c r="AJ454" i="15" s="1"/>
  <c r="AO454" i="15"/>
  <c r="AM454" i="15" s="1"/>
  <c r="AF454" i="15"/>
  <c r="AD454" i="15" s="1"/>
  <c r="E453" i="15"/>
  <c r="T421" i="15"/>
  <c r="S433" i="15"/>
  <c r="S430" i="15"/>
  <c r="S431" i="15"/>
  <c r="S432" i="15"/>
  <c r="S411" i="15"/>
  <c r="G414" i="15"/>
  <c r="E414" i="15"/>
  <c r="D414" i="15" s="1"/>
  <c r="E418" i="15"/>
  <c r="D430" i="15" l="1"/>
  <c r="D433" i="15"/>
  <c r="C411" i="15"/>
  <c r="E421" i="15"/>
  <c r="D431" i="15"/>
  <c r="D411" i="15"/>
  <c r="D432" i="15"/>
  <c r="I421" i="15"/>
  <c r="K470" i="15"/>
  <c r="C412" i="15"/>
  <c r="D412" i="15"/>
  <c r="AL470" i="15"/>
  <c r="AJ421" i="15"/>
  <c r="AD421" i="15"/>
  <c r="AF470" i="15"/>
  <c r="AI470" i="15"/>
  <c r="AG421" i="15"/>
  <c r="H470" i="15"/>
  <c r="F421" i="15"/>
  <c r="E454" i="15"/>
  <c r="C454" i="15" s="1"/>
  <c r="AA421" i="15"/>
  <c r="AC470" i="15"/>
  <c r="O421" i="15"/>
  <c r="Q470" i="15"/>
  <c r="T470" i="15"/>
  <c r="R421" i="15"/>
  <c r="X421" i="15"/>
  <c r="Z470" i="15"/>
  <c r="AO470" i="15"/>
  <c r="AM421" i="15"/>
  <c r="L421" i="15"/>
  <c r="N470" i="15"/>
  <c r="W470" i="15"/>
  <c r="U421" i="15"/>
  <c r="Q201" i="5"/>
  <c r="N201" i="5" s="1"/>
  <c r="R201" i="5"/>
  <c r="S201" i="5"/>
  <c r="M201" i="5"/>
  <c r="L201" i="5"/>
  <c r="U201" i="5" s="1"/>
  <c r="D421" i="15" l="1"/>
  <c r="L470" i="15"/>
  <c r="N485" i="15"/>
  <c r="X470" i="15"/>
  <c r="Z485" i="15"/>
  <c r="O470" i="15"/>
  <c r="Q485" i="15"/>
  <c r="AI485" i="15"/>
  <c r="AG470" i="15"/>
  <c r="AJ470" i="15"/>
  <c r="AL485" i="15"/>
  <c r="E470" i="15"/>
  <c r="C421" i="15"/>
  <c r="AD470" i="15"/>
  <c r="AF485" i="15"/>
  <c r="AC485" i="15"/>
  <c r="AA470" i="15"/>
  <c r="F470" i="15"/>
  <c r="H485" i="15"/>
  <c r="U470" i="15"/>
  <c r="W485" i="15"/>
  <c r="AM470" i="15"/>
  <c r="AO485" i="15"/>
  <c r="R470" i="15"/>
  <c r="T485" i="15"/>
  <c r="I470" i="15"/>
  <c r="K485" i="15"/>
  <c r="X201" i="5"/>
  <c r="T201" i="5"/>
  <c r="W201" i="5"/>
  <c r="V201" i="5"/>
  <c r="P201" i="5"/>
  <c r="O201" i="5"/>
  <c r="S485" i="15" l="1"/>
  <c r="T491" i="15"/>
  <c r="V485" i="15"/>
  <c r="W491" i="15"/>
  <c r="Z491" i="15"/>
  <c r="Y485" i="15"/>
  <c r="AB485" i="15"/>
  <c r="AC491" i="15"/>
  <c r="C470" i="15"/>
  <c r="E485" i="15"/>
  <c r="AH485" i="15"/>
  <c r="AI491" i="15"/>
  <c r="K491" i="15"/>
  <c r="J485" i="15"/>
  <c r="AO491" i="15"/>
  <c r="AN485" i="15"/>
  <c r="G485" i="15"/>
  <c r="H491" i="15"/>
  <c r="AF491" i="15"/>
  <c r="AE485" i="15"/>
  <c r="AL491" i="15"/>
  <c r="AK485" i="15"/>
  <c r="Q491" i="15"/>
  <c r="P485" i="15"/>
  <c r="N491" i="15"/>
  <c r="M485" i="15"/>
  <c r="W8" i="17"/>
  <c r="AB491" i="15" l="1"/>
  <c r="AC500" i="15"/>
  <c r="AB500" i="15" s="1"/>
  <c r="W500" i="15"/>
  <c r="V500" i="15" s="1"/>
  <c r="V491" i="15"/>
  <c r="Q500" i="15"/>
  <c r="P500" i="15" s="1"/>
  <c r="P491" i="15"/>
  <c r="AF500" i="15"/>
  <c r="AE500" i="15" s="1"/>
  <c r="AE491" i="15"/>
  <c r="AO500" i="15"/>
  <c r="AN500" i="15" s="1"/>
  <c r="AN491" i="15"/>
  <c r="G491" i="15"/>
  <c r="H500" i="15"/>
  <c r="G500" i="15" s="1"/>
  <c r="E491" i="15"/>
  <c r="D485" i="15"/>
  <c r="S491" i="15"/>
  <c r="T500" i="15"/>
  <c r="S500" i="15" s="1"/>
  <c r="AI500" i="15"/>
  <c r="AH500" i="15" s="1"/>
  <c r="AH491" i="15"/>
  <c r="M491" i="15"/>
  <c r="N500" i="15"/>
  <c r="M500" i="15" s="1"/>
  <c r="AK491" i="15"/>
  <c r="AL500" i="15"/>
  <c r="AK500" i="15" s="1"/>
  <c r="K500" i="15"/>
  <c r="J500" i="15" s="1"/>
  <c r="J491" i="15"/>
  <c r="Z500" i="15"/>
  <c r="Y500" i="15" s="1"/>
  <c r="Y491" i="15"/>
  <c r="A358" i="17"/>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E500" i="15" l="1"/>
  <c r="D500" i="15" s="1"/>
  <c r="D491" i="15"/>
  <c r="R359" i="17"/>
  <c r="M361" i="17"/>
  <c r="H361" i="17"/>
  <c r="R361" i="17"/>
  <c r="M359" i="17"/>
  <c r="H359" i="17"/>
  <c r="P396" i="17" l="1"/>
  <c r="I394" i="17"/>
  <c r="H394" i="17" s="1"/>
  <c r="P394" i="17"/>
  <c r="I376" i="17"/>
  <c r="P376" i="17"/>
  <c r="Q361" i="17"/>
  <c r="M2" i="5"/>
  <c r="Q2" i="5"/>
  <c r="R2" i="5"/>
  <c r="S2" i="5"/>
  <c r="M3" i="5"/>
  <c r="Q3" i="5"/>
  <c r="R3" i="5"/>
  <c r="S3" i="5"/>
  <c r="M4" i="5"/>
  <c r="Q4" i="5"/>
  <c r="O4" i="5" s="1"/>
  <c r="R4" i="5"/>
  <c r="S4" i="5"/>
  <c r="M5" i="5"/>
  <c r="Q5" i="5"/>
  <c r="R5" i="5"/>
  <c r="S5" i="5"/>
  <c r="M6" i="5"/>
  <c r="Q6" i="5"/>
  <c r="P6" i="5" s="1"/>
  <c r="R6" i="5"/>
  <c r="S6" i="5"/>
  <c r="M7" i="5"/>
  <c r="Q7" i="5"/>
  <c r="R7" i="5"/>
  <c r="S7" i="5"/>
  <c r="M8" i="5"/>
  <c r="Q8" i="5"/>
  <c r="R8" i="5"/>
  <c r="S8" i="5"/>
  <c r="M9" i="5"/>
  <c r="Q9" i="5"/>
  <c r="R9" i="5"/>
  <c r="S9" i="5"/>
  <c r="M10" i="5"/>
  <c r="Q10" i="5"/>
  <c r="P10" i="5" s="1"/>
  <c r="R10" i="5"/>
  <c r="S10" i="5"/>
  <c r="M11" i="5"/>
  <c r="Q11" i="5"/>
  <c r="R11" i="5"/>
  <c r="S11" i="5"/>
  <c r="M12" i="5"/>
  <c r="Q12" i="5"/>
  <c r="O12" i="5" s="1"/>
  <c r="R12" i="5"/>
  <c r="S12" i="5"/>
  <c r="M13" i="5"/>
  <c r="Q13" i="5"/>
  <c r="R13" i="5"/>
  <c r="S13" i="5"/>
  <c r="M14" i="5"/>
  <c r="Q14" i="5"/>
  <c r="N14" i="5" s="1"/>
  <c r="R14" i="5"/>
  <c r="S14" i="5"/>
  <c r="M15" i="5"/>
  <c r="Q15" i="5"/>
  <c r="R15" i="5"/>
  <c r="S15" i="5"/>
  <c r="M16" i="5"/>
  <c r="Q16" i="5"/>
  <c r="R16" i="5"/>
  <c r="S16" i="5"/>
  <c r="M17" i="5"/>
  <c r="Q17" i="5"/>
  <c r="P17" i="5" s="1"/>
  <c r="R17" i="5"/>
  <c r="S17" i="5"/>
  <c r="M18" i="5"/>
  <c r="Q18" i="5"/>
  <c r="P18" i="5" s="1"/>
  <c r="R18" i="5"/>
  <c r="S18" i="5"/>
  <c r="M19" i="5"/>
  <c r="Q19" i="5"/>
  <c r="R19" i="5"/>
  <c r="S19" i="5"/>
  <c r="M20" i="5"/>
  <c r="Q20" i="5"/>
  <c r="O20" i="5" s="1"/>
  <c r="R20" i="5"/>
  <c r="S20" i="5"/>
  <c r="M21" i="5"/>
  <c r="Q21" i="5"/>
  <c r="R21" i="5"/>
  <c r="S21" i="5"/>
  <c r="M22" i="5"/>
  <c r="Q22" i="5"/>
  <c r="R22" i="5"/>
  <c r="S22" i="5"/>
  <c r="M23" i="5"/>
  <c r="Q23" i="5"/>
  <c r="R23" i="5"/>
  <c r="S23" i="5"/>
  <c r="M24" i="5"/>
  <c r="Q24" i="5"/>
  <c r="R24" i="5"/>
  <c r="S24" i="5"/>
  <c r="M25" i="5"/>
  <c r="Q25" i="5"/>
  <c r="P25" i="5" s="1"/>
  <c r="R25" i="5"/>
  <c r="S25" i="5"/>
  <c r="M26" i="5"/>
  <c r="Q26" i="5"/>
  <c r="P26" i="5" s="1"/>
  <c r="R26" i="5"/>
  <c r="S26" i="5"/>
  <c r="M27" i="5"/>
  <c r="Q27" i="5"/>
  <c r="R27" i="5"/>
  <c r="S27" i="5"/>
  <c r="M28" i="5"/>
  <c r="Q28" i="5"/>
  <c r="R28" i="5"/>
  <c r="S28" i="5"/>
  <c r="M29" i="5"/>
  <c r="Q29" i="5"/>
  <c r="R29" i="5"/>
  <c r="S29" i="5"/>
  <c r="M30" i="5"/>
  <c r="Q30" i="5"/>
  <c r="O30" i="5" s="1"/>
  <c r="R30" i="5"/>
  <c r="S30" i="5"/>
  <c r="M31" i="5"/>
  <c r="Q31" i="5"/>
  <c r="R31" i="5"/>
  <c r="S31" i="5"/>
  <c r="M32" i="5"/>
  <c r="Q32" i="5"/>
  <c r="R32" i="5"/>
  <c r="S32" i="5"/>
  <c r="M33" i="5"/>
  <c r="Q33" i="5"/>
  <c r="R33" i="5"/>
  <c r="S33" i="5"/>
  <c r="M34" i="5"/>
  <c r="Q34" i="5"/>
  <c r="O34" i="5" s="1"/>
  <c r="R34" i="5"/>
  <c r="S34" i="5"/>
  <c r="M35" i="5"/>
  <c r="Q35" i="5"/>
  <c r="R35" i="5"/>
  <c r="S35" i="5"/>
  <c r="M36" i="5"/>
  <c r="Q36" i="5"/>
  <c r="O36" i="5" s="1"/>
  <c r="R36" i="5"/>
  <c r="S36" i="5"/>
  <c r="M37" i="5"/>
  <c r="Q37" i="5"/>
  <c r="N37" i="5" s="1"/>
  <c r="R37" i="5"/>
  <c r="S37" i="5"/>
  <c r="M38" i="5"/>
  <c r="Q38" i="5"/>
  <c r="N38" i="5" s="1"/>
  <c r="R38" i="5"/>
  <c r="S38" i="5"/>
  <c r="M39" i="5"/>
  <c r="Q39" i="5"/>
  <c r="R39" i="5"/>
  <c r="S39" i="5"/>
  <c r="M40" i="5"/>
  <c r="Q40" i="5"/>
  <c r="R40" i="5"/>
  <c r="S40" i="5"/>
  <c r="M41" i="5"/>
  <c r="Q41" i="5"/>
  <c r="P41" i="5" s="1"/>
  <c r="R41" i="5"/>
  <c r="S41" i="5"/>
  <c r="M42" i="5"/>
  <c r="Q42" i="5"/>
  <c r="O42" i="5" s="1"/>
  <c r="R42" i="5"/>
  <c r="S42" i="5"/>
  <c r="M43" i="5"/>
  <c r="Q43" i="5"/>
  <c r="R43" i="5"/>
  <c r="S43" i="5"/>
  <c r="M44" i="5"/>
  <c r="Q44" i="5"/>
  <c r="O44" i="5" s="1"/>
  <c r="R44" i="5"/>
  <c r="S44" i="5"/>
  <c r="M45" i="5"/>
  <c r="Q45" i="5"/>
  <c r="N45" i="5" s="1"/>
  <c r="R45" i="5"/>
  <c r="S45" i="5"/>
  <c r="M46" i="5"/>
  <c r="Q46" i="5"/>
  <c r="P46" i="5" s="1"/>
  <c r="R46" i="5"/>
  <c r="S46" i="5"/>
  <c r="M47" i="5"/>
  <c r="Q47" i="5"/>
  <c r="R47" i="5"/>
  <c r="S47" i="5"/>
  <c r="M48" i="5"/>
  <c r="Q48" i="5"/>
  <c r="R48" i="5"/>
  <c r="S48" i="5"/>
  <c r="M49" i="5"/>
  <c r="Q49" i="5"/>
  <c r="R49" i="5"/>
  <c r="S49" i="5"/>
  <c r="M50" i="5"/>
  <c r="Q50" i="5"/>
  <c r="R50" i="5"/>
  <c r="S50" i="5"/>
  <c r="M51" i="5"/>
  <c r="Q51" i="5"/>
  <c r="R51" i="5"/>
  <c r="S51" i="5"/>
  <c r="M52" i="5"/>
  <c r="Q52" i="5"/>
  <c r="O52" i="5" s="1"/>
  <c r="R52" i="5"/>
  <c r="S52" i="5"/>
  <c r="M53" i="5"/>
  <c r="Q53" i="5"/>
  <c r="N53" i="5" s="1"/>
  <c r="R53" i="5"/>
  <c r="S53" i="5"/>
  <c r="M54" i="5"/>
  <c r="Q54" i="5"/>
  <c r="N54" i="5" s="1"/>
  <c r="R54" i="5"/>
  <c r="S54" i="5"/>
  <c r="M55" i="5"/>
  <c r="Q55" i="5"/>
  <c r="R55" i="5"/>
  <c r="S55" i="5"/>
  <c r="M56" i="5"/>
  <c r="Q56" i="5"/>
  <c r="R56" i="5"/>
  <c r="S56" i="5"/>
  <c r="M57" i="5"/>
  <c r="Q57" i="5"/>
  <c r="R57" i="5"/>
  <c r="S57" i="5"/>
  <c r="M58" i="5"/>
  <c r="Q58" i="5"/>
  <c r="P58" i="5" s="1"/>
  <c r="R58" i="5"/>
  <c r="S58" i="5"/>
  <c r="M59" i="5"/>
  <c r="Q59" i="5"/>
  <c r="P59" i="5" s="1"/>
  <c r="R59" i="5"/>
  <c r="S59" i="5"/>
  <c r="M60" i="5"/>
  <c r="Q60" i="5"/>
  <c r="N60" i="5" s="1"/>
  <c r="R60" i="5"/>
  <c r="S60" i="5"/>
  <c r="M61" i="5"/>
  <c r="Q61" i="5"/>
  <c r="R61" i="5"/>
  <c r="S61" i="5"/>
  <c r="M62" i="5"/>
  <c r="Q62" i="5"/>
  <c r="P62" i="5" s="1"/>
  <c r="R62" i="5"/>
  <c r="S62" i="5"/>
  <c r="M63" i="5"/>
  <c r="Q63" i="5"/>
  <c r="R63" i="5"/>
  <c r="S63" i="5"/>
  <c r="M64" i="5"/>
  <c r="Q64" i="5"/>
  <c r="N64" i="5" s="1"/>
  <c r="R64" i="5"/>
  <c r="S64" i="5"/>
  <c r="M65" i="5"/>
  <c r="Q65" i="5"/>
  <c r="R65" i="5"/>
  <c r="S65" i="5"/>
  <c r="M66" i="5"/>
  <c r="Q66" i="5"/>
  <c r="R66" i="5"/>
  <c r="S66" i="5"/>
  <c r="M67" i="5"/>
  <c r="Q67" i="5"/>
  <c r="R67" i="5"/>
  <c r="S67" i="5"/>
  <c r="M68" i="5"/>
  <c r="Q68" i="5"/>
  <c r="R68" i="5"/>
  <c r="S68" i="5"/>
  <c r="M69" i="5"/>
  <c r="Q69" i="5"/>
  <c r="O69" i="5" s="1"/>
  <c r="R69" i="5"/>
  <c r="S69" i="5"/>
  <c r="M419" i="5"/>
  <c r="Q419" i="5"/>
  <c r="R419" i="5"/>
  <c r="S419" i="5"/>
  <c r="M167" i="5"/>
  <c r="Q167" i="5"/>
  <c r="P167" i="5" s="1"/>
  <c r="R167" i="5"/>
  <c r="S167" i="5"/>
  <c r="M308" i="5"/>
  <c r="Q308" i="5"/>
  <c r="R308" i="5"/>
  <c r="S308" i="5"/>
  <c r="M314" i="5"/>
  <c r="Q314" i="5"/>
  <c r="R314" i="5"/>
  <c r="S314" i="5"/>
  <c r="M315" i="5"/>
  <c r="Q315" i="5"/>
  <c r="N315" i="5" s="1"/>
  <c r="R315" i="5"/>
  <c r="S315" i="5"/>
  <c r="M312" i="5"/>
  <c r="Q312" i="5"/>
  <c r="P312" i="5" s="1"/>
  <c r="R312" i="5"/>
  <c r="S312" i="5"/>
  <c r="M307" i="5"/>
  <c r="Q307" i="5"/>
  <c r="N307" i="5" s="1"/>
  <c r="R307" i="5"/>
  <c r="S307" i="5"/>
  <c r="M310" i="5"/>
  <c r="Q310" i="5"/>
  <c r="P310" i="5" s="1"/>
  <c r="R310" i="5"/>
  <c r="S310" i="5"/>
  <c r="M309" i="5"/>
  <c r="Q309" i="5"/>
  <c r="P309" i="5" s="1"/>
  <c r="R309" i="5"/>
  <c r="S309" i="5"/>
  <c r="M304" i="5"/>
  <c r="Q304" i="5"/>
  <c r="R304" i="5"/>
  <c r="S304" i="5"/>
  <c r="M311" i="5"/>
  <c r="Q311" i="5"/>
  <c r="N311" i="5" s="1"/>
  <c r="R311" i="5"/>
  <c r="S311" i="5"/>
  <c r="M305" i="5"/>
  <c r="Q305" i="5"/>
  <c r="R305" i="5"/>
  <c r="S305" i="5"/>
  <c r="M313" i="5"/>
  <c r="Q313" i="5"/>
  <c r="P313" i="5" s="1"/>
  <c r="R313" i="5"/>
  <c r="S313" i="5"/>
  <c r="M226" i="5"/>
  <c r="Q226" i="5"/>
  <c r="R226" i="5"/>
  <c r="S226" i="5"/>
  <c r="M70" i="5"/>
  <c r="Q70" i="5"/>
  <c r="R70" i="5"/>
  <c r="S70" i="5"/>
  <c r="M227" i="5"/>
  <c r="Q227" i="5"/>
  <c r="R227" i="5"/>
  <c r="S227" i="5"/>
  <c r="M230" i="5"/>
  <c r="Q230" i="5"/>
  <c r="R230" i="5"/>
  <c r="S230" i="5"/>
  <c r="M231" i="5"/>
  <c r="Q231" i="5"/>
  <c r="P231" i="5" s="1"/>
  <c r="R231" i="5"/>
  <c r="S231" i="5"/>
  <c r="M71" i="5"/>
  <c r="Q71" i="5"/>
  <c r="R71" i="5"/>
  <c r="S71" i="5"/>
  <c r="M72" i="5"/>
  <c r="Q72" i="5"/>
  <c r="R72" i="5"/>
  <c r="S72" i="5"/>
  <c r="M228" i="5"/>
  <c r="Q228" i="5"/>
  <c r="N228" i="5" s="1"/>
  <c r="R228" i="5"/>
  <c r="S228" i="5"/>
  <c r="M229" i="5"/>
  <c r="Q229" i="5"/>
  <c r="P229" i="5" s="1"/>
  <c r="R229" i="5"/>
  <c r="S229" i="5"/>
  <c r="M220" i="5"/>
  <c r="Q220" i="5"/>
  <c r="N220" i="5" s="1"/>
  <c r="R220" i="5"/>
  <c r="S220" i="5"/>
  <c r="M221" i="5"/>
  <c r="Q221" i="5"/>
  <c r="P221" i="5" s="1"/>
  <c r="R221" i="5"/>
  <c r="S221" i="5"/>
  <c r="M222" i="5"/>
  <c r="Q222" i="5"/>
  <c r="R222" i="5"/>
  <c r="S222" i="5"/>
  <c r="M223" i="5"/>
  <c r="Q223" i="5"/>
  <c r="R223" i="5"/>
  <c r="S223" i="5"/>
  <c r="M401" i="5"/>
  <c r="Q401" i="5"/>
  <c r="N401" i="5" s="1"/>
  <c r="R401" i="5"/>
  <c r="S401" i="5"/>
  <c r="M370" i="5"/>
  <c r="Q370" i="5"/>
  <c r="N370" i="5" s="1"/>
  <c r="R370" i="5"/>
  <c r="S370" i="5"/>
  <c r="M224" i="5"/>
  <c r="Q224" i="5"/>
  <c r="O224" i="5" s="1"/>
  <c r="R224" i="5"/>
  <c r="S224" i="5"/>
  <c r="M225" i="5"/>
  <c r="Q225" i="5"/>
  <c r="N225" i="5" s="1"/>
  <c r="R225" i="5"/>
  <c r="S225" i="5"/>
  <c r="M440" i="5"/>
  <c r="Q440" i="5"/>
  <c r="P440" i="5" s="1"/>
  <c r="R440" i="5"/>
  <c r="S440" i="5"/>
  <c r="M189" i="5"/>
  <c r="Q189" i="5"/>
  <c r="P189" i="5" s="1"/>
  <c r="R189" i="5"/>
  <c r="S189" i="5"/>
  <c r="M441" i="5"/>
  <c r="Q441" i="5"/>
  <c r="P441" i="5" s="1"/>
  <c r="R441" i="5"/>
  <c r="S441" i="5"/>
  <c r="M190" i="5"/>
  <c r="Q190" i="5"/>
  <c r="N190" i="5" s="1"/>
  <c r="R190" i="5"/>
  <c r="S190" i="5"/>
  <c r="M442" i="5"/>
  <c r="Q442" i="5"/>
  <c r="O442" i="5" s="1"/>
  <c r="R442" i="5"/>
  <c r="S442" i="5"/>
  <c r="M191" i="5"/>
  <c r="Q191" i="5"/>
  <c r="R191" i="5"/>
  <c r="S191" i="5"/>
  <c r="M192" i="5"/>
  <c r="Q192" i="5"/>
  <c r="P192" i="5" s="1"/>
  <c r="R192" i="5"/>
  <c r="S192" i="5"/>
  <c r="M443" i="5"/>
  <c r="Q443" i="5"/>
  <c r="R443" i="5"/>
  <c r="S443" i="5"/>
  <c r="M106" i="5"/>
  <c r="Q106" i="5"/>
  <c r="O106" i="5" s="1"/>
  <c r="R106" i="5"/>
  <c r="S106" i="5"/>
  <c r="M193" i="5"/>
  <c r="Q193" i="5"/>
  <c r="P193" i="5" s="1"/>
  <c r="R193" i="5"/>
  <c r="S193" i="5"/>
  <c r="M444" i="5"/>
  <c r="Q444" i="5"/>
  <c r="N444" i="5" s="1"/>
  <c r="R444" i="5"/>
  <c r="S444" i="5"/>
  <c r="M194" i="5"/>
  <c r="Q194" i="5"/>
  <c r="N194" i="5" s="1"/>
  <c r="R194" i="5"/>
  <c r="S194" i="5"/>
  <c r="M195" i="5"/>
  <c r="Q195" i="5"/>
  <c r="R195" i="5"/>
  <c r="S195" i="5"/>
  <c r="M445" i="5"/>
  <c r="Q445" i="5"/>
  <c r="P445" i="5" s="1"/>
  <c r="R445" i="5"/>
  <c r="S445" i="5"/>
  <c r="M74" i="5"/>
  <c r="Q74" i="5"/>
  <c r="R74" i="5"/>
  <c r="S74" i="5"/>
  <c r="M75" i="5"/>
  <c r="Q75" i="5"/>
  <c r="N75" i="5" s="1"/>
  <c r="R75" i="5"/>
  <c r="S75" i="5"/>
  <c r="M423" i="5"/>
  <c r="Q423" i="5"/>
  <c r="R423" i="5"/>
  <c r="S423" i="5"/>
  <c r="M171" i="5"/>
  <c r="Q171" i="5"/>
  <c r="O171" i="5" s="1"/>
  <c r="R171" i="5"/>
  <c r="S171" i="5"/>
  <c r="M424" i="5"/>
  <c r="Q424" i="5"/>
  <c r="N424" i="5" s="1"/>
  <c r="R424" i="5"/>
  <c r="S424" i="5"/>
  <c r="M172" i="5"/>
  <c r="Q172" i="5"/>
  <c r="N172" i="5" s="1"/>
  <c r="R172" i="5"/>
  <c r="S172" i="5"/>
  <c r="M426" i="5"/>
  <c r="Q426" i="5"/>
  <c r="R426" i="5"/>
  <c r="S426" i="5"/>
  <c r="M174" i="5"/>
  <c r="Q174" i="5"/>
  <c r="R174" i="5"/>
  <c r="S174" i="5"/>
  <c r="M261" i="5"/>
  <c r="Q261" i="5"/>
  <c r="R261" i="5"/>
  <c r="S261" i="5"/>
  <c r="M262" i="5"/>
  <c r="Q262" i="5"/>
  <c r="N262" i="5" s="1"/>
  <c r="R262" i="5"/>
  <c r="S262" i="5"/>
  <c r="M425" i="5"/>
  <c r="Q425" i="5"/>
  <c r="P425" i="5" s="1"/>
  <c r="R425" i="5"/>
  <c r="S425" i="5"/>
  <c r="M173" i="5"/>
  <c r="Q173" i="5"/>
  <c r="R173" i="5"/>
  <c r="S173" i="5"/>
  <c r="M422" i="5"/>
  <c r="Q422" i="5"/>
  <c r="N422" i="5" s="1"/>
  <c r="R422" i="5"/>
  <c r="S422" i="5"/>
  <c r="M170" i="5"/>
  <c r="Q170" i="5"/>
  <c r="R170" i="5"/>
  <c r="S170" i="5"/>
  <c r="M420" i="5"/>
  <c r="Q420" i="5"/>
  <c r="R420" i="5"/>
  <c r="S420" i="5"/>
  <c r="M168" i="5"/>
  <c r="Q168" i="5"/>
  <c r="R168" i="5"/>
  <c r="S168" i="5"/>
  <c r="M111" i="5"/>
  <c r="Q111" i="5"/>
  <c r="R111" i="5"/>
  <c r="S111" i="5"/>
  <c r="M306" i="5"/>
  <c r="Q306" i="5"/>
  <c r="R306" i="5"/>
  <c r="S306" i="5"/>
  <c r="M418" i="5"/>
  <c r="Q418" i="5"/>
  <c r="P418" i="5" s="1"/>
  <c r="R418" i="5"/>
  <c r="S418" i="5"/>
  <c r="M166" i="5"/>
  <c r="Q166" i="5"/>
  <c r="R166" i="5"/>
  <c r="S166" i="5"/>
  <c r="M292" i="5"/>
  <c r="Q292" i="5"/>
  <c r="N292" i="5" s="1"/>
  <c r="R292" i="5"/>
  <c r="S292" i="5"/>
  <c r="M385" i="5"/>
  <c r="Q385" i="5"/>
  <c r="R385" i="5"/>
  <c r="S385" i="5"/>
  <c r="M386" i="5"/>
  <c r="Q386" i="5"/>
  <c r="P386" i="5" s="1"/>
  <c r="R386" i="5"/>
  <c r="S386" i="5"/>
  <c r="M387" i="5"/>
  <c r="Q387" i="5"/>
  <c r="N387" i="5" s="1"/>
  <c r="R387" i="5"/>
  <c r="S387" i="5"/>
  <c r="M388" i="5"/>
  <c r="Q388" i="5"/>
  <c r="R388" i="5"/>
  <c r="S388" i="5"/>
  <c r="M389" i="5"/>
  <c r="Q389" i="5"/>
  <c r="R389" i="5"/>
  <c r="S389" i="5"/>
  <c r="M390" i="5"/>
  <c r="Q390" i="5"/>
  <c r="P390" i="5" s="1"/>
  <c r="R390" i="5"/>
  <c r="S390" i="5"/>
  <c r="M101" i="5"/>
  <c r="Q101" i="5"/>
  <c r="R101" i="5"/>
  <c r="S101" i="5"/>
  <c r="M102" i="5"/>
  <c r="Q102" i="5"/>
  <c r="R102" i="5"/>
  <c r="S102" i="5"/>
  <c r="M103" i="5"/>
  <c r="Q103" i="5"/>
  <c r="R103" i="5"/>
  <c r="S103" i="5"/>
  <c r="M104" i="5"/>
  <c r="Q104" i="5"/>
  <c r="R104" i="5"/>
  <c r="S104" i="5"/>
  <c r="M143" i="5"/>
  <c r="Q143" i="5"/>
  <c r="N143" i="5" s="1"/>
  <c r="R143" i="5"/>
  <c r="S143" i="5"/>
  <c r="M105" i="5"/>
  <c r="Q105" i="5"/>
  <c r="R105" i="5"/>
  <c r="S105" i="5"/>
  <c r="M107" i="5"/>
  <c r="Q107" i="5"/>
  <c r="R107" i="5"/>
  <c r="S107" i="5"/>
  <c r="M108" i="5"/>
  <c r="Q108" i="5"/>
  <c r="P108" i="5" s="1"/>
  <c r="R108" i="5"/>
  <c r="S108" i="5"/>
  <c r="M109" i="5"/>
  <c r="Q109" i="5"/>
  <c r="P109" i="5" s="1"/>
  <c r="R109" i="5"/>
  <c r="S109" i="5"/>
  <c r="M150" i="5"/>
  <c r="Q150" i="5"/>
  <c r="N150" i="5" s="1"/>
  <c r="R150" i="5"/>
  <c r="S150" i="5"/>
  <c r="M151" i="5"/>
  <c r="Q151" i="5"/>
  <c r="R151" i="5"/>
  <c r="S151" i="5"/>
  <c r="M152" i="5"/>
  <c r="Q152" i="5"/>
  <c r="R152" i="5"/>
  <c r="S152" i="5"/>
  <c r="M153" i="5"/>
  <c r="Q153" i="5"/>
  <c r="N153" i="5" s="1"/>
  <c r="R153" i="5"/>
  <c r="S153" i="5"/>
  <c r="M154" i="5"/>
  <c r="Q154" i="5"/>
  <c r="R154" i="5"/>
  <c r="S154" i="5"/>
  <c r="M160" i="5"/>
  <c r="Q160" i="5"/>
  <c r="R160" i="5"/>
  <c r="S160" i="5"/>
  <c r="M326" i="5"/>
  <c r="Q326" i="5"/>
  <c r="R326" i="5"/>
  <c r="S326" i="5"/>
  <c r="M327" i="5"/>
  <c r="Q327" i="5"/>
  <c r="R327" i="5"/>
  <c r="S327" i="5"/>
  <c r="M328" i="5"/>
  <c r="Q328" i="5"/>
  <c r="N328" i="5" s="1"/>
  <c r="R328" i="5"/>
  <c r="S328" i="5"/>
  <c r="M329" i="5"/>
  <c r="Q329" i="5"/>
  <c r="R329" i="5"/>
  <c r="S329" i="5"/>
  <c r="M330" i="5"/>
  <c r="Q330" i="5"/>
  <c r="R330" i="5"/>
  <c r="S330" i="5"/>
  <c r="M161" i="5"/>
  <c r="Q161" i="5"/>
  <c r="N161" i="5" s="1"/>
  <c r="R161" i="5"/>
  <c r="S161" i="5"/>
  <c r="M110" i="5"/>
  <c r="Q110" i="5"/>
  <c r="R110" i="5"/>
  <c r="S110" i="5"/>
  <c r="M128" i="5"/>
  <c r="Q128" i="5"/>
  <c r="R128" i="5"/>
  <c r="S128" i="5"/>
  <c r="M81" i="5"/>
  <c r="Q81" i="5"/>
  <c r="R81" i="5"/>
  <c r="S81" i="5"/>
  <c r="M129" i="5"/>
  <c r="Q129" i="5"/>
  <c r="R129" i="5"/>
  <c r="S129" i="5"/>
  <c r="M118" i="5"/>
  <c r="Q118" i="5"/>
  <c r="N118" i="5" s="1"/>
  <c r="R118" i="5"/>
  <c r="S118" i="5"/>
  <c r="M301" i="5"/>
  <c r="Q301" i="5"/>
  <c r="O301" i="5" s="1"/>
  <c r="R301" i="5"/>
  <c r="S301" i="5"/>
  <c r="M302" i="5"/>
  <c r="Q302" i="5"/>
  <c r="P302" i="5" s="1"/>
  <c r="R302" i="5"/>
  <c r="S302" i="5"/>
  <c r="M416" i="5"/>
  <c r="Q416" i="5"/>
  <c r="R416" i="5"/>
  <c r="S416" i="5"/>
  <c r="M86" i="5"/>
  <c r="Q86" i="5"/>
  <c r="P86" i="5" s="1"/>
  <c r="R86" i="5"/>
  <c r="S86" i="5"/>
  <c r="M87" i="5"/>
  <c r="Q87" i="5"/>
  <c r="O87" i="5" s="1"/>
  <c r="R87" i="5"/>
  <c r="S87" i="5"/>
  <c r="M88" i="5"/>
  <c r="Q88" i="5"/>
  <c r="P88" i="5" s="1"/>
  <c r="P466" i="5" s="1"/>
  <c r="R88" i="5"/>
  <c r="S88" i="5"/>
  <c r="M89" i="5"/>
  <c r="Q89" i="5"/>
  <c r="O89" i="5" s="1"/>
  <c r="O467" i="5" s="1"/>
  <c r="R89" i="5"/>
  <c r="S89" i="5"/>
  <c r="M90" i="5"/>
  <c r="Q90" i="5"/>
  <c r="R90" i="5"/>
  <c r="S90" i="5"/>
  <c r="M119" i="5"/>
  <c r="Q119" i="5"/>
  <c r="R119" i="5"/>
  <c r="S119" i="5"/>
  <c r="M120" i="5"/>
  <c r="Q120" i="5"/>
  <c r="R120" i="5"/>
  <c r="S120" i="5"/>
  <c r="M121" i="5"/>
  <c r="Q121" i="5"/>
  <c r="O121" i="5" s="1"/>
  <c r="R121" i="5"/>
  <c r="S121" i="5"/>
  <c r="M122" i="5"/>
  <c r="Q122" i="5"/>
  <c r="P122" i="5" s="1"/>
  <c r="R122" i="5"/>
  <c r="S122" i="5"/>
  <c r="M91" i="5"/>
  <c r="Q91" i="5"/>
  <c r="O91" i="5" s="1"/>
  <c r="R91" i="5"/>
  <c r="S91" i="5"/>
  <c r="M92" i="5"/>
  <c r="Q92" i="5"/>
  <c r="O92" i="5" s="1"/>
  <c r="R92" i="5"/>
  <c r="S92" i="5"/>
  <c r="M123" i="5"/>
  <c r="Q123" i="5"/>
  <c r="O123" i="5" s="1"/>
  <c r="R123" i="5"/>
  <c r="S123" i="5"/>
  <c r="M124" i="5"/>
  <c r="Q124" i="5"/>
  <c r="R124" i="5"/>
  <c r="S124" i="5"/>
  <c r="M93" i="5"/>
  <c r="Q93" i="5"/>
  <c r="R93" i="5"/>
  <c r="S93" i="5"/>
  <c r="M94" i="5"/>
  <c r="Q94" i="5"/>
  <c r="R94" i="5"/>
  <c r="S94" i="5"/>
  <c r="M177" i="5"/>
  <c r="Q177" i="5"/>
  <c r="O177" i="5" s="1"/>
  <c r="R177" i="5"/>
  <c r="S177" i="5"/>
  <c r="M430" i="5"/>
  <c r="Q430" i="5"/>
  <c r="O430" i="5" s="1"/>
  <c r="R430" i="5"/>
  <c r="S430" i="5"/>
  <c r="M428" i="5"/>
  <c r="Q428" i="5"/>
  <c r="O428" i="5" s="1"/>
  <c r="R428" i="5"/>
  <c r="S428" i="5"/>
  <c r="M176" i="5"/>
  <c r="Q176" i="5"/>
  <c r="R176" i="5"/>
  <c r="S176" i="5"/>
  <c r="M130" i="5"/>
  <c r="Q130" i="5"/>
  <c r="O130" i="5" s="1"/>
  <c r="R130" i="5"/>
  <c r="S130" i="5"/>
  <c r="M131" i="5"/>
  <c r="Q131" i="5"/>
  <c r="O131" i="5" s="1"/>
  <c r="R131" i="5"/>
  <c r="S131" i="5"/>
  <c r="M263" i="5"/>
  <c r="Q263" i="5"/>
  <c r="R263" i="5"/>
  <c r="S263" i="5"/>
  <c r="M264" i="5"/>
  <c r="Q264" i="5"/>
  <c r="R264" i="5"/>
  <c r="S264" i="5"/>
  <c r="M452" i="5"/>
  <c r="Q452" i="5"/>
  <c r="R452" i="5"/>
  <c r="S452" i="5"/>
  <c r="M403" i="5"/>
  <c r="Q403" i="5"/>
  <c r="O403" i="5" s="1"/>
  <c r="R403" i="5"/>
  <c r="S403" i="5"/>
  <c r="M237" i="5"/>
  <c r="Q237" i="5"/>
  <c r="R237" i="5"/>
  <c r="S237" i="5"/>
  <c r="M238" i="5"/>
  <c r="Q238" i="5"/>
  <c r="R238" i="5"/>
  <c r="S238" i="5"/>
  <c r="M242" i="5"/>
  <c r="Q242" i="5"/>
  <c r="R242" i="5"/>
  <c r="S242" i="5"/>
  <c r="M244" i="5"/>
  <c r="Q244" i="5"/>
  <c r="O244" i="5" s="1"/>
  <c r="R244" i="5"/>
  <c r="S244" i="5"/>
  <c r="M245" i="5"/>
  <c r="Q245" i="5"/>
  <c r="P245" i="5" s="1"/>
  <c r="R245" i="5"/>
  <c r="S245" i="5"/>
  <c r="M247" i="5"/>
  <c r="Q247" i="5"/>
  <c r="R247" i="5"/>
  <c r="S247" i="5"/>
  <c r="M248" i="5"/>
  <c r="Q248" i="5"/>
  <c r="R248" i="5"/>
  <c r="S248" i="5"/>
  <c r="M206" i="5"/>
  <c r="Q206" i="5"/>
  <c r="O206" i="5" s="1"/>
  <c r="R206" i="5"/>
  <c r="S206" i="5"/>
  <c r="M207" i="5"/>
  <c r="Q207" i="5"/>
  <c r="R207" i="5"/>
  <c r="S207" i="5"/>
  <c r="M371" i="5"/>
  <c r="Q371" i="5"/>
  <c r="R371" i="5"/>
  <c r="S371" i="5"/>
  <c r="M372" i="5"/>
  <c r="Q372" i="5"/>
  <c r="R372" i="5"/>
  <c r="S372" i="5"/>
  <c r="M373" i="5"/>
  <c r="Q373" i="5"/>
  <c r="O373" i="5" s="1"/>
  <c r="R373" i="5"/>
  <c r="S373" i="5"/>
  <c r="M374" i="5"/>
  <c r="Q374" i="5"/>
  <c r="P374" i="5" s="1"/>
  <c r="R374" i="5"/>
  <c r="S374" i="5"/>
  <c r="M375" i="5"/>
  <c r="Q375" i="5"/>
  <c r="R375" i="5"/>
  <c r="S375" i="5"/>
  <c r="M376" i="5"/>
  <c r="Q376" i="5"/>
  <c r="N376" i="5" s="1"/>
  <c r="R376" i="5"/>
  <c r="S376" i="5"/>
  <c r="M252" i="5"/>
  <c r="Q252" i="5"/>
  <c r="O252" i="5" s="1"/>
  <c r="R252" i="5"/>
  <c r="S252" i="5"/>
  <c r="M253" i="5"/>
  <c r="Q253" i="5"/>
  <c r="R253" i="5"/>
  <c r="S253" i="5"/>
  <c r="M254" i="5"/>
  <c r="Q254" i="5"/>
  <c r="R254" i="5"/>
  <c r="S254" i="5"/>
  <c r="M255" i="5"/>
  <c r="Q255" i="5"/>
  <c r="R255" i="5"/>
  <c r="S255" i="5"/>
  <c r="M256" i="5"/>
  <c r="Q256" i="5"/>
  <c r="R256" i="5"/>
  <c r="S256" i="5"/>
  <c r="M257" i="5"/>
  <c r="Q257" i="5"/>
  <c r="O257" i="5" s="1"/>
  <c r="R257" i="5"/>
  <c r="S257" i="5"/>
  <c r="M286" i="5"/>
  <c r="Q286" i="5"/>
  <c r="R286" i="5"/>
  <c r="S286" i="5"/>
  <c r="M287" i="5"/>
  <c r="Q287" i="5"/>
  <c r="O287" i="5" s="1"/>
  <c r="R287" i="5"/>
  <c r="S287" i="5"/>
  <c r="M239" i="5"/>
  <c r="Q239" i="5"/>
  <c r="P239" i="5" s="1"/>
  <c r="R239" i="5"/>
  <c r="S239" i="5"/>
  <c r="M269" i="5"/>
  <c r="Q269" i="5"/>
  <c r="R269" i="5"/>
  <c r="S269" i="5"/>
  <c r="M270" i="5"/>
  <c r="Q270" i="5"/>
  <c r="O270" i="5" s="1"/>
  <c r="R270" i="5"/>
  <c r="S270" i="5"/>
  <c r="M455" i="5"/>
  <c r="Q455" i="5"/>
  <c r="R455" i="5"/>
  <c r="S455" i="5"/>
  <c r="M409" i="5"/>
  <c r="Q409" i="5"/>
  <c r="O409" i="5" s="1"/>
  <c r="R409" i="5"/>
  <c r="S409" i="5"/>
  <c r="M249" i="5"/>
  <c r="Q249" i="5"/>
  <c r="R249" i="5"/>
  <c r="S249" i="5"/>
  <c r="M288" i="5"/>
  <c r="Q288" i="5"/>
  <c r="O288" i="5" s="1"/>
  <c r="R288" i="5"/>
  <c r="S288" i="5"/>
  <c r="M289" i="5"/>
  <c r="Q289" i="5"/>
  <c r="R289" i="5"/>
  <c r="S289" i="5"/>
  <c r="M277" i="5"/>
  <c r="Q277" i="5"/>
  <c r="R277" i="5"/>
  <c r="S277" i="5"/>
  <c r="M278" i="5"/>
  <c r="Q278" i="5"/>
  <c r="R278" i="5"/>
  <c r="S278" i="5"/>
  <c r="M279" i="5"/>
  <c r="Q279" i="5"/>
  <c r="O279" i="5" s="1"/>
  <c r="R279" i="5"/>
  <c r="S279" i="5"/>
  <c r="M280" i="5"/>
  <c r="Q280" i="5"/>
  <c r="R280" i="5"/>
  <c r="S280" i="5"/>
  <c r="M281" i="5"/>
  <c r="Q281" i="5"/>
  <c r="R281" i="5"/>
  <c r="S281" i="5"/>
  <c r="M282" i="5"/>
  <c r="Q282" i="5"/>
  <c r="N282" i="5" s="1"/>
  <c r="R282" i="5"/>
  <c r="S282" i="5"/>
  <c r="M406" i="5"/>
  <c r="Q406" i="5"/>
  <c r="O406" i="5" s="1"/>
  <c r="R406" i="5"/>
  <c r="S406" i="5"/>
  <c r="M407" i="5"/>
  <c r="Q407" i="5"/>
  <c r="O407" i="5" s="1"/>
  <c r="R407" i="5"/>
  <c r="S407" i="5"/>
  <c r="M404" i="5"/>
  <c r="Q404" i="5"/>
  <c r="R404" i="5"/>
  <c r="S404" i="5"/>
  <c r="M405" i="5"/>
  <c r="Q405" i="5"/>
  <c r="R405" i="5"/>
  <c r="S405" i="5"/>
  <c r="M410" i="5"/>
  <c r="Q410" i="5"/>
  <c r="O410" i="5" s="1"/>
  <c r="R410" i="5"/>
  <c r="S410" i="5"/>
  <c r="M411" i="5"/>
  <c r="Q411" i="5"/>
  <c r="R411" i="5"/>
  <c r="S411" i="5"/>
  <c r="M303" i="5"/>
  <c r="Q303" i="5"/>
  <c r="O303" i="5" s="1"/>
  <c r="R303" i="5"/>
  <c r="S303" i="5"/>
  <c r="M95" i="5"/>
  <c r="Q95" i="5"/>
  <c r="O95" i="5" s="1"/>
  <c r="R95" i="5"/>
  <c r="S95" i="5"/>
  <c r="M96" i="5"/>
  <c r="Q96" i="5"/>
  <c r="O96" i="5" s="1"/>
  <c r="R96" i="5"/>
  <c r="S96" i="5"/>
  <c r="M97" i="5"/>
  <c r="Q97" i="5"/>
  <c r="R97" i="5"/>
  <c r="S97" i="5"/>
  <c r="M98" i="5"/>
  <c r="Q98" i="5"/>
  <c r="O98" i="5" s="1"/>
  <c r="R98" i="5"/>
  <c r="S98" i="5"/>
  <c r="M125" i="5"/>
  <c r="Q125" i="5"/>
  <c r="R125" i="5"/>
  <c r="S125" i="5"/>
  <c r="M126" i="5"/>
  <c r="Q126" i="5"/>
  <c r="R126" i="5"/>
  <c r="S126" i="5"/>
  <c r="M99" i="5"/>
  <c r="Q99" i="5"/>
  <c r="O99" i="5" s="1"/>
  <c r="R99" i="5"/>
  <c r="S99" i="5"/>
  <c r="M127" i="5"/>
  <c r="Q127" i="5"/>
  <c r="O127" i="5" s="1"/>
  <c r="R127" i="5"/>
  <c r="S127" i="5"/>
  <c r="M100" i="5"/>
  <c r="Q100" i="5"/>
  <c r="O100" i="5" s="1"/>
  <c r="R100" i="5"/>
  <c r="S100" i="5"/>
  <c r="M178" i="5"/>
  <c r="Q178" i="5"/>
  <c r="O178" i="5" s="1"/>
  <c r="R178" i="5"/>
  <c r="S178" i="5"/>
  <c r="M429" i="5"/>
  <c r="Q429" i="5"/>
  <c r="O429" i="5" s="1"/>
  <c r="R429" i="5"/>
  <c r="S429" i="5"/>
  <c r="M132" i="5"/>
  <c r="Q132" i="5"/>
  <c r="O132" i="5" s="1"/>
  <c r="R132" i="5"/>
  <c r="S132" i="5"/>
  <c r="M133" i="5"/>
  <c r="Q133" i="5"/>
  <c r="O133" i="5" s="1"/>
  <c r="R133" i="5"/>
  <c r="S133" i="5"/>
  <c r="M265" i="5"/>
  <c r="Q265" i="5"/>
  <c r="R265" i="5"/>
  <c r="S265" i="5"/>
  <c r="M266" i="5"/>
  <c r="Q266" i="5"/>
  <c r="R266" i="5"/>
  <c r="S266" i="5"/>
  <c r="M267" i="5"/>
  <c r="Q267" i="5"/>
  <c r="O267" i="5" s="1"/>
  <c r="R267" i="5"/>
  <c r="S267" i="5"/>
  <c r="M268" i="5"/>
  <c r="Q268" i="5"/>
  <c r="O268" i="5" s="1"/>
  <c r="R268" i="5"/>
  <c r="S268" i="5"/>
  <c r="M453" i="5"/>
  <c r="Q453" i="5"/>
  <c r="O453" i="5" s="1"/>
  <c r="R453" i="5"/>
  <c r="S453" i="5"/>
  <c r="M240" i="5"/>
  <c r="Q240" i="5"/>
  <c r="O240" i="5" s="1"/>
  <c r="R240" i="5"/>
  <c r="S240" i="5"/>
  <c r="M243" i="5"/>
  <c r="Q243" i="5"/>
  <c r="O243" i="5" s="1"/>
  <c r="R243" i="5"/>
  <c r="S243" i="5"/>
  <c r="M246" i="5"/>
  <c r="Q246" i="5"/>
  <c r="R246" i="5"/>
  <c r="S246" i="5"/>
  <c r="M250" i="5"/>
  <c r="Q250" i="5"/>
  <c r="R250" i="5"/>
  <c r="S250" i="5"/>
  <c r="M73" i="5"/>
  <c r="Q73" i="5"/>
  <c r="O73" i="5" s="1"/>
  <c r="R73" i="5"/>
  <c r="S73" i="5"/>
  <c r="M208" i="5"/>
  <c r="Q208" i="5"/>
  <c r="O208" i="5" s="1"/>
  <c r="R208" i="5"/>
  <c r="S208" i="5"/>
  <c r="M377" i="5"/>
  <c r="Q377" i="5"/>
  <c r="O377" i="5" s="1"/>
  <c r="R377" i="5"/>
  <c r="S377" i="5"/>
  <c r="M378" i="5"/>
  <c r="Q378" i="5"/>
  <c r="O378" i="5" s="1"/>
  <c r="R378" i="5"/>
  <c r="S378" i="5"/>
  <c r="M379" i="5"/>
  <c r="Q379" i="5"/>
  <c r="R379" i="5"/>
  <c r="S379" i="5"/>
  <c r="M258" i="5"/>
  <c r="Q258" i="5"/>
  <c r="O258" i="5" s="1"/>
  <c r="R258" i="5"/>
  <c r="S258" i="5"/>
  <c r="M259" i="5"/>
  <c r="Q259" i="5"/>
  <c r="O259" i="5" s="1"/>
  <c r="R259" i="5"/>
  <c r="S259" i="5"/>
  <c r="M260" i="5"/>
  <c r="Q260" i="5"/>
  <c r="R260" i="5"/>
  <c r="S260" i="5"/>
  <c r="M290" i="5"/>
  <c r="Q290" i="5"/>
  <c r="O290" i="5" s="1"/>
  <c r="R290" i="5"/>
  <c r="S290" i="5"/>
  <c r="M241" i="5"/>
  <c r="Q241" i="5"/>
  <c r="O241" i="5" s="1"/>
  <c r="R241" i="5"/>
  <c r="S241" i="5"/>
  <c r="M271" i="5"/>
  <c r="Q271" i="5"/>
  <c r="R271" i="5"/>
  <c r="S271" i="5"/>
  <c r="M456" i="5"/>
  <c r="Q456" i="5"/>
  <c r="R456" i="5"/>
  <c r="S456" i="5"/>
  <c r="M251" i="5"/>
  <c r="Q251" i="5"/>
  <c r="R251" i="5"/>
  <c r="S251" i="5"/>
  <c r="M291" i="5"/>
  <c r="Q291" i="5"/>
  <c r="O291" i="5" s="1"/>
  <c r="R291" i="5"/>
  <c r="S291" i="5"/>
  <c r="M283" i="5"/>
  <c r="Q283" i="5"/>
  <c r="O283" i="5" s="1"/>
  <c r="R283" i="5"/>
  <c r="S283" i="5"/>
  <c r="M284" i="5"/>
  <c r="Q284" i="5"/>
  <c r="R284" i="5"/>
  <c r="S284" i="5"/>
  <c r="M285" i="5"/>
  <c r="Q285" i="5"/>
  <c r="R285" i="5"/>
  <c r="S285" i="5"/>
  <c r="M408" i="5"/>
  <c r="Q408" i="5"/>
  <c r="R408" i="5"/>
  <c r="S408" i="5"/>
  <c r="M454" i="5"/>
  <c r="Q454" i="5"/>
  <c r="R454" i="5"/>
  <c r="S454" i="5"/>
  <c r="M427" i="5"/>
  <c r="Q427" i="5"/>
  <c r="R427" i="5"/>
  <c r="S427" i="5"/>
  <c r="M141" i="5"/>
  <c r="Q141" i="5"/>
  <c r="R141" i="5"/>
  <c r="S141" i="5"/>
  <c r="M139" i="5"/>
  <c r="Q139" i="5"/>
  <c r="P139" i="5" s="1"/>
  <c r="R139" i="5"/>
  <c r="S139" i="5"/>
  <c r="M358" i="5"/>
  <c r="Q358" i="5"/>
  <c r="R358" i="5"/>
  <c r="S358" i="5"/>
  <c r="M421" i="5"/>
  <c r="Q421" i="5"/>
  <c r="R421" i="5"/>
  <c r="S421" i="5"/>
  <c r="M214" i="5"/>
  <c r="Q214" i="5"/>
  <c r="R214" i="5"/>
  <c r="S214" i="5"/>
  <c r="M439" i="5"/>
  <c r="Q439" i="5"/>
  <c r="P439" i="5" s="1"/>
  <c r="R439" i="5"/>
  <c r="S439" i="5"/>
  <c r="M294" i="5"/>
  <c r="Q294" i="5"/>
  <c r="P294" i="5" s="1"/>
  <c r="R294" i="5"/>
  <c r="S294" i="5"/>
  <c r="M295" i="5"/>
  <c r="Q295" i="5"/>
  <c r="R295" i="5"/>
  <c r="S295" i="5"/>
  <c r="M351" i="5"/>
  <c r="Q351" i="5"/>
  <c r="R351" i="5"/>
  <c r="S351" i="5"/>
  <c r="M336" i="5"/>
  <c r="Q336" i="5"/>
  <c r="P336" i="5" s="1"/>
  <c r="R336" i="5"/>
  <c r="S336" i="5"/>
  <c r="M341" i="5"/>
  <c r="Q341" i="5"/>
  <c r="N341" i="5" s="1"/>
  <c r="R341" i="5"/>
  <c r="S341" i="5"/>
  <c r="M331" i="5"/>
  <c r="Q331" i="5"/>
  <c r="R331" i="5"/>
  <c r="S331" i="5"/>
  <c r="M346" i="5"/>
  <c r="Q346" i="5"/>
  <c r="P346" i="5" s="1"/>
  <c r="R346" i="5"/>
  <c r="S346" i="5"/>
  <c r="M144" i="5"/>
  <c r="Q144" i="5"/>
  <c r="P144" i="5" s="1"/>
  <c r="R144" i="5"/>
  <c r="S144" i="5"/>
  <c r="M155" i="5"/>
  <c r="Q155" i="5"/>
  <c r="R155" i="5"/>
  <c r="S155" i="5"/>
  <c r="M112" i="5"/>
  <c r="Q112" i="5"/>
  <c r="R112" i="5"/>
  <c r="S112" i="5"/>
  <c r="M433" i="5"/>
  <c r="Q433" i="5"/>
  <c r="R433" i="5"/>
  <c r="S433" i="5"/>
  <c r="M431" i="5"/>
  <c r="Q431" i="5"/>
  <c r="P431" i="5" s="1"/>
  <c r="R431" i="5"/>
  <c r="S431" i="5"/>
  <c r="M448" i="5"/>
  <c r="Q448" i="5"/>
  <c r="N448" i="5" s="1"/>
  <c r="R448" i="5"/>
  <c r="S448" i="5"/>
  <c r="M196" i="5"/>
  <c r="Q196" i="5"/>
  <c r="R196" i="5"/>
  <c r="S196" i="5"/>
  <c r="M209" i="5"/>
  <c r="Q209" i="5"/>
  <c r="O209" i="5" s="1"/>
  <c r="R209" i="5"/>
  <c r="S209" i="5"/>
  <c r="M272" i="5"/>
  <c r="Q272" i="5"/>
  <c r="P272" i="5" s="1"/>
  <c r="R272" i="5"/>
  <c r="S272" i="5"/>
  <c r="M396" i="5"/>
  <c r="Q396" i="5"/>
  <c r="P396" i="5" s="1"/>
  <c r="R396" i="5"/>
  <c r="S396" i="5"/>
  <c r="M162" i="5"/>
  <c r="Q162" i="5"/>
  <c r="R162" i="5"/>
  <c r="S162" i="5"/>
  <c r="M185" i="5"/>
  <c r="Q185" i="5"/>
  <c r="R185" i="5"/>
  <c r="S185" i="5"/>
  <c r="M365" i="5"/>
  <c r="Q365" i="5"/>
  <c r="P365" i="5" s="1"/>
  <c r="R365" i="5"/>
  <c r="S365" i="5"/>
  <c r="M76" i="5"/>
  <c r="Q76" i="5"/>
  <c r="N76" i="5" s="1"/>
  <c r="R76" i="5"/>
  <c r="S76" i="5"/>
  <c r="M134" i="5"/>
  <c r="Q134" i="5"/>
  <c r="R134" i="5"/>
  <c r="S134" i="5"/>
  <c r="M232" i="5"/>
  <c r="Q232" i="5"/>
  <c r="O232" i="5" s="1"/>
  <c r="R232" i="5"/>
  <c r="S232" i="5"/>
  <c r="M82" i="5"/>
  <c r="Q82" i="5"/>
  <c r="P82" i="5" s="1"/>
  <c r="R82" i="5"/>
  <c r="S82" i="5"/>
  <c r="M391" i="5"/>
  <c r="Q391" i="5"/>
  <c r="R391" i="5"/>
  <c r="S391" i="5"/>
  <c r="M380" i="5"/>
  <c r="Q380" i="5"/>
  <c r="R380" i="5"/>
  <c r="S380" i="5"/>
  <c r="M451" i="5"/>
  <c r="Q451" i="5"/>
  <c r="R451" i="5"/>
  <c r="S451" i="5"/>
  <c r="M142" i="5"/>
  <c r="Q142" i="5"/>
  <c r="P142" i="5" s="1"/>
  <c r="R142" i="5"/>
  <c r="S142" i="5"/>
  <c r="M140" i="5"/>
  <c r="Q140" i="5"/>
  <c r="N140" i="5" s="1"/>
  <c r="R140" i="5"/>
  <c r="S140" i="5"/>
  <c r="M359" i="5"/>
  <c r="Q359" i="5"/>
  <c r="R359" i="5"/>
  <c r="S359" i="5"/>
  <c r="M169" i="5"/>
  <c r="Q169" i="5"/>
  <c r="R169" i="5"/>
  <c r="S169" i="5"/>
  <c r="M215" i="5"/>
  <c r="Q215" i="5"/>
  <c r="O215" i="5" s="1"/>
  <c r="R215" i="5"/>
  <c r="S215" i="5"/>
  <c r="M188" i="5"/>
  <c r="Q188" i="5"/>
  <c r="R188" i="5"/>
  <c r="S188" i="5"/>
  <c r="M296" i="5"/>
  <c r="Q296" i="5"/>
  <c r="O296" i="5" s="1"/>
  <c r="R296" i="5"/>
  <c r="S296" i="5"/>
  <c r="M297" i="5"/>
  <c r="Q297" i="5"/>
  <c r="O297" i="5" s="1"/>
  <c r="R297" i="5"/>
  <c r="S297" i="5"/>
  <c r="M352" i="5"/>
  <c r="Q352" i="5"/>
  <c r="O352" i="5" s="1"/>
  <c r="R352" i="5"/>
  <c r="S352" i="5"/>
  <c r="M337" i="5"/>
  <c r="Q337" i="5"/>
  <c r="P337" i="5" s="1"/>
  <c r="R337" i="5"/>
  <c r="S337" i="5"/>
  <c r="M342" i="5"/>
  <c r="Q342" i="5"/>
  <c r="O342" i="5" s="1"/>
  <c r="R342" i="5"/>
  <c r="S342" i="5"/>
  <c r="M332" i="5"/>
  <c r="Q332" i="5"/>
  <c r="R332" i="5"/>
  <c r="S332" i="5"/>
  <c r="M347" i="5"/>
  <c r="Q347" i="5"/>
  <c r="R347" i="5"/>
  <c r="S347" i="5"/>
  <c r="M145" i="5"/>
  <c r="Q145" i="5"/>
  <c r="P145" i="5" s="1"/>
  <c r="R145" i="5"/>
  <c r="S145" i="5"/>
  <c r="M156" i="5"/>
  <c r="Q156" i="5"/>
  <c r="R156" i="5"/>
  <c r="S156" i="5"/>
  <c r="M113" i="5"/>
  <c r="Q113" i="5"/>
  <c r="O113" i="5" s="1"/>
  <c r="R113" i="5"/>
  <c r="S113" i="5"/>
  <c r="M182" i="5"/>
  <c r="Q182" i="5"/>
  <c r="O182" i="5" s="1"/>
  <c r="R182" i="5"/>
  <c r="S182" i="5"/>
  <c r="M179" i="5"/>
  <c r="Q179" i="5"/>
  <c r="R179" i="5"/>
  <c r="S179" i="5"/>
  <c r="M199" i="5"/>
  <c r="Q199" i="5"/>
  <c r="O199" i="5" s="1"/>
  <c r="R199" i="5"/>
  <c r="S199" i="5"/>
  <c r="M446" i="5"/>
  <c r="Q446" i="5"/>
  <c r="O446" i="5" s="1"/>
  <c r="R446" i="5"/>
  <c r="S446" i="5"/>
  <c r="M210" i="5"/>
  <c r="Q210" i="5"/>
  <c r="O210" i="5" s="1"/>
  <c r="R210" i="5"/>
  <c r="S210" i="5"/>
  <c r="M273" i="5"/>
  <c r="Q273" i="5"/>
  <c r="R273" i="5"/>
  <c r="S273" i="5"/>
  <c r="M397" i="5"/>
  <c r="Q397" i="5"/>
  <c r="R397" i="5"/>
  <c r="S397" i="5"/>
  <c r="M163" i="5"/>
  <c r="Q163" i="5"/>
  <c r="R163" i="5"/>
  <c r="S163" i="5"/>
  <c r="M437" i="5"/>
  <c r="Q437" i="5"/>
  <c r="O437" i="5" s="1"/>
  <c r="R437" i="5"/>
  <c r="S437" i="5"/>
  <c r="M366" i="5"/>
  <c r="Q366" i="5"/>
  <c r="P366" i="5" s="1"/>
  <c r="R366" i="5"/>
  <c r="S366" i="5"/>
  <c r="M77" i="5"/>
  <c r="Q77" i="5"/>
  <c r="O77" i="5" s="1"/>
  <c r="R77" i="5"/>
  <c r="S77" i="5"/>
  <c r="M135" i="5"/>
  <c r="Q135" i="5"/>
  <c r="R135" i="5"/>
  <c r="S135" i="5"/>
  <c r="M233" i="5"/>
  <c r="Q233" i="5"/>
  <c r="R233" i="5"/>
  <c r="S233" i="5"/>
  <c r="M415" i="5"/>
  <c r="Q415" i="5"/>
  <c r="P415" i="5" s="1"/>
  <c r="R415" i="5"/>
  <c r="S415" i="5"/>
  <c r="M392" i="5"/>
  <c r="Q392" i="5"/>
  <c r="R392" i="5"/>
  <c r="S392" i="5"/>
  <c r="M381" i="5"/>
  <c r="Q381" i="5"/>
  <c r="O381" i="5" s="1"/>
  <c r="R381" i="5"/>
  <c r="S381" i="5"/>
  <c r="M202" i="5"/>
  <c r="Q202" i="5"/>
  <c r="O202" i="5" s="1"/>
  <c r="R202" i="5"/>
  <c r="S202" i="5"/>
  <c r="M360" i="5"/>
  <c r="Q360" i="5"/>
  <c r="R360" i="5"/>
  <c r="S360" i="5"/>
  <c r="M361" i="5"/>
  <c r="Q361" i="5"/>
  <c r="O361" i="5" s="1"/>
  <c r="R361" i="5"/>
  <c r="S361" i="5"/>
  <c r="M298" i="5"/>
  <c r="Q298" i="5"/>
  <c r="O298" i="5" s="1"/>
  <c r="R298" i="5"/>
  <c r="S298" i="5"/>
  <c r="M353" i="5"/>
  <c r="Q353" i="5"/>
  <c r="O353" i="5" s="1"/>
  <c r="R353" i="5"/>
  <c r="S353" i="5"/>
  <c r="M338" i="5"/>
  <c r="Q338" i="5"/>
  <c r="P338" i="5" s="1"/>
  <c r="R338" i="5"/>
  <c r="S338" i="5"/>
  <c r="M343" i="5"/>
  <c r="Q343" i="5"/>
  <c r="O343" i="5" s="1"/>
  <c r="R343" i="5"/>
  <c r="S343" i="5"/>
  <c r="M333" i="5"/>
  <c r="Q333" i="5"/>
  <c r="O333" i="5" s="1"/>
  <c r="R333" i="5"/>
  <c r="S333" i="5"/>
  <c r="M356" i="5"/>
  <c r="Q356" i="5"/>
  <c r="O356" i="5" s="1"/>
  <c r="R356" i="5"/>
  <c r="S356" i="5"/>
  <c r="M348" i="5"/>
  <c r="Q348" i="5"/>
  <c r="R348" i="5"/>
  <c r="S348" i="5"/>
  <c r="M146" i="5"/>
  <c r="Q146" i="5"/>
  <c r="O146" i="5" s="1"/>
  <c r="R146" i="5"/>
  <c r="S146" i="5"/>
  <c r="M157" i="5"/>
  <c r="Q157" i="5"/>
  <c r="O157" i="5" s="1"/>
  <c r="R157" i="5"/>
  <c r="S157" i="5"/>
  <c r="M114" i="5"/>
  <c r="Q114" i="5"/>
  <c r="R114" i="5"/>
  <c r="S114" i="5"/>
  <c r="M115" i="5"/>
  <c r="Q115" i="5"/>
  <c r="P115" i="5" s="1"/>
  <c r="R115" i="5"/>
  <c r="S115" i="5"/>
  <c r="M362" i="5"/>
  <c r="Q362" i="5"/>
  <c r="R362" i="5"/>
  <c r="S362" i="5"/>
  <c r="M434" i="5"/>
  <c r="Q434" i="5"/>
  <c r="O434" i="5" s="1"/>
  <c r="R434" i="5"/>
  <c r="S434" i="5"/>
  <c r="M402" i="5"/>
  <c r="Q402" i="5"/>
  <c r="O402" i="5" s="1"/>
  <c r="R402" i="5"/>
  <c r="S402" i="5"/>
  <c r="M180" i="5"/>
  <c r="Q180" i="5"/>
  <c r="P180" i="5" s="1"/>
  <c r="R180" i="5"/>
  <c r="S180" i="5"/>
  <c r="M449" i="5"/>
  <c r="Q449" i="5"/>
  <c r="O449" i="5" s="1"/>
  <c r="R449" i="5"/>
  <c r="S449" i="5"/>
  <c r="M197" i="5"/>
  <c r="Q197" i="5"/>
  <c r="R197" i="5"/>
  <c r="S197" i="5"/>
  <c r="M211" i="5"/>
  <c r="Q211" i="5"/>
  <c r="R211" i="5"/>
  <c r="S211" i="5"/>
  <c r="M274" i="5"/>
  <c r="Q274" i="5"/>
  <c r="R274" i="5"/>
  <c r="S274" i="5"/>
  <c r="M398" i="5"/>
  <c r="Q398" i="5"/>
  <c r="O398" i="5" s="1"/>
  <c r="R398" i="5"/>
  <c r="S398" i="5"/>
  <c r="M164" i="5"/>
  <c r="Q164" i="5"/>
  <c r="O164" i="5" s="1"/>
  <c r="R164" i="5"/>
  <c r="S164" i="5"/>
  <c r="M186" i="5"/>
  <c r="Q186" i="5"/>
  <c r="O186" i="5" s="1"/>
  <c r="R186" i="5"/>
  <c r="S186" i="5"/>
  <c r="M367" i="5"/>
  <c r="Q367" i="5"/>
  <c r="R367" i="5"/>
  <c r="S367" i="5"/>
  <c r="M78" i="5"/>
  <c r="Q78" i="5"/>
  <c r="O78" i="5" s="1"/>
  <c r="R78" i="5"/>
  <c r="S78" i="5"/>
  <c r="M316" i="5"/>
  <c r="Q316" i="5"/>
  <c r="O316" i="5" s="1"/>
  <c r="R316" i="5"/>
  <c r="S316" i="5"/>
  <c r="M136" i="5"/>
  <c r="Q136" i="5"/>
  <c r="R136" i="5"/>
  <c r="S136" i="5"/>
  <c r="M234" i="5"/>
  <c r="Q234" i="5"/>
  <c r="P234" i="5" s="1"/>
  <c r="R234" i="5"/>
  <c r="S234" i="5"/>
  <c r="M83" i="5"/>
  <c r="Q83" i="5"/>
  <c r="R83" i="5"/>
  <c r="S83" i="5"/>
  <c r="M393" i="5"/>
  <c r="Q393" i="5"/>
  <c r="R393" i="5"/>
  <c r="S393" i="5"/>
  <c r="M382" i="5"/>
  <c r="Q382" i="5"/>
  <c r="O382" i="5" s="1"/>
  <c r="R382" i="5"/>
  <c r="S382" i="5"/>
  <c r="M203" i="5"/>
  <c r="Q203" i="5"/>
  <c r="O203" i="5" s="1"/>
  <c r="R203" i="5"/>
  <c r="S203" i="5"/>
  <c r="M363" i="5"/>
  <c r="Q363" i="5"/>
  <c r="O363" i="5" s="1"/>
  <c r="R363" i="5"/>
  <c r="S363" i="5"/>
  <c r="M299" i="5"/>
  <c r="Q299" i="5"/>
  <c r="R299" i="5"/>
  <c r="S299" i="5"/>
  <c r="M354" i="5"/>
  <c r="Q354" i="5"/>
  <c r="O354" i="5" s="1"/>
  <c r="R354" i="5"/>
  <c r="S354" i="5"/>
  <c r="M339" i="5"/>
  <c r="Q339" i="5"/>
  <c r="O339" i="5" s="1"/>
  <c r="R339" i="5"/>
  <c r="S339" i="5"/>
  <c r="M344" i="5"/>
  <c r="Q344" i="5"/>
  <c r="R344" i="5"/>
  <c r="S344" i="5"/>
  <c r="M334" i="5"/>
  <c r="Q334" i="5"/>
  <c r="R334" i="5"/>
  <c r="S334" i="5"/>
  <c r="M357" i="5"/>
  <c r="Q357" i="5"/>
  <c r="O357" i="5" s="1"/>
  <c r="R357" i="5"/>
  <c r="S357" i="5"/>
  <c r="M349" i="5"/>
  <c r="Q349" i="5"/>
  <c r="R349" i="5"/>
  <c r="S349" i="5"/>
  <c r="M147" i="5"/>
  <c r="Q147" i="5"/>
  <c r="O147" i="5" s="1"/>
  <c r="R147" i="5"/>
  <c r="S147" i="5"/>
  <c r="M158" i="5"/>
  <c r="Q158" i="5"/>
  <c r="O158" i="5" s="1"/>
  <c r="R158" i="5"/>
  <c r="S158" i="5"/>
  <c r="M116" i="5"/>
  <c r="Q116" i="5"/>
  <c r="O116" i="5" s="1"/>
  <c r="R116" i="5"/>
  <c r="S116" i="5"/>
  <c r="M183" i="5"/>
  <c r="Q183" i="5"/>
  <c r="R183" i="5"/>
  <c r="S183" i="5"/>
  <c r="M432" i="5"/>
  <c r="Q432" i="5"/>
  <c r="O432" i="5" s="1"/>
  <c r="R432" i="5"/>
  <c r="S432" i="5"/>
  <c r="M200" i="5"/>
  <c r="Q200" i="5"/>
  <c r="P200" i="5" s="1"/>
  <c r="R200" i="5"/>
  <c r="S200" i="5"/>
  <c r="M447" i="5"/>
  <c r="Q447" i="5"/>
  <c r="R447" i="5"/>
  <c r="S447" i="5"/>
  <c r="M212" i="5"/>
  <c r="Q212" i="5"/>
  <c r="R212" i="5"/>
  <c r="S212" i="5"/>
  <c r="M275" i="5"/>
  <c r="Q275" i="5"/>
  <c r="R275" i="5"/>
  <c r="S275" i="5"/>
  <c r="M399" i="5"/>
  <c r="Q399" i="5"/>
  <c r="R399" i="5"/>
  <c r="S399" i="5"/>
  <c r="M417" i="5"/>
  <c r="Q417" i="5"/>
  <c r="O417" i="5" s="1"/>
  <c r="R417" i="5"/>
  <c r="S417" i="5"/>
  <c r="M438" i="5"/>
  <c r="Q438" i="5"/>
  <c r="P438" i="5" s="1"/>
  <c r="R438" i="5"/>
  <c r="S438" i="5"/>
  <c r="M368" i="5"/>
  <c r="Q368" i="5"/>
  <c r="O368" i="5" s="1"/>
  <c r="R368" i="5"/>
  <c r="S368" i="5"/>
  <c r="M79" i="5"/>
  <c r="Q79" i="5"/>
  <c r="P79" i="5" s="1"/>
  <c r="R79" i="5"/>
  <c r="S79" i="5"/>
  <c r="M137" i="5"/>
  <c r="Q137" i="5"/>
  <c r="R137" i="5"/>
  <c r="S137" i="5"/>
  <c r="M235" i="5"/>
  <c r="Q235" i="5"/>
  <c r="N235" i="5" s="1"/>
  <c r="R235" i="5"/>
  <c r="S235" i="5"/>
  <c r="M84" i="5"/>
  <c r="Q84" i="5"/>
  <c r="N84" i="5" s="1"/>
  <c r="R84" i="5"/>
  <c r="S84" i="5"/>
  <c r="M394" i="5"/>
  <c r="Q394" i="5"/>
  <c r="O394" i="5" s="1"/>
  <c r="R394" i="5"/>
  <c r="S394" i="5"/>
  <c r="M383" i="5"/>
  <c r="Q383" i="5"/>
  <c r="O383" i="5" s="1"/>
  <c r="R383" i="5"/>
  <c r="S383" i="5"/>
  <c r="M204" i="5"/>
  <c r="Q204" i="5"/>
  <c r="N204" i="5" s="1"/>
  <c r="R204" i="5"/>
  <c r="S204" i="5"/>
  <c r="M364" i="5"/>
  <c r="Q364" i="5"/>
  <c r="N364" i="5" s="1"/>
  <c r="R364" i="5"/>
  <c r="S364" i="5"/>
  <c r="M300" i="5"/>
  <c r="Q300" i="5"/>
  <c r="O300" i="5" s="1"/>
  <c r="R300" i="5"/>
  <c r="S300" i="5"/>
  <c r="M355" i="5"/>
  <c r="Q355" i="5"/>
  <c r="P355" i="5" s="1"/>
  <c r="R355" i="5"/>
  <c r="S355" i="5"/>
  <c r="M340" i="5"/>
  <c r="Q340" i="5"/>
  <c r="P340" i="5" s="1"/>
  <c r="R340" i="5"/>
  <c r="S340" i="5"/>
  <c r="M345" i="5"/>
  <c r="Q345" i="5"/>
  <c r="R345" i="5"/>
  <c r="S345" i="5"/>
  <c r="M335" i="5"/>
  <c r="Q335" i="5"/>
  <c r="R335" i="5"/>
  <c r="S335" i="5"/>
  <c r="M350" i="5"/>
  <c r="Q350" i="5"/>
  <c r="P350" i="5" s="1"/>
  <c r="R350" i="5"/>
  <c r="S350" i="5"/>
  <c r="M148" i="5"/>
  <c r="Q148" i="5"/>
  <c r="R148" i="5"/>
  <c r="S148" i="5"/>
  <c r="M149" i="5"/>
  <c r="Q149" i="5"/>
  <c r="N149" i="5" s="1"/>
  <c r="R149" i="5"/>
  <c r="S149" i="5"/>
  <c r="M159" i="5"/>
  <c r="Q159" i="5"/>
  <c r="O159" i="5" s="1"/>
  <c r="R159" i="5"/>
  <c r="S159" i="5"/>
  <c r="M117" i="5"/>
  <c r="Q117" i="5"/>
  <c r="N117" i="5" s="1"/>
  <c r="R117" i="5"/>
  <c r="S117" i="5"/>
  <c r="M435" i="5"/>
  <c r="Q435" i="5"/>
  <c r="N435" i="5" s="1"/>
  <c r="R435" i="5"/>
  <c r="S435" i="5"/>
  <c r="M181" i="5"/>
  <c r="Q181" i="5"/>
  <c r="R181" i="5"/>
  <c r="S181" i="5"/>
  <c r="M450" i="5"/>
  <c r="Q450" i="5"/>
  <c r="P450" i="5" s="1"/>
  <c r="R450" i="5"/>
  <c r="S450" i="5"/>
  <c r="M198" i="5"/>
  <c r="Q198" i="5"/>
  <c r="P198" i="5" s="1"/>
  <c r="R198" i="5"/>
  <c r="S198" i="5"/>
  <c r="M213" i="5"/>
  <c r="Q213" i="5"/>
  <c r="N213" i="5" s="1"/>
  <c r="R213" i="5"/>
  <c r="S213" i="5"/>
  <c r="M276" i="5"/>
  <c r="Q276" i="5"/>
  <c r="R276" i="5"/>
  <c r="S276" i="5"/>
  <c r="M400" i="5"/>
  <c r="Q400" i="5"/>
  <c r="P400" i="5" s="1"/>
  <c r="R400" i="5"/>
  <c r="S400" i="5"/>
  <c r="M165" i="5"/>
  <c r="Q165" i="5"/>
  <c r="N165" i="5" s="1"/>
  <c r="R165" i="5"/>
  <c r="S165" i="5"/>
  <c r="M187" i="5"/>
  <c r="Q187" i="5"/>
  <c r="N187" i="5" s="1"/>
  <c r="R187" i="5"/>
  <c r="S187" i="5"/>
  <c r="M369" i="5"/>
  <c r="Q369" i="5"/>
  <c r="R369" i="5"/>
  <c r="S369" i="5"/>
  <c r="M80" i="5"/>
  <c r="Q80" i="5"/>
  <c r="R80" i="5"/>
  <c r="S80" i="5"/>
  <c r="M138" i="5"/>
  <c r="Q138" i="5"/>
  <c r="R138" i="5"/>
  <c r="S138" i="5"/>
  <c r="M236" i="5"/>
  <c r="Q236" i="5"/>
  <c r="N236" i="5" s="1"/>
  <c r="R236" i="5"/>
  <c r="S236" i="5"/>
  <c r="M85" i="5"/>
  <c r="Q85" i="5"/>
  <c r="R85" i="5"/>
  <c r="S85" i="5"/>
  <c r="M395" i="5"/>
  <c r="Q395" i="5"/>
  <c r="R395" i="5"/>
  <c r="S395" i="5"/>
  <c r="M384" i="5"/>
  <c r="Q384" i="5"/>
  <c r="P384" i="5" s="1"/>
  <c r="R384" i="5"/>
  <c r="S384" i="5"/>
  <c r="M205" i="5"/>
  <c r="Q205" i="5"/>
  <c r="N205" i="5" s="1"/>
  <c r="R205" i="5"/>
  <c r="S205" i="5"/>
  <c r="P72" i="5" l="1"/>
  <c r="N66" i="5"/>
  <c r="P284" i="5"/>
  <c r="O284" i="5"/>
  <c r="P251" i="5"/>
  <c r="O251" i="5"/>
  <c r="P456" i="5"/>
  <c r="O456" i="5"/>
  <c r="N271" i="5"/>
  <c r="O271" i="5"/>
  <c r="P260" i="5"/>
  <c r="O260" i="5"/>
  <c r="P379" i="5"/>
  <c r="O379" i="5"/>
  <c r="P250" i="5"/>
  <c r="O250" i="5"/>
  <c r="P246" i="5"/>
  <c r="O246" i="5"/>
  <c r="P266" i="5"/>
  <c r="O266" i="5"/>
  <c r="P265" i="5"/>
  <c r="O265" i="5"/>
  <c r="P126" i="5"/>
  <c r="O126" i="5"/>
  <c r="P125" i="5"/>
  <c r="O125" i="5"/>
  <c r="P97" i="5"/>
  <c r="O97" i="5"/>
  <c r="P411" i="5"/>
  <c r="O411" i="5"/>
  <c r="N405" i="5"/>
  <c r="O405" i="5"/>
  <c r="P404" i="5"/>
  <c r="O404" i="5"/>
  <c r="P281" i="5"/>
  <c r="O281" i="5"/>
  <c r="P277" i="5"/>
  <c r="O277" i="5"/>
  <c r="P269" i="5"/>
  <c r="O269" i="5"/>
  <c r="P256" i="5"/>
  <c r="O256" i="5"/>
  <c r="P254" i="5"/>
  <c r="O254" i="5"/>
  <c r="N375" i="5"/>
  <c r="O375" i="5"/>
  <c r="P371" i="5"/>
  <c r="O371" i="5"/>
  <c r="N247" i="5"/>
  <c r="O247" i="5"/>
  <c r="P238" i="5"/>
  <c r="O238" i="5"/>
  <c r="N452" i="5"/>
  <c r="O452" i="5"/>
  <c r="P263" i="5"/>
  <c r="O263" i="5"/>
  <c r="N93" i="5"/>
  <c r="O93" i="5"/>
  <c r="N119" i="5"/>
  <c r="O119" i="5"/>
  <c r="N416" i="5"/>
  <c r="O416" i="5"/>
  <c r="P138" i="5"/>
  <c r="O138" i="5"/>
  <c r="I396" i="17"/>
  <c r="H376" i="17"/>
  <c r="S362" i="17"/>
  <c r="N30" i="5"/>
  <c r="N294" i="5"/>
  <c r="N254" i="5"/>
  <c r="N157" i="5"/>
  <c r="N224" i="5"/>
  <c r="N425" i="5"/>
  <c r="N446" i="5"/>
  <c r="N238" i="5"/>
  <c r="O315" i="5"/>
  <c r="O396" i="5"/>
  <c r="N95" i="5"/>
  <c r="P328" i="5"/>
  <c r="N52" i="5"/>
  <c r="N159" i="5"/>
  <c r="P203" i="5"/>
  <c r="N396" i="5"/>
  <c r="N438" i="5"/>
  <c r="P316" i="5"/>
  <c r="N337" i="5"/>
  <c r="P405" i="5"/>
  <c r="P150" i="5"/>
  <c r="N221" i="5"/>
  <c r="P66" i="5"/>
  <c r="P42" i="5"/>
  <c r="N25" i="5"/>
  <c r="O366" i="5"/>
  <c r="O143" i="5"/>
  <c r="O192" i="5"/>
  <c r="O62" i="5"/>
  <c r="N42" i="5"/>
  <c r="N20" i="5"/>
  <c r="N298" i="5"/>
  <c r="N171" i="5"/>
  <c r="P158" i="5"/>
  <c r="N316" i="5"/>
  <c r="P232" i="5"/>
  <c r="N407" i="5"/>
  <c r="O88" i="5"/>
  <c r="O466" i="5" s="1"/>
  <c r="O313" i="5"/>
  <c r="N158" i="5"/>
  <c r="N164" i="5"/>
  <c r="N366" i="5"/>
  <c r="O294" i="5"/>
  <c r="N97" i="5"/>
  <c r="N88" i="5"/>
  <c r="N466" i="5" s="1"/>
  <c r="N418" i="5"/>
  <c r="N441" i="5"/>
  <c r="N313" i="5"/>
  <c r="N62" i="5"/>
  <c r="P34" i="5"/>
  <c r="N203" i="5"/>
  <c r="N180" i="5"/>
  <c r="N381" i="5"/>
  <c r="N232" i="5"/>
  <c r="N209" i="5"/>
  <c r="O139" i="5"/>
  <c r="N379" i="5"/>
  <c r="N100" i="5"/>
  <c r="N269" i="5"/>
  <c r="N263" i="5"/>
  <c r="P118" i="5"/>
  <c r="O387" i="5"/>
  <c r="P444" i="5"/>
  <c r="N192" i="5"/>
  <c r="O72" i="5"/>
  <c r="O310" i="5"/>
  <c r="O66" i="5"/>
  <c r="P54" i="5"/>
  <c r="O46" i="5"/>
  <c r="P38" i="5"/>
  <c r="N34" i="5"/>
  <c r="P14" i="5"/>
  <c r="O6" i="5"/>
  <c r="N138" i="5"/>
  <c r="O198" i="5"/>
  <c r="O84" i="5"/>
  <c r="N371" i="5"/>
  <c r="O444" i="5"/>
  <c r="N72" i="5"/>
  <c r="N310" i="5"/>
  <c r="O54" i="5"/>
  <c r="N46" i="5"/>
  <c r="O38" i="5"/>
  <c r="O14" i="5"/>
  <c r="N6" i="5"/>
  <c r="N355" i="5"/>
  <c r="N198" i="5"/>
  <c r="O438" i="5"/>
  <c r="P298" i="5"/>
  <c r="O142" i="5"/>
  <c r="O369" i="5"/>
  <c r="N369" i="5"/>
  <c r="N183" i="5"/>
  <c r="O183" i="5"/>
  <c r="O197" i="5"/>
  <c r="N197" i="5"/>
  <c r="P348" i="5"/>
  <c r="N348" i="5"/>
  <c r="P179" i="5"/>
  <c r="N179" i="5"/>
  <c r="N283" i="5"/>
  <c r="N377" i="5"/>
  <c r="P429" i="5"/>
  <c r="N429" i="5"/>
  <c r="N244" i="5"/>
  <c r="N102" i="5"/>
  <c r="P102" i="5"/>
  <c r="P423" i="5"/>
  <c r="N423" i="5"/>
  <c r="P49" i="5"/>
  <c r="N49" i="5"/>
  <c r="O49" i="5"/>
  <c r="P9" i="5"/>
  <c r="N9" i="5"/>
  <c r="O9" i="5"/>
  <c r="P369" i="5"/>
  <c r="O350" i="5"/>
  <c r="N345" i="5"/>
  <c r="P345" i="5"/>
  <c r="P183" i="5"/>
  <c r="O393" i="5"/>
  <c r="N393" i="5"/>
  <c r="P197" i="5"/>
  <c r="O348" i="5"/>
  <c r="O135" i="5"/>
  <c r="N135" i="5"/>
  <c r="P135" i="5"/>
  <c r="O179" i="5"/>
  <c r="N297" i="5"/>
  <c r="O169" i="5"/>
  <c r="N169" i="5"/>
  <c r="P169" i="5"/>
  <c r="P240" i="5"/>
  <c r="N240" i="5"/>
  <c r="O278" i="5"/>
  <c r="P278" i="5"/>
  <c r="N287" i="5"/>
  <c r="P287" i="5"/>
  <c r="N374" i="5"/>
  <c r="P373" i="5"/>
  <c r="P244" i="5"/>
  <c r="N430" i="5"/>
  <c r="N94" i="5"/>
  <c r="O94" i="5"/>
  <c r="P94" i="5"/>
  <c r="P81" i="5"/>
  <c r="O81" i="5"/>
  <c r="N81" i="5"/>
  <c r="P395" i="5"/>
  <c r="N395" i="5"/>
  <c r="O332" i="5"/>
  <c r="N332" i="5"/>
  <c r="N391" i="5"/>
  <c r="O391" i="5"/>
  <c r="O155" i="5"/>
  <c r="P155" i="5"/>
  <c r="O214" i="5"/>
  <c r="N214" i="5"/>
  <c r="P214" i="5"/>
  <c r="N290" i="5"/>
  <c r="N278" i="5"/>
  <c r="O289" i="5"/>
  <c r="N289" i="5"/>
  <c r="N264" i="5"/>
  <c r="O264" i="5"/>
  <c r="N123" i="5"/>
  <c r="P123" i="5"/>
  <c r="P326" i="5"/>
  <c r="O326" i="5"/>
  <c r="N326" i="5"/>
  <c r="N168" i="5"/>
  <c r="O168" i="5"/>
  <c r="O28" i="5"/>
  <c r="N28" i="5"/>
  <c r="O395" i="5"/>
  <c r="O181" i="5"/>
  <c r="N181" i="5"/>
  <c r="P181" i="5"/>
  <c r="O364" i="5"/>
  <c r="O399" i="5"/>
  <c r="N399" i="5"/>
  <c r="P399" i="5"/>
  <c r="P367" i="5"/>
  <c r="N367" i="5"/>
  <c r="O367" i="5"/>
  <c r="N434" i="5"/>
  <c r="P360" i="5"/>
  <c r="N360" i="5"/>
  <c r="O360" i="5"/>
  <c r="O163" i="5"/>
  <c r="N163" i="5"/>
  <c r="P332" i="5"/>
  <c r="P391" i="5"/>
  <c r="N155" i="5"/>
  <c r="O346" i="5"/>
  <c r="N346" i="5"/>
  <c r="P289" i="5"/>
  <c r="P375" i="5"/>
  <c r="P247" i="5"/>
  <c r="P264" i="5"/>
  <c r="N174" i="5"/>
  <c r="O174" i="5"/>
  <c r="P314" i="5"/>
  <c r="N314" i="5"/>
  <c r="O314" i="5"/>
  <c r="N22" i="5"/>
  <c r="O22" i="5"/>
  <c r="P22" i="5"/>
  <c r="O108" i="5"/>
  <c r="O390" i="5"/>
  <c r="P292" i="5"/>
  <c r="P422" i="5"/>
  <c r="P171" i="5"/>
  <c r="O445" i="5"/>
  <c r="P190" i="5"/>
  <c r="P224" i="5"/>
  <c r="P228" i="5"/>
  <c r="O41" i="5"/>
  <c r="P30" i="5"/>
  <c r="O17" i="5"/>
  <c r="N4" i="5"/>
  <c r="P84" i="5"/>
  <c r="N339" i="5"/>
  <c r="O180" i="5"/>
  <c r="P157" i="5"/>
  <c r="N333" i="5"/>
  <c r="P446" i="5"/>
  <c r="N113" i="5"/>
  <c r="O337" i="5"/>
  <c r="O365" i="5"/>
  <c r="P209" i="5"/>
  <c r="N251" i="5"/>
  <c r="N268" i="5"/>
  <c r="P407" i="5"/>
  <c r="O161" i="5"/>
  <c r="O153" i="5"/>
  <c r="N108" i="5"/>
  <c r="N390" i="5"/>
  <c r="O418" i="5"/>
  <c r="O425" i="5"/>
  <c r="N445" i="5"/>
  <c r="N193" i="5"/>
  <c r="O441" i="5"/>
  <c r="O221" i="5"/>
  <c r="O228" i="5"/>
  <c r="P315" i="5"/>
  <c r="N44" i="5"/>
  <c r="N41" i="5"/>
  <c r="O25" i="5"/>
  <c r="N17" i="5"/>
  <c r="N12" i="5"/>
  <c r="O148" i="5"/>
  <c r="P148" i="5"/>
  <c r="N133" i="5"/>
  <c r="P133" i="5"/>
  <c r="P96" i="5"/>
  <c r="N176" i="5"/>
  <c r="O176" i="5"/>
  <c r="P176" i="5"/>
  <c r="O85" i="5"/>
  <c r="N85" i="5"/>
  <c r="P80" i="5"/>
  <c r="N80" i="5"/>
  <c r="O80" i="5"/>
  <c r="O212" i="5"/>
  <c r="P212" i="5"/>
  <c r="O334" i="5"/>
  <c r="N334" i="5"/>
  <c r="N274" i="5"/>
  <c r="O274" i="5"/>
  <c r="N273" i="5"/>
  <c r="O273" i="5"/>
  <c r="N188" i="5"/>
  <c r="O188" i="5"/>
  <c r="O185" i="5"/>
  <c r="N185" i="5"/>
  <c r="P185" i="5"/>
  <c r="N99" i="5"/>
  <c r="P99" i="5"/>
  <c r="P237" i="5"/>
  <c r="N237" i="5"/>
  <c r="N384" i="5"/>
  <c r="O384" i="5"/>
  <c r="O335" i="5"/>
  <c r="N335" i="5"/>
  <c r="P335" i="5"/>
  <c r="O204" i="5"/>
  <c r="P204" i="5"/>
  <c r="O235" i="5"/>
  <c r="P235" i="5"/>
  <c r="N212" i="5"/>
  <c r="O200" i="5"/>
  <c r="N200" i="5"/>
  <c r="P334" i="5"/>
  <c r="P274" i="5"/>
  <c r="P273" i="5"/>
  <c r="P188" i="5"/>
  <c r="O451" i="5"/>
  <c r="N451" i="5"/>
  <c r="P451" i="5"/>
  <c r="O448" i="5"/>
  <c r="P448" i="5"/>
  <c r="O431" i="5"/>
  <c r="O141" i="5"/>
  <c r="N141" i="5"/>
  <c r="P141" i="5"/>
  <c r="N285" i="5"/>
  <c r="O285" i="5"/>
  <c r="P285" i="5"/>
  <c r="N259" i="5"/>
  <c r="P259" i="5"/>
  <c r="P453" i="5"/>
  <c r="P257" i="5"/>
  <c r="N257" i="5"/>
  <c r="P253" i="5"/>
  <c r="N253" i="5"/>
  <c r="O419" i="5"/>
  <c r="P419" i="5"/>
  <c r="N419" i="5"/>
  <c r="O40" i="5"/>
  <c r="N40" i="5"/>
  <c r="O117" i="5"/>
  <c r="P117" i="5"/>
  <c r="O349" i="5"/>
  <c r="N349" i="5"/>
  <c r="P349" i="5"/>
  <c r="O299" i="5"/>
  <c r="N299" i="5"/>
  <c r="P299" i="5"/>
  <c r="O140" i="5"/>
  <c r="P140" i="5"/>
  <c r="O433" i="5"/>
  <c r="N433" i="5"/>
  <c r="P433" i="5"/>
  <c r="O358" i="5"/>
  <c r="P358" i="5"/>
  <c r="P65" i="5"/>
  <c r="N65" i="5"/>
  <c r="O65" i="5"/>
  <c r="O165" i="5"/>
  <c r="P165" i="5"/>
  <c r="O400" i="5"/>
  <c r="N148" i="5"/>
  <c r="P383" i="5"/>
  <c r="N383" i="5"/>
  <c r="N338" i="5"/>
  <c r="O338" i="5"/>
  <c r="O341" i="5"/>
  <c r="P341" i="5"/>
  <c r="O336" i="5"/>
  <c r="N358" i="5"/>
  <c r="O280" i="5"/>
  <c r="N280" i="5"/>
  <c r="P280" i="5"/>
  <c r="P409" i="5"/>
  <c r="P191" i="5"/>
  <c r="O191" i="5"/>
  <c r="O276" i="5"/>
  <c r="N276" i="5"/>
  <c r="P276" i="5"/>
  <c r="N340" i="5"/>
  <c r="O340" i="5"/>
  <c r="O79" i="5"/>
  <c r="N79" i="5"/>
  <c r="N234" i="5"/>
  <c r="O234" i="5"/>
  <c r="N115" i="5"/>
  <c r="O115" i="5"/>
  <c r="N415" i="5"/>
  <c r="O415" i="5"/>
  <c r="N145" i="5"/>
  <c r="O145" i="5"/>
  <c r="O76" i="5"/>
  <c r="P76" i="5"/>
  <c r="O351" i="5"/>
  <c r="N351" i="5"/>
  <c r="P351" i="5"/>
  <c r="N73" i="5"/>
  <c r="P73" i="5"/>
  <c r="O455" i="5"/>
  <c r="N455" i="5"/>
  <c r="P455" i="5"/>
  <c r="N120" i="5"/>
  <c r="O120" i="5"/>
  <c r="P120" i="5"/>
  <c r="N129" i="5"/>
  <c r="O129" i="5"/>
  <c r="N152" i="5"/>
  <c r="O152" i="5"/>
  <c r="N105" i="5"/>
  <c r="P105" i="5"/>
  <c r="N166" i="5"/>
  <c r="O166" i="5"/>
  <c r="P426" i="5"/>
  <c r="N426" i="5"/>
  <c r="N74" i="5"/>
  <c r="O74" i="5"/>
  <c r="P74" i="5"/>
  <c r="O454" i="5"/>
  <c r="P454" i="5"/>
  <c r="P378" i="5"/>
  <c r="P178" i="5"/>
  <c r="O249" i="5"/>
  <c r="P249" i="5"/>
  <c r="N372" i="5"/>
  <c r="O372" i="5"/>
  <c r="P372" i="5"/>
  <c r="N242" i="5"/>
  <c r="P242" i="5"/>
  <c r="P129" i="5"/>
  <c r="P152" i="5"/>
  <c r="P166" i="5"/>
  <c r="O426" i="5"/>
  <c r="O8" i="5"/>
  <c r="N8" i="5"/>
  <c r="N130" i="5"/>
  <c r="P130" i="5"/>
  <c r="P92" i="5"/>
  <c r="N92" i="5"/>
  <c r="N121" i="5"/>
  <c r="P121" i="5"/>
  <c r="O450" i="5"/>
  <c r="P394" i="5"/>
  <c r="P339" i="5"/>
  <c r="P393" i="5"/>
  <c r="P164" i="5"/>
  <c r="P434" i="5"/>
  <c r="P333" i="5"/>
  <c r="P381" i="5"/>
  <c r="P163" i="5"/>
  <c r="P113" i="5"/>
  <c r="P297" i="5"/>
  <c r="O82" i="5"/>
  <c r="O272" i="5"/>
  <c r="O144" i="5"/>
  <c r="O439" i="5"/>
  <c r="N454" i="5"/>
  <c r="P283" i="5"/>
  <c r="P271" i="5"/>
  <c r="P290" i="5"/>
  <c r="N246" i="5"/>
  <c r="N266" i="5"/>
  <c r="N125" i="5"/>
  <c r="O282" i="5"/>
  <c r="P282" i="5"/>
  <c r="N249" i="5"/>
  <c r="N255" i="5"/>
  <c r="P255" i="5"/>
  <c r="P131" i="5"/>
  <c r="N302" i="5"/>
  <c r="O302" i="5"/>
  <c r="N110" i="5"/>
  <c r="P110" i="5"/>
  <c r="N109" i="5"/>
  <c r="O109" i="5"/>
  <c r="N386" i="5"/>
  <c r="O386" i="5"/>
  <c r="N111" i="5"/>
  <c r="P111" i="5"/>
  <c r="O195" i="5"/>
  <c r="P195" i="5"/>
  <c r="P370" i="5"/>
  <c r="O370" i="5"/>
  <c r="O32" i="5"/>
  <c r="N32" i="5"/>
  <c r="N89" i="5"/>
  <c r="N467" i="5" s="1"/>
  <c r="N330" i="5"/>
  <c r="O330" i="5"/>
  <c r="N327" i="5"/>
  <c r="O327" i="5"/>
  <c r="N104" i="5"/>
  <c r="O104" i="5"/>
  <c r="N101" i="5"/>
  <c r="O101" i="5"/>
  <c r="N420" i="5"/>
  <c r="O420" i="5"/>
  <c r="N173" i="5"/>
  <c r="O173" i="5"/>
  <c r="N443" i="5"/>
  <c r="O443" i="5"/>
  <c r="N222" i="5"/>
  <c r="O222" i="5"/>
  <c r="P222" i="5"/>
  <c r="O50" i="5"/>
  <c r="N50" i="5"/>
  <c r="P50" i="5"/>
  <c r="P377" i="5"/>
  <c r="P268" i="5"/>
  <c r="P100" i="5"/>
  <c r="P95" i="5"/>
  <c r="O239" i="5"/>
  <c r="O376" i="5"/>
  <c r="O374" i="5"/>
  <c r="N206" i="5"/>
  <c r="O245" i="5"/>
  <c r="P89" i="5"/>
  <c r="P467" i="5" s="1"/>
  <c r="P330" i="5"/>
  <c r="P327" i="5"/>
  <c r="N154" i="5"/>
  <c r="P154" i="5"/>
  <c r="P104" i="5"/>
  <c r="P101" i="5"/>
  <c r="N388" i="5"/>
  <c r="P388" i="5"/>
  <c r="P420" i="5"/>
  <c r="P173" i="5"/>
  <c r="N261" i="5"/>
  <c r="P261" i="5"/>
  <c r="P443" i="5"/>
  <c r="P227" i="5"/>
  <c r="N227" i="5"/>
  <c r="O227" i="5"/>
  <c r="P305" i="5"/>
  <c r="N305" i="5"/>
  <c r="O305" i="5"/>
  <c r="N309" i="5"/>
  <c r="O309" i="5"/>
  <c r="P69" i="5"/>
  <c r="N69" i="5"/>
  <c r="O230" i="5"/>
  <c r="P230" i="5"/>
  <c r="P61" i="5"/>
  <c r="N61" i="5"/>
  <c r="P57" i="5"/>
  <c r="N57" i="5"/>
  <c r="O57" i="5"/>
  <c r="P33" i="5"/>
  <c r="N33" i="5"/>
  <c r="N2" i="5"/>
  <c r="O2" i="5"/>
  <c r="P2" i="5"/>
  <c r="P416" i="5"/>
  <c r="P161" i="5"/>
  <c r="P153" i="5"/>
  <c r="P143" i="5"/>
  <c r="P387" i="5"/>
  <c r="P168" i="5"/>
  <c r="P174" i="5"/>
  <c r="P424" i="5"/>
  <c r="O423" i="5"/>
  <c r="O194" i="5"/>
  <c r="O193" i="5"/>
  <c r="N442" i="5"/>
  <c r="O440" i="5"/>
  <c r="N440" i="5"/>
  <c r="N230" i="5"/>
  <c r="O61" i="5"/>
  <c r="O58" i="5"/>
  <c r="N58" i="5"/>
  <c r="P37" i="5"/>
  <c r="O37" i="5"/>
  <c r="N36" i="5"/>
  <c r="O33" i="5"/>
  <c r="P29" i="5"/>
  <c r="N29" i="5"/>
  <c r="O29" i="5"/>
  <c r="N26" i="5"/>
  <c r="O26" i="5"/>
  <c r="P21" i="5"/>
  <c r="N21" i="5"/>
  <c r="O21" i="5"/>
  <c r="O56" i="5"/>
  <c r="N56" i="5"/>
  <c r="P53" i="5"/>
  <c r="O53" i="5"/>
  <c r="O16" i="5"/>
  <c r="N16" i="5"/>
  <c r="N10" i="5"/>
  <c r="O10" i="5"/>
  <c r="P5" i="5"/>
  <c r="N5" i="5"/>
  <c r="O5" i="5"/>
  <c r="O48" i="5"/>
  <c r="N48" i="5"/>
  <c r="P45" i="5"/>
  <c r="O45" i="5"/>
  <c r="O24" i="5"/>
  <c r="N24" i="5"/>
  <c r="N18" i="5"/>
  <c r="O18" i="5"/>
  <c r="P13" i="5"/>
  <c r="N13" i="5"/>
  <c r="O13" i="5"/>
  <c r="P137" i="5"/>
  <c r="N137" i="5"/>
  <c r="P211" i="5"/>
  <c r="N211" i="5"/>
  <c r="N397" i="5"/>
  <c r="P397" i="5"/>
  <c r="P187" i="5"/>
  <c r="N400" i="5"/>
  <c r="P213" i="5"/>
  <c r="N450" i="5"/>
  <c r="P435" i="5"/>
  <c r="P149" i="5"/>
  <c r="P300" i="5"/>
  <c r="O137" i="5"/>
  <c r="N432" i="5"/>
  <c r="P432" i="5"/>
  <c r="P116" i="5"/>
  <c r="N116" i="5"/>
  <c r="P354" i="5"/>
  <c r="N354" i="5"/>
  <c r="N78" i="5"/>
  <c r="P78" i="5"/>
  <c r="P186" i="5"/>
  <c r="N186" i="5"/>
  <c r="O211" i="5"/>
  <c r="N146" i="5"/>
  <c r="P146" i="5"/>
  <c r="P356" i="5"/>
  <c r="N356" i="5"/>
  <c r="N77" i="5"/>
  <c r="P77" i="5"/>
  <c r="P437" i="5"/>
  <c r="N437" i="5"/>
  <c r="O397" i="5"/>
  <c r="N342" i="5"/>
  <c r="P342" i="5"/>
  <c r="P352" i="5"/>
  <c r="N352" i="5"/>
  <c r="N380" i="5"/>
  <c r="O380" i="5"/>
  <c r="P380" i="5"/>
  <c r="N162" i="5"/>
  <c r="O162" i="5"/>
  <c r="P162" i="5"/>
  <c r="N112" i="5"/>
  <c r="O112" i="5"/>
  <c r="P112" i="5"/>
  <c r="N295" i="5"/>
  <c r="O295" i="5"/>
  <c r="P295" i="5"/>
  <c r="N427" i="5"/>
  <c r="O427" i="5"/>
  <c r="P427" i="5"/>
  <c r="N291" i="5"/>
  <c r="P291" i="5"/>
  <c r="N258" i="5"/>
  <c r="P258" i="5"/>
  <c r="N243" i="5"/>
  <c r="P243" i="5"/>
  <c r="N132" i="5"/>
  <c r="P132" i="5"/>
  <c r="N98" i="5"/>
  <c r="P98" i="5"/>
  <c r="N252" i="5"/>
  <c r="P252" i="5"/>
  <c r="P207" i="5"/>
  <c r="N207" i="5"/>
  <c r="O207" i="5"/>
  <c r="N403" i="5"/>
  <c r="P403" i="5"/>
  <c r="P428" i="5"/>
  <c r="N428" i="5"/>
  <c r="N147" i="5"/>
  <c r="P147" i="5"/>
  <c r="N363" i="5"/>
  <c r="P363" i="5"/>
  <c r="N343" i="5"/>
  <c r="P343" i="5"/>
  <c r="P210" i="5"/>
  <c r="N210" i="5"/>
  <c r="N296" i="5"/>
  <c r="P296" i="5"/>
  <c r="P215" i="5"/>
  <c r="N215" i="5"/>
  <c r="N406" i="5"/>
  <c r="P406" i="5"/>
  <c r="N288" i="5"/>
  <c r="P288" i="5"/>
  <c r="N286" i="5"/>
  <c r="O286" i="5"/>
  <c r="P286" i="5"/>
  <c r="O236" i="5"/>
  <c r="O149" i="5"/>
  <c r="N300" i="5"/>
  <c r="N83" i="5"/>
  <c r="P83" i="5"/>
  <c r="N362" i="5"/>
  <c r="P362" i="5"/>
  <c r="N392" i="5"/>
  <c r="P392" i="5"/>
  <c r="N156" i="5"/>
  <c r="P156" i="5"/>
  <c r="P347" i="5"/>
  <c r="N347" i="5"/>
  <c r="N410" i="5"/>
  <c r="P410" i="5"/>
  <c r="N279" i="5"/>
  <c r="P279" i="5"/>
  <c r="N270" i="5"/>
  <c r="P270" i="5"/>
  <c r="N248" i="5"/>
  <c r="O248" i="5"/>
  <c r="P248" i="5"/>
  <c r="N177" i="5"/>
  <c r="P177" i="5"/>
  <c r="N398" i="5"/>
  <c r="P398" i="5"/>
  <c r="P353" i="5"/>
  <c r="N353" i="5"/>
  <c r="P205" i="5"/>
  <c r="P236" i="5"/>
  <c r="O205" i="5"/>
  <c r="P85" i="5"/>
  <c r="O187" i="5"/>
  <c r="O213" i="5"/>
  <c r="O435" i="5"/>
  <c r="N275" i="5"/>
  <c r="P275" i="5"/>
  <c r="P447" i="5"/>
  <c r="N447" i="5"/>
  <c r="N344" i="5"/>
  <c r="P344" i="5"/>
  <c r="P136" i="5"/>
  <c r="N136" i="5"/>
  <c r="P114" i="5"/>
  <c r="N114" i="5"/>
  <c r="P233" i="5"/>
  <c r="N233" i="5"/>
  <c r="P159" i="5"/>
  <c r="N350" i="5"/>
  <c r="O345" i="5"/>
  <c r="O355" i="5"/>
  <c r="P364" i="5"/>
  <c r="N394" i="5"/>
  <c r="N368" i="5"/>
  <c r="P368" i="5"/>
  <c r="P417" i="5"/>
  <c r="N417" i="5"/>
  <c r="O275" i="5"/>
  <c r="O447" i="5"/>
  <c r="P357" i="5"/>
  <c r="N357" i="5"/>
  <c r="O344" i="5"/>
  <c r="P382" i="5"/>
  <c r="N382" i="5"/>
  <c r="O83" i="5"/>
  <c r="O136" i="5"/>
  <c r="N449" i="5"/>
  <c r="P449" i="5"/>
  <c r="P402" i="5"/>
  <c r="N402" i="5"/>
  <c r="O362" i="5"/>
  <c r="O114" i="5"/>
  <c r="N361" i="5"/>
  <c r="P361" i="5"/>
  <c r="P202" i="5"/>
  <c r="N202" i="5"/>
  <c r="O392" i="5"/>
  <c r="O233" i="5"/>
  <c r="N199" i="5"/>
  <c r="P199" i="5"/>
  <c r="P182" i="5"/>
  <c r="N182" i="5"/>
  <c r="O156" i="5"/>
  <c r="O347" i="5"/>
  <c r="N359" i="5"/>
  <c r="O359" i="5"/>
  <c r="P359" i="5"/>
  <c r="N134" i="5"/>
  <c r="O134" i="5"/>
  <c r="P134" i="5"/>
  <c r="N196" i="5"/>
  <c r="O196" i="5"/>
  <c r="P196" i="5"/>
  <c r="N331" i="5"/>
  <c r="O331" i="5"/>
  <c r="P331" i="5"/>
  <c r="N421" i="5"/>
  <c r="O421" i="5"/>
  <c r="P421" i="5"/>
  <c r="N408" i="5"/>
  <c r="O408" i="5"/>
  <c r="P408" i="5"/>
  <c r="N241" i="5"/>
  <c r="P241" i="5"/>
  <c r="N208" i="5"/>
  <c r="P208" i="5"/>
  <c r="N267" i="5"/>
  <c r="P267" i="5"/>
  <c r="N127" i="5"/>
  <c r="P127" i="5"/>
  <c r="N303" i="5"/>
  <c r="P303" i="5"/>
  <c r="P91" i="5"/>
  <c r="N91" i="5"/>
  <c r="N90" i="5"/>
  <c r="O90" i="5"/>
  <c r="N142" i="5"/>
  <c r="N82" i="5"/>
  <c r="N365" i="5"/>
  <c r="N272" i="5"/>
  <c r="N431" i="5"/>
  <c r="N144" i="5"/>
  <c r="N336" i="5"/>
  <c r="N439" i="5"/>
  <c r="N139" i="5"/>
  <c r="N284" i="5"/>
  <c r="N456" i="5"/>
  <c r="N260" i="5"/>
  <c r="N378" i="5"/>
  <c r="N250" i="5"/>
  <c r="N453" i="5"/>
  <c r="N265" i="5"/>
  <c r="N178" i="5"/>
  <c r="N126" i="5"/>
  <c r="N96" i="5"/>
  <c r="N411" i="5"/>
  <c r="N404" i="5"/>
  <c r="N281" i="5"/>
  <c r="N277" i="5"/>
  <c r="N409" i="5"/>
  <c r="N239" i="5"/>
  <c r="N256" i="5"/>
  <c r="P93" i="5"/>
  <c r="N122" i="5"/>
  <c r="O122" i="5"/>
  <c r="P90" i="5"/>
  <c r="N301" i="5"/>
  <c r="P301" i="5"/>
  <c r="N329" i="5"/>
  <c r="O329" i="5"/>
  <c r="P329" i="5"/>
  <c r="N151" i="5"/>
  <c r="O151" i="5"/>
  <c r="P151" i="5"/>
  <c r="N103" i="5"/>
  <c r="O103" i="5"/>
  <c r="P103" i="5"/>
  <c r="N385" i="5"/>
  <c r="O385" i="5"/>
  <c r="P385" i="5"/>
  <c r="N170" i="5"/>
  <c r="O170" i="5"/>
  <c r="P170" i="5"/>
  <c r="N124" i="5"/>
  <c r="O124" i="5"/>
  <c r="P87" i="5"/>
  <c r="O255" i="5"/>
  <c r="O253" i="5"/>
  <c r="P376" i="5"/>
  <c r="N373" i="5"/>
  <c r="P206" i="5"/>
  <c r="N245" i="5"/>
  <c r="O242" i="5"/>
  <c r="O237" i="5"/>
  <c r="P452" i="5"/>
  <c r="N131" i="5"/>
  <c r="P430" i="5"/>
  <c r="P124" i="5"/>
  <c r="P119" i="5"/>
  <c r="N87" i="5"/>
  <c r="N86" i="5"/>
  <c r="O86" i="5"/>
  <c r="N128" i="5"/>
  <c r="O128" i="5"/>
  <c r="P128" i="5"/>
  <c r="N160" i="5"/>
  <c r="O160" i="5"/>
  <c r="P160" i="5"/>
  <c r="N107" i="5"/>
  <c r="O107" i="5"/>
  <c r="P107" i="5"/>
  <c r="N389" i="5"/>
  <c r="O389" i="5"/>
  <c r="P389" i="5"/>
  <c r="N306" i="5"/>
  <c r="O306" i="5"/>
  <c r="P306" i="5"/>
  <c r="N223" i="5"/>
  <c r="O223" i="5"/>
  <c r="O70" i="5"/>
  <c r="P70" i="5"/>
  <c r="N304" i="5"/>
  <c r="O304" i="5"/>
  <c r="O68" i="5"/>
  <c r="P68" i="5"/>
  <c r="N63" i="5"/>
  <c r="O63" i="5"/>
  <c r="N51" i="5"/>
  <c r="O51" i="5"/>
  <c r="P51" i="5"/>
  <c r="N43" i="5"/>
  <c r="O43" i="5"/>
  <c r="P43" i="5"/>
  <c r="N35" i="5"/>
  <c r="O35" i="5"/>
  <c r="P35" i="5"/>
  <c r="N27" i="5"/>
  <c r="O27" i="5"/>
  <c r="P27" i="5"/>
  <c r="N19" i="5"/>
  <c r="O19" i="5"/>
  <c r="P19" i="5"/>
  <c r="N11" i="5"/>
  <c r="O11" i="5"/>
  <c r="P11" i="5"/>
  <c r="N3" i="5"/>
  <c r="O3" i="5"/>
  <c r="P3" i="5"/>
  <c r="O118" i="5"/>
  <c r="O110" i="5"/>
  <c r="O328" i="5"/>
  <c r="O154" i="5"/>
  <c r="O150" i="5"/>
  <c r="O105" i="5"/>
  <c r="O102" i="5"/>
  <c r="O388" i="5"/>
  <c r="O292" i="5"/>
  <c r="O111" i="5"/>
  <c r="O422" i="5"/>
  <c r="P262" i="5"/>
  <c r="O261" i="5"/>
  <c r="P172" i="5"/>
  <c r="O424" i="5"/>
  <c r="P75" i="5"/>
  <c r="N195" i="5"/>
  <c r="P106" i="5"/>
  <c r="N191" i="5"/>
  <c r="O190" i="5"/>
  <c r="O189" i="5"/>
  <c r="P225" i="5"/>
  <c r="P223" i="5"/>
  <c r="O71" i="5"/>
  <c r="P71" i="5"/>
  <c r="N70" i="5"/>
  <c r="N226" i="5"/>
  <c r="O226" i="5"/>
  <c r="P304" i="5"/>
  <c r="O308" i="5"/>
  <c r="P308" i="5"/>
  <c r="N68" i="5"/>
  <c r="N67" i="5"/>
  <c r="O67" i="5"/>
  <c r="P63" i="5"/>
  <c r="O262" i="5"/>
  <c r="O172" i="5"/>
  <c r="O75" i="5"/>
  <c r="P194" i="5"/>
  <c r="N106" i="5"/>
  <c r="P442" i="5"/>
  <c r="N189" i="5"/>
  <c r="O225" i="5"/>
  <c r="O220" i="5"/>
  <c r="P220" i="5"/>
  <c r="N71" i="5"/>
  <c r="N231" i="5"/>
  <c r="O231" i="5"/>
  <c r="P226" i="5"/>
  <c r="O307" i="5"/>
  <c r="P307" i="5"/>
  <c r="N308" i="5"/>
  <c r="N167" i="5"/>
  <c r="O167" i="5"/>
  <c r="P67" i="5"/>
  <c r="O60" i="5"/>
  <c r="P60" i="5"/>
  <c r="N55" i="5"/>
  <c r="O55" i="5"/>
  <c r="P55" i="5"/>
  <c r="N47" i="5"/>
  <c r="O47" i="5"/>
  <c r="P47" i="5"/>
  <c r="N39" i="5"/>
  <c r="O39" i="5"/>
  <c r="P39" i="5"/>
  <c r="N31" i="5"/>
  <c r="O31" i="5"/>
  <c r="P31" i="5"/>
  <c r="N23" i="5"/>
  <c r="O23" i="5"/>
  <c r="P23" i="5"/>
  <c r="N15" i="5"/>
  <c r="O15" i="5"/>
  <c r="P15" i="5"/>
  <c r="N7" i="5"/>
  <c r="O7" i="5"/>
  <c r="P7" i="5"/>
  <c r="O401" i="5"/>
  <c r="P401" i="5"/>
  <c r="N229" i="5"/>
  <c r="O229" i="5"/>
  <c r="O311" i="5"/>
  <c r="P311" i="5"/>
  <c r="N312" i="5"/>
  <c r="O312" i="5"/>
  <c r="O64" i="5"/>
  <c r="P64" i="5"/>
  <c r="N59" i="5"/>
  <c r="O59" i="5"/>
  <c r="P56" i="5"/>
  <c r="P52" i="5"/>
  <c r="P48" i="5"/>
  <c r="P44" i="5"/>
  <c r="P40" i="5"/>
  <c r="P36" i="5"/>
  <c r="P32" i="5"/>
  <c r="P28" i="5"/>
  <c r="P24" i="5"/>
  <c r="P20" i="5"/>
  <c r="P16" i="5"/>
  <c r="P12" i="5"/>
  <c r="P8" i="5"/>
  <c r="P4" i="5"/>
  <c r="P463" i="5" l="1"/>
  <c r="I398" i="17"/>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B487" i="16" l="1"/>
  <c r="B404" i="16"/>
  <c r="B293" i="16"/>
  <c r="B358" i="16" s="1"/>
  <c r="B238" i="16"/>
  <c r="B170" i="16"/>
  <c r="B92" i="16"/>
  <c r="AF417" i="16" l="1"/>
  <c r="AE417" i="16" s="1"/>
  <c r="T416" i="16"/>
  <c r="S416" i="16" s="1"/>
  <c r="W417" i="16"/>
  <c r="V417" i="16" s="1"/>
  <c r="AI411" i="16"/>
  <c r="AL412" i="16"/>
  <c r="AK412" i="16" s="1"/>
  <c r="N412" i="16"/>
  <c r="M412" i="16" s="1"/>
  <c r="AC417" i="16"/>
  <c r="AB417" i="16" s="1"/>
  <c r="T417" i="16"/>
  <c r="S417" i="16" s="1"/>
  <c r="AC411" i="16"/>
  <c r="Q417" i="16"/>
  <c r="P417" i="16" s="1"/>
  <c r="W411" i="16"/>
  <c r="AI417" i="16"/>
  <c r="AH417" i="16" s="1"/>
  <c r="H412" i="16"/>
  <c r="AF412" i="16"/>
  <c r="AE412" i="16" s="1"/>
  <c r="AI416" i="16"/>
  <c r="AH416" i="16" s="1"/>
  <c r="AO411" i="16"/>
  <c r="K417" i="16"/>
  <c r="J417" i="16" s="1"/>
  <c r="Z412" i="16"/>
  <c r="Y412" i="16" s="1"/>
  <c r="Q411" i="16"/>
  <c r="H417" i="16"/>
  <c r="T412" i="16"/>
  <c r="S412" i="16" s="1"/>
  <c r="K411" i="16"/>
  <c r="AF416" i="16"/>
  <c r="AE416" i="16" s="1"/>
  <c r="Z416" i="16"/>
  <c r="Y416" i="16" s="1"/>
  <c r="Q415" i="16"/>
  <c r="P415" i="16" s="1"/>
  <c r="AO412" i="16"/>
  <c r="AN412" i="16" s="1"/>
  <c r="T418" i="16"/>
  <c r="AL414" i="16"/>
  <c r="AK414" i="16" s="1"/>
  <c r="Q414" i="16"/>
  <c r="P414" i="16" s="1"/>
  <c r="AI413" i="16"/>
  <c r="AH413" i="16" s="1"/>
  <c r="H411" i="16"/>
  <c r="W452" i="16"/>
  <c r="AO417" i="16"/>
  <c r="AN417" i="16" s="1"/>
  <c r="Z452" i="16"/>
  <c r="AC451" i="16"/>
  <c r="H434" i="16"/>
  <c r="AF420" i="16"/>
  <c r="K451" i="16"/>
  <c r="AL452" i="16"/>
  <c r="Q420" i="16"/>
  <c r="AO452" i="16"/>
  <c r="K412" i="16"/>
  <c r="J412" i="16" s="1"/>
  <c r="Z420" i="16"/>
  <c r="AO415" i="16"/>
  <c r="AN415" i="16" s="1"/>
  <c r="H414" i="16"/>
  <c r="Z413" i="16"/>
  <c r="Y413" i="16" s="1"/>
  <c r="W415" i="16"/>
  <c r="V415" i="16" s="1"/>
  <c r="AO414" i="16"/>
  <c r="AN414" i="16" s="1"/>
  <c r="T414" i="16"/>
  <c r="S414" i="16" s="1"/>
  <c r="W412" i="16"/>
  <c r="V412" i="16" s="1"/>
  <c r="H415" i="16"/>
  <c r="K415" i="16"/>
  <c r="J415" i="16" s="1"/>
  <c r="T413" i="16"/>
  <c r="S413" i="16" s="1"/>
  <c r="W418" i="16"/>
  <c r="Z418" i="16"/>
  <c r="AC434" i="16"/>
  <c r="H420" i="16"/>
  <c r="AF452" i="16"/>
  <c r="AI434" i="16"/>
  <c r="N452" i="16"/>
  <c r="AL418" i="16"/>
  <c r="Q452" i="16"/>
  <c r="Q418" i="16"/>
  <c r="N414" i="16"/>
  <c r="M414" i="16" s="1"/>
  <c r="AF434" i="16"/>
  <c r="N417" i="16"/>
  <c r="M417" i="16" s="1"/>
  <c r="T453" i="16"/>
  <c r="Z415" i="16"/>
  <c r="Y415" i="16" s="1"/>
  <c r="Z411" i="16"/>
  <c r="AF415" i="16"/>
  <c r="AE415" i="16" s="1"/>
  <c r="Z453" i="16"/>
  <c r="AC420" i="16"/>
  <c r="H452" i="16"/>
  <c r="AF418" i="16"/>
  <c r="K434" i="16"/>
  <c r="AI420" i="16"/>
  <c r="N418" i="16"/>
  <c r="AL453" i="16"/>
  <c r="AO418" i="16"/>
  <c r="AI452" i="16"/>
  <c r="AL419" i="16"/>
  <c r="W414" i="16"/>
  <c r="V414" i="16" s="1"/>
  <c r="AI451" i="16"/>
  <c r="T411" i="16"/>
  <c r="AL417" i="16"/>
  <c r="AK417" i="16" s="1"/>
  <c r="AF411" i="16"/>
  <c r="K414" i="16"/>
  <c r="J414" i="16" s="1"/>
  <c r="T419" i="16"/>
  <c r="H416" i="16"/>
  <c r="AC415" i="16"/>
  <c r="AB415" i="16" s="1"/>
  <c r="AI412" i="16"/>
  <c r="AH412" i="16" s="1"/>
  <c r="Q416" i="16"/>
  <c r="P416" i="16" s="1"/>
  <c r="Q413" i="16"/>
  <c r="P413" i="16" s="1"/>
  <c r="AI415" i="16"/>
  <c r="AH415" i="16" s="1"/>
  <c r="AC414" i="16"/>
  <c r="AB414" i="16" s="1"/>
  <c r="W453" i="16"/>
  <c r="AC452" i="16"/>
  <c r="H418" i="16"/>
  <c r="AF453" i="16"/>
  <c r="K420" i="16"/>
  <c r="N453" i="16"/>
  <c r="AO453" i="16"/>
  <c r="AF413" i="16"/>
  <c r="AE413" i="16" s="1"/>
  <c r="W416" i="16"/>
  <c r="V416" i="16" s="1"/>
  <c r="Q434" i="16"/>
  <c r="W413" i="16"/>
  <c r="V413" i="16" s="1"/>
  <c r="AF414" i="16"/>
  <c r="AE414" i="16" s="1"/>
  <c r="AI414" i="16"/>
  <c r="AH414" i="16" s="1"/>
  <c r="T451" i="16"/>
  <c r="K416" i="16"/>
  <c r="J416" i="16" s="1"/>
  <c r="N416" i="16"/>
  <c r="M416" i="16" s="1"/>
  <c r="AO416" i="16"/>
  <c r="AN416" i="16" s="1"/>
  <c r="W419" i="16"/>
  <c r="Z419" i="16"/>
  <c r="AC418" i="16"/>
  <c r="H453" i="16"/>
  <c r="AF419" i="16"/>
  <c r="K452" i="16"/>
  <c r="AI418" i="16"/>
  <c r="N419" i="16"/>
  <c r="AL451" i="16"/>
  <c r="Q453" i="16"/>
  <c r="AO419" i="16"/>
  <c r="K413" i="16"/>
  <c r="J413" i="16" s="1"/>
  <c r="W420" i="16"/>
  <c r="AO420" i="16"/>
  <c r="Q412" i="16"/>
  <c r="P412" i="16" s="1"/>
  <c r="T434" i="16"/>
  <c r="AC413" i="16"/>
  <c r="AB413" i="16" s="1"/>
  <c r="N411" i="16"/>
  <c r="AL416" i="16"/>
  <c r="AK416" i="16" s="1"/>
  <c r="AL411" i="16"/>
  <c r="N413" i="16"/>
  <c r="M413" i="16" s="1"/>
  <c r="AO413" i="16"/>
  <c r="AN413" i="16" s="1"/>
  <c r="N415" i="16"/>
  <c r="M415" i="16" s="1"/>
  <c r="W451" i="16"/>
  <c r="W454" i="16" s="1"/>
  <c r="U454" i="16" s="1"/>
  <c r="Z451" i="16"/>
  <c r="Z454" i="16" s="1"/>
  <c r="X454" i="16" s="1"/>
  <c r="AC453" i="16"/>
  <c r="H419" i="16"/>
  <c r="AF451" i="16"/>
  <c r="AF454" i="16" s="1"/>
  <c r="AD454" i="16" s="1"/>
  <c r="K418" i="16"/>
  <c r="AI453" i="16"/>
  <c r="N451" i="16"/>
  <c r="AL420" i="16"/>
  <c r="Q419" i="16"/>
  <c r="AO451" i="16"/>
  <c r="T452" i="16"/>
  <c r="K419" i="16"/>
  <c r="AC412" i="16"/>
  <c r="AB412" i="16" s="1"/>
  <c r="T415" i="16"/>
  <c r="S415" i="16" s="1"/>
  <c r="T420" i="16"/>
  <c r="H413" i="16"/>
  <c r="Z417" i="16"/>
  <c r="Y417" i="16" s="1"/>
  <c r="AL413" i="16"/>
  <c r="AK413" i="16" s="1"/>
  <c r="AL415" i="16"/>
  <c r="AK415" i="16" s="1"/>
  <c r="W434" i="16"/>
  <c r="Z434" i="16"/>
  <c r="AC419" i="16"/>
  <c r="H451" i="16"/>
  <c r="K453" i="16"/>
  <c r="AI419" i="16"/>
  <c r="N420" i="16"/>
  <c r="AL434" i="16"/>
  <c r="Q451" i="16"/>
  <c r="AO434" i="16"/>
  <c r="AC416" i="16"/>
  <c r="AB416" i="16" s="1"/>
  <c r="Z414" i="16"/>
  <c r="Y414" i="16" s="1"/>
  <c r="N434" i="16"/>
  <c r="K454" i="16" l="1"/>
  <c r="I454" i="16" s="1"/>
  <c r="Q454" i="16"/>
  <c r="O454" i="16" s="1"/>
  <c r="AL454" i="16"/>
  <c r="AJ454" i="16" s="1"/>
  <c r="AN411" i="16"/>
  <c r="AO421" i="16"/>
  <c r="AN433" i="16"/>
  <c r="AN431" i="16"/>
  <c r="AN432" i="16"/>
  <c r="AN430" i="16"/>
  <c r="H454" i="16"/>
  <c r="F454" i="16" s="1"/>
  <c r="E451" i="16"/>
  <c r="N454" i="16"/>
  <c r="L454" i="16" s="1"/>
  <c r="H421" i="16"/>
  <c r="G411" i="16"/>
  <c r="E411" i="16"/>
  <c r="G432" i="16"/>
  <c r="G431" i="16"/>
  <c r="G433" i="16"/>
  <c r="G430" i="16"/>
  <c r="AF421" i="16"/>
  <c r="AE411" i="16"/>
  <c r="AE430" i="16"/>
  <c r="AE432" i="16"/>
  <c r="AE433" i="16"/>
  <c r="AE431" i="16"/>
  <c r="J411" i="16"/>
  <c r="K421" i="16"/>
  <c r="J432" i="16"/>
  <c r="J431" i="16"/>
  <c r="J430" i="16"/>
  <c r="J433" i="16"/>
  <c r="Y411" i="16"/>
  <c r="Z421" i="16"/>
  <c r="Y431" i="16"/>
  <c r="Y432" i="16"/>
  <c r="Y430" i="16"/>
  <c r="Y433" i="16"/>
  <c r="G414" i="16"/>
  <c r="E414" i="16"/>
  <c r="D414" i="16" s="1"/>
  <c r="G412" i="16"/>
  <c r="E412" i="16"/>
  <c r="AK432" i="16"/>
  <c r="AK411" i="16"/>
  <c r="AL421" i="16"/>
  <c r="AK430" i="16"/>
  <c r="AK431" i="16"/>
  <c r="AK433" i="16"/>
  <c r="E453" i="16"/>
  <c r="T421" i="16"/>
  <c r="S411" i="16"/>
  <c r="S433" i="16"/>
  <c r="S430" i="16"/>
  <c r="S431" i="16"/>
  <c r="S432" i="16"/>
  <c r="E434" i="16"/>
  <c r="G417" i="16"/>
  <c r="E417" i="16"/>
  <c r="D417" i="16" s="1"/>
  <c r="AH411" i="16"/>
  <c r="AI421" i="16"/>
  <c r="AH431" i="16"/>
  <c r="AH430" i="16"/>
  <c r="AH433" i="16"/>
  <c r="AH432" i="16"/>
  <c r="E419" i="16"/>
  <c r="AI454" i="16"/>
  <c r="AG454" i="16" s="1"/>
  <c r="T454" i="16"/>
  <c r="R454" i="16" s="1"/>
  <c r="G415" i="16"/>
  <c r="E415" i="16"/>
  <c r="D415" i="16" s="1"/>
  <c r="AC454" i="16"/>
  <c r="AA454" i="16" s="1"/>
  <c r="P411" i="16"/>
  <c r="Q421" i="16"/>
  <c r="P431" i="16"/>
  <c r="P433" i="16"/>
  <c r="P430" i="16"/>
  <c r="P432" i="16"/>
  <c r="V411" i="16"/>
  <c r="W421" i="16"/>
  <c r="V433" i="16"/>
  <c r="V432" i="16"/>
  <c r="V431" i="16"/>
  <c r="V430" i="16"/>
  <c r="M432" i="16"/>
  <c r="M433" i="16"/>
  <c r="M430" i="16"/>
  <c r="N421" i="16"/>
  <c r="M411" i="16"/>
  <c r="M431" i="16"/>
  <c r="E418" i="16"/>
  <c r="E413" i="16"/>
  <c r="D413" i="16" s="1"/>
  <c r="G413" i="16"/>
  <c r="G416" i="16"/>
  <c r="E416" i="16"/>
  <c r="D416" i="16" s="1"/>
  <c r="E452" i="16"/>
  <c r="E420" i="16"/>
  <c r="AO454" i="16"/>
  <c r="AM454" i="16" s="1"/>
  <c r="AC421" i="16"/>
  <c r="AB411" i="16"/>
  <c r="AB432" i="16"/>
  <c r="AB430" i="16"/>
  <c r="AB431" i="16"/>
  <c r="AB433" i="16"/>
  <c r="E454" i="16" l="1"/>
  <c r="C454" i="16" s="1"/>
  <c r="K470" i="16"/>
  <c r="I421" i="16"/>
  <c r="T470" i="16"/>
  <c r="R421" i="16"/>
  <c r="C412" i="16"/>
  <c r="D412" i="16"/>
  <c r="Z470" i="16"/>
  <c r="X421" i="16"/>
  <c r="N470" i="16"/>
  <c r="L421" i="16"/>
  <c r="W470" i="16"/>
  <c r="U421" i="16"/>
  <c r="AG421" i="16"/>
  <c r="AI470" i="16"/>
  <c r="AC470" i="16"/>
  <c r="AA421" i="16"/>
  <c r="Q470" i="16"/>
  <c r="O421" i="16"/>
  <c r="E421" i="16"/>
  <c r="D411" i="16"/>
  <c r="C411" i="16"/>
  <c r="D431" i="16"/>
  <c r="D433" i="16"/>
  <c r="D430" i="16"/>
  <c r="D432" i="16"/>
  <c r="H470" i="16"/>
  <c r="F421" i="16"/>
  <c r="AO470" i="16"/>
  <c r="AM421" i="16"/>
  <c r="AL470" i="16"/>
  <c r="AJ421" i="16"/>
  <c r="AD421" i="16"/>
  <c r="AF470" i="16"/>
  <c r="A226" i="17"/>
  <c r="B68" i="17"/>
  <c r="B82" i="17"/>
  <c r="D421" i="16" l="1"/>
  <c r="AA470" i="16"/>
  <c r="AC485" i="16"/>
  <c r="Z485" i="16"/>
  <c r="X470" i="16"/>
  <c r="AJ470" i="16"/>
  <c r="AL485" i="16"/>
  <c r="AG470" i="16"/>
  <c r="AI485" i="16"/>
  <c r="AM470" i="16"/>
  <c r="AO485" i="16"/>
  <c r="F470" i="16"/>
  <c r="H485" i="16"/>
  <c r="E470" i="16"/>
  <c r="C421" i="16"/>
  <c r="U470" i="16"/>
  <c r="W485" i="16"/>
  <c r="T485" i="16"/>
  <c r="R470" i="16"/>
  <c r="AD470" i="16"/>
  <c r="AF485" i="16"/>
  <c r="O470" i="16"/>
  <c r="Q485" i="16"/>
  <c r="L470" i="16"/>
  <c r="N485" i="16"/>
  <c r="K485" i="16"/>
  <c r="I470" i="16"/>
  <c r="A336" i="17"/>
  <c r="A272" i="17"/>
  <c r="A216" i="17"/>
  <c r="M485" i="16" l="1"/>
  <c r="N491" i="16"/>
  <c r="V485" i="16"/>
  <c r="W491" i="16"/>
  <c r="AI491" i="16"/>
  <c r="AH485" i="16"/>
  <c r="P485" i="16"/>
  <c r="Q491" i="16"/>
  <c r="AK485" i="16"/>
  <c r="AL491" i="16"/>
  <c r="C470" i="16"/>
  <c r="E485" i="16"/>
  <c r="AF491" i="16"/>
  <c r="AE485" i="16"/>
  <c r="H491" i="16"/>
  <c r="G485" i="16"/>
  <c r="Z491" i="16"/>
  <c r="Y485" i="16"/>
  <c r="AO491" i="16"/>
  <c r="AN485" i="16"/>
  <c r="AC491" i="16"/>
  <c r="AB485" i="16"/>
  <c r="K491" i="16"/>
  <c r="J485" i="16"/>
  <c r="T491" i="16"/>
  <c r="S485" i="16"/>
  <c r="B1" i="19"/>
  <c r="J491" i="16" l="1"/>
  <c r="K500" i="16"/>
  <c r="J500" i="16" s="1"/>
  <c r="Q500" i="16"/>
  <c r="P500" i="16" s="1"/>
  <c r="P491" i="16"/>
  <c r="G491" i="16"/>
  <c r="H500" i="16"/>
  <c r="AH491" i="16"/>
  <c r="AI500" i="16"/>
  <c r="AH500" i="16" s="1"/>
  <c r="E491" i="16"/>
  <c r="D485" i="16"/>
  <c r="V491" i="16"/>
  <c r="W500" i="16"/>
  <c r="V500" i="16" s="1"/>
  <c r="AC500" i="16"/>
  <c r="AB500" i="16" s="1"/>
  <c r="AB491" i="16"/>
  <c r="AE491" i="16"/>
  <c r="AF500" i="16"/>
  <c r="AE500" i="16" s="1"/>
  <c r="AO500" i="16"/>
  <c r="AN500" i="16" s="1"/>
  <c r="AN491" i="16"/>
  <c r="AK491" i="16"/>
  <c r="AL500" i="16"/>
  <c r="AK500" i="16" s="1"/>
  <c r="N500" i="16"/>
  <c r="M500" i="16" s="1"/>
  <c r="M491" i="16"/>
  <c r="T500" i="16"/>
  <c r="S500" i="16" s="1"/>
  <c r="S491" i="16"/>
  <c r="Z500" i="16"/>
  <c r="Y500" i="16" s="1"/>
  <c r="Y491" i="16"/>
  <c r="A474" i="17"/>
  <c r="A475" i="17"/>
  <c r="A476" i="17"/>
  <c r="A477" i="17"/>
  <c r="A478" i="17"/>
  <c r="A479" i="17"/>
  <c r="A480" i="17"/>
  <c r="A481" i="17"/>
  <c r="A482" i="17"/>
  <c r="A483" i="17"/>
  <c r="A485" i="17"/>
  <c r="A486" i="17"/>
  <c r="A487" i="17"/>
  <c r="A488" i="17"/>
  <c r="A489" i="17"/>
  <c r="A490" i="17"/>
  <c r="A491" i="17"/>
  <c r="A492" i="17"/>
  <c r="A493" i="17"/>
  <c r="A494" i="17"/>
  <c r="A495" i="17"/>
  <c r="A496" i="17"/>
  <c r="A497"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347" i="17"/>
  <c r="A345" i="17"/>
  <c r="A346" i="17"/>
  <c r="A343" i="17"/>
  <c r="A344" i="17"/>
  <c r="A321" i="17"/>
  <c r="A322" i="17"/>
  <c r="A323" i="17"/>
  <c r="A299" i="17"/>
  <c r="A300" i="17"/>
  <c r="A282" i="17"/>
  <c r="G500" i="16" l="1"/>
  <c r="H502" i="16"/>
  <c r="K502" i="16" s="1"/>
  <c r="N502" i="16" s="1"/>
  <c r="Q502" i="16" s="1"/>
  <c r="T502" i="16" s="1"/>
  <c r="W502" i="16" s="1"/>
  <c r="Z502" i="16" s="1"/>
  <c r="AC502" i="16" s="1"/>
  <c r="AF502" i="16" s="1"/>
  <c r="AI502" i="16" s="1"/>
  <c r="AL502" i="16" s="1"/>
  <c r="AO502" i="16" s="1"/>
  <c r="E500" i="16"/>
  <c r="D500" i="16" s="1"/>
  <c r="D491" i="16"/>
  <c r="A158" i="17"/>
  <c r="A159" i="17"/>
  <c r="A160" i="17"/>
  <c r="A161" i="17"/>
  <c r="A149" i="17"/>
  <c r="A150" i="17"/>
  <c r="A151" i="17"/>
  <c r="A148" i="17"/>
  <c r="A126" i="17"/>
  <c r="A127" i="17"/>
  <c r="A128" i="17"/>
  <c r="A117" i="17"/>
  <c r="A118" i="17"/>
  <c r="A119" i="17"/>
  <c r="A120" i="17"/>
  <c r="B79" i="17" l="1"/>
  <c r="B80" i="17"/>
  <c r="B81" i="17"/>
  <c r="B71" i="17"/>
  <c r="B69" i="17"/>
  <c r="A69" i="17" s="1"/>
  <c r="F69" i="3"/>
  <c r="A68" i="17"/>
  <c r="F68" i="3"/>
  <c r="B67" i="17"/>
  <c r="A67" i="17" s="1"/>
  <c r="B46" i="17"/>
  <c r="A46" i="17" s="1"/>
  <c r="B47" i="17"/>
  <c r="A47" i="17" s="1"/>
  <c r="B48" i="17"/>
  <c r="A48" i="17" s="1"/>
  <c r="F46" i="3"/>
  <c r="F47" i="3"/>
  <c r="F48" i="3"/>
  <c r="B37" i="17"/>
  <c r="A37" i="17" s="1"/>
  <c r="B38" i="17"/>
  <c r="A38" i="17" s="1"/>
  <c r="B39" i="17"/>
  <c r="A39" i="17" s="1"/>
  <c r="F37" i="3"/>
  <c r="F38" i="3"/>
  <c r="F39" i="3"/>
  <c r="B7" i="17"/>
  <c r="A7" i="17" s="1"/>
  <c r="B8" i="17"/>
  <c r="A8" i="17" s="1"/>
  <c r="B9" i="17"/>
  <c r="A9" i="17" s="1"/>
  <c r="B10" i="17"/>
  <c r="A10" i="17" s="1"/>
  <c r="B11" i="17"/>
  <c r="A11" i="17" s="1"/>
  <c r="F10" i="3"/>
  <c r="F11" i="3"/>
  <c r="F7" i="3" l="1"/>
  <c r="G7" i="3"/>
  <c r="D7" i="3"/>
  <c r="F9" i="3"/>
  <c r="G9" i="3"/>
  <c r="H9" i="3" s="1"/>
  <c r="D9" i="3"/>
  <c r="E9" i="3" s="1"/>
  <c r="F8" i="3"/>
  <c r="G8" i="3"/>
  <c r="H8" i="3" s="1"/>
  <c r="D8" i="3"/>
  <c r="E8" i="3" s="1"/>
  <c r="F67" i="3"/>
  <c r="A79" i="17"/>
  <c r="F81" i="3"/>
  <c r="F80" i="3"/>
  <c r="F79" i="3"/>
  <c r="A81" i="17"/>
  <c r="A80" i="17"/>
  <c r="E7" i="3" l="1"/>
  <c r="H97" i="17"/>
  <c r="A101" i="16"/>
  <c r="B72" i="17" l="1"/>
  <c r="B73" i="17"/>
  <c r="B74" i="17"/>
  <c r="B75" i="17"/>
  <c r="B76" i="17"/>
  <c r="B77" i="17"/>
  <c r="B78" i="17"/>
  <c r="B83" i="17"/>
  <c r="A498" i="17" l="1"/>
  <c r="AO481" i="17"/>
  <c r="AN481" i="17"/>
  <c r="AO466" i="17"/>
  <c r="AN466" i="17"/>
  <c r="AH466"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9" i="16"/>
  <c r="A498" i="16"/>
  <c r="A497" i="16"/>
  <c r="A496" i="16"/>
  <c r="A495" i="16"/>
  <c r="A494" i="16"/>
  <c r="A493"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55" i="16"/>
  <c r="A354" i="16"/>
  <c r="A353" i="16"/>
  <c r="A352" i="16"/>
  <c r="A351" i="16"/>
  <c r="A350" i="16"/>
  <c r="A349" i="16"/>
  <c r="A348" i="16"/>
  <c r="A347" i="16"/>
  <c r="A346" i="16"/>
  <c r="A345" i="16"/>
  <c r="A344" i="16"/>
  <c r="A343" i="16"/>
  <c r="A342" i="16"/>
  <c r="A341" i="16"/>
  <c r="A340"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1" i="16"/>
  <c r="A290" i="16"/>
  <c r="A289" i="16"/>
  <c r="A288" i="16"/>
  <c r="A287" i="16"/>
  <c r="A286" i="16"/>
  <c r="A285" i="16"/>
  <c r="A284" i="16"/>
  <c r="A283" i="16"/>
  <c r="A282" i="16"/>
  <c r="A281" i="16"/>
  <c r="A280" i="16"/>
  <c r="A279" i="16"/>
  <c r="A278" i="16"/>
  <c r="A277" i="16"/>
  <c r="A276"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35" i="16"/>
  <c r="A234" i="16"/>
  <c r="A233" i="16"/>
  <c r="A232" i="16"/>
  <c r="A231" i="16"/>
  <c r="A230" i="16"/>
  <c r="A229" i="16"/>
  <c r="A228" i="16"/>
  <c r="A227" i="16"/>
  <c r="A226" i="16"/>
  <c r="A225" i="16"/>
  <c r="A224" i="16"/>
  <c r="A223" i="16"/>
  <c r="A222" i="16"/>
  <c r="A221" i="16"/>
  <c r="A220"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Q191" i="3"/>
  <c r="P181" i="3"/>
  <c r="I79" i="3" l="1"/>
  <c r="I68" i="3"/>
  <c r="I47" i="3"/>
  <c r="I38" i="3"/>
  <c r="I10" i="3"/>
  <c r="I46" i="3"/>
  <c r="I67" i="3"/>
  <c r="I37" i="3"/>
  <c r="I9" i="3"/>
  <c r="I81" i="3"/>
  <c r="I8" i="3"/>
  <c r="I80" i="3"/>
  <c r="I69" i="3"/>
  <c r="N69" i="3" s="1"/>
  <c r="I48" i="3"/>
  <c r="I39" i="3"/>
  <c r="I11" i="3"/>
  <c r="I7" i="3"/>
  <c r="H7" i="3" s="1"/>
  <c r="Z439" i="17"/>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AC490" i="3"/>
  <c r="AC491" i="3"/>
  <c r="AC456" i="3"/>
  <c r="AC457" i="3"/>
  <c r="AC458" i="3"/>
  <c r="AC455" i="3"/>
  <c r="AC454" i="3"/>
  <c r="AC459" i="3"/>
  <c r="AC460" i="3"/>
  <c r="AC452" i="3"/>
  <c r="AC453" i="3"/>
  <c r="H300" i="3" l="1"/>
  <c r="AI493" i="3"/>
  <c r="AC468" i="3"/>
  <c r="I393" i="3" l="1"/>
  <c r="I392" i="3"/>
  <c r="I391" i="3"/>
  <c r="I390" i="3"/>
  <c r="I389" i="3"/>
  <c r="I388" i="3"/>
  <c r="I387" i="3"/>
  <c r="I386" i="3"/>
  <c r="I385" i="3"/>
  <c r="I384" i="3"/>
  <c r="I383" i="3"/>
  <c r="I382" i="3"/>
  <c r="I381" i="3"/>
  <c r="I380" i="3"/>
  <c r="I379" i="3"/>
  <c r="I378" i="3"/>
  <c r="I377" i="3"/>
  <c r="I375" i="3"/>
  <c r="I374" i="3"/>
  <c r="I373" i="3"/>
  <c r="I372" i="3"/>
  <c r="I371" i="3"/>
  <c r="I370" i="3"/>
  <c r="I369" i="3"/>
  <c r="I368" i="3"/>
  <c r="I367" i="3"/>
  <c r="I366" i="3"/>
  <c r="I365" i="3"/>
  <c r="I364" i="3"/>
  <c r="I317" i="3"/>
  <c r="I318" i="3"/>
  <c r="I319" i="3"/>
  <c r="D59" i="19" s="1"/>
  <c r="I320" i="3"/>
  <c r="I324" i="3"/>
  <c r="I325" i="3"/>
  <c r="I326" i="3"/>
  <c r="I327" i="3"/>
  <c r="I328" i="3"/>
  <c r="I330" i="3"/>
  <c r="I331" i="3"/>
  <c r="I332" i="3"/>
  <c r="I333" i="3"/>
  <c r="I334" i="3"/>
  <c r="I335" i="3"/>
  <c r="I337" i="3"/>
  <c r="I338" i="3"/>
  <c r="I339" i="3"/>
  <c r="I340" i="3"/>
  <c r="I341" i="3"/>
  <c r="I342" i="3"/>
  <c r="I253" i="3"/>
  <c r="I254" i="3"/>
  <c r="I255" i="3"/>
  <c r="I256" i="3"/>
  <c r="I257" i="3"/>
  <c r="I258" i="3"/>
  <c r="I259" i="3"/>
  <c r="I260" i="3"/>
  <c r="I261" i="3"/>
  <c r="I262" i="3"/>
  <c r="I263" i="3"/>
  <c r="I264" i="3"/>
  <c r="I266" i="3"/>
  <c r="I267" i="3"/>
  <c r="I268" i="3"/>
  <c r="I269" i="3"/>
  <c r="I270" i="3"/>
  <c r="I271" i="3"/>
  <c r="I273" i="3"/>
  <c r="I274" i="3"/>
  <c r="I275" i="3"/>
  <c r="I276" i="3"/>
  <c r="I277" i="3"/>
  <c r="I278" i="3"/>
  <c r="I279" i="3"/>
  <c r="I280" i="3"/>
  <c r="I281" i="3"/>
  <c r="I283" i="3"/>
  <c r="I183" i="3"/>
  <c r="D42" i="19" s="1"/>
  <c r="I197" i="3"/>
  <c r="I198" i="3"/>
  <c r="I199" i="3"/>
  <c r="I200" i="3"/>
  <c r="I201" i="3"/>
  <c r="I202" i="3"/>
  <c r="I205" i="3"/>
  <c r="I206" i="3"/>
  <c r="I207" i="3"/>
  <c r="I208" i="3"/>
  <c r="I210" i="3"/>
  <c r="I211" i="3"/>
  <c r="I212" i="3"/>
  <c r="D47" i="19" s="1"/>
  <c r="I213" i="3"/>
  <c r="I214" i="3"/>
  <c r="I215" i="3"/>
  <c r="I217" i="3"/>
  <c r="I218" i="3"/>
  <c r="I219" i="3"/>
  <c r="I221" i="3"/>
  <c r="I222" i="3"/>
  <c r="I223" i="3"/>
  <c r="I224" i="3"/>
  <c r="I225" i="3"/>
  <c r="I227" i="3"/>
  <c r="I157" i="3"/>
  <c r="I156" i="3"/>
  <c r="I155" i="3"/>
  <c r="I147" i="3"/>
  <c r="I146" i="3"/>
  <c r="I145" i="3"/>
  <c r="I144" i="3"/>
  <c r="I143" i="3"/>
  <c r="I142" i="3"/>
  <c r="I141" i="3"/>
  <c r="I140" i="3"/>
  <c r="I139" i="3"/>
  <c r="I138" i="3"/>
  <c r="I137" i="3"/>
  <c r="I136" i="3"/>
  <c r="I135" i="3"/>
  <c r="I133" i="3"/>
  <c r="I132" i="3"/>
  <c r="I131" i="3"/>
  <c r="I130" i="3"/>
  <c r="I125" i="3"/>
  <c r="I124" i="3"/>
  <c r="I123" i="3"/>
  <c r="I122" i="3"/>
  <c r="I120" i="3"/>
  <c r="I116" i="3"/>
  <c r="I115" i="3"/>
  <c r="I114" i="3"/>
  <c r="I113" i="3"/>
  <c r="I112" i="3"/>
  <c r="I111" i="3"/>
  <c r="I93" i="3"/>
  <c r="C3" i="1"/>
  <c r="N4" i="1" s="1"/>
  <c r="I3" i="23" s="1"/>
  <c r="M4" i="1"/>
  <c r="M5" i="1"/>
  <c r="M6" i="1"/>
  <c r="M7" i="1"/>
  <c r="M8" i="1"/>
  <c r="M9" i="1"/>
  <c r="M10" i="1"/>
  <c r="M11" i="1"/>
  <c r="M12" i="1"/>
  <c r="M13" i="1"/>
  <c r="M14" i="1"/>
  <c r="M3" i="1"/>
  <c r="F75" i="3" l="1"/>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I152" i="3" s="1"/>
  <c r="F151" i="3"/>
  <c r="F129" i="3"/>
  <c r="I129" i="3"/>
  <c r="I376" i="3"/>
  <c r="G295" i="3"/>
  <c r="F5" i="27" s="1"/>
  <c r="I295" i="3"/>
  <c r="H5" i="27" s="1"/>
  <c r="I240" i="3"/>
  <c r="H240" i="3"/>
  <c r="G240" i="3"/>
  <c r="G311" i="3"/>
  <c r="I311" i="3"/>
  <c r="G294" i="3"/>
  <c r="F4" i="27" s="1"/>
  <c r="I294" i="3"/>
  <c r="H4" i="27" s="1"/>
  <c r="I95" i="3"/>
  <c r="G95" i="3"/>
  <c r="I302" i="3"/>
  <c r="G302" i="3"/>
  <c r="H302" i="3" s="1"/>
  <c r="H190" i="3"/>
  <c r="I190" i="3"/>
  <c r="I191" i="3" s="1"/>
  <c r="H174" i="3"/>
  <c r="G174" i="3"/>
  <c r="I174" i="3"/>
  <c r="I329" i="3"/>
  <c r="I301" i="3"/>
  <c r="H10" i="27" s="1"/>
  <c r="G301" i="3"/>
  <c r="H301" i="3" s="1"/>
  <c r="I359" i="3"/>
  <c r="G359" i="3"/>
  <c r="G361" i="3" s="1"/>
  <c r="H361" i="3" s="1"/>
  <c r="I121" i="3"/>
  <c r="G177" i="3"/>
  <c r="I177" i="3"/>
  <c r="H177" i="3"/>
  <c r="G99" i="3"/>
  <c r="I99" i="3"/>
  <c r="I265" i="3"/>
  <c r="I299" i="3"/>
  <c r="H9" i="27" s="1"/>
  <c r="G299" i="3"/>
  <c r="G180" i="3"/>
  <c r="I180" i="3"/>
  <c r="H180" i="3"/>
  <c r="I307" i="3"/>
  <c r="H15" i="27" s="1"/>
  <c r="G307" i="3"/>
  <c r="F15" i="27" s="1"/>
  <c r="G298" i="3"/>
  <c r="F8" i="27" s="1"/>
  <c r="I298" i="3"/>
  <c r="H8" i="27" s="1"/>
  <c r="I394" i="3"/>
  <c r="I101" i="3"/>
  <c r="G101" i="3"/>
  <c r="H101" i="3" s="1"/>
  <c r="I162" i="3"/>
  <c r="D32" i="19" s="1"/>
  <c r="F220" i="3"/>
  <c r="I220" i="3"/>
  <c r="I228" i="3" s="1"/>
  <c r="I187" i="3"/>
  <c r="H187" i="3"/>
  <c r="H171" i="3"/>
  <c r="I171" i="3"/>
  <c r="G171" i="3"/>
  <c r="H243" i="3"/>
  <c r="G243" i="3"/>
  <c r="I243" i="3"/>
  <c r="G306" i="3"/>
  <c r="I306" i="3"/>
  <c r="H14" i="27" s="1"/>
  <c r="G297" i="3"/>
  <c r="F7" i="27" s="1"/>
  <c r="I297" i="3"/>
  <c r="H7" i="27" s="1"/>
  <c r="G7" i="27" s="1"/>
  <c r="I103" i="3"/>
  <c r="G103" i="3"/>
  <c r="H103" i="3" s="1"/>
  <c r="G94" i="3"/>
  <c r="I94" i="3"/>
  <c r="G102" i="3"/>
  <c r="H102" i="3" s="1"/>
  <c r="I102" i="3"/>
  <c r="I284" i="3"/>
  <c r="I296" i="3"/>
  <c r="H6" i="27" s="1"/>
  <c r="G296" i="3"/>
  <c r="F6" i="27" s="1"/>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P3" i="23" s="1"/>
  <c r="N10" i="1"/>
  <c r="O3" i="23" s="1"/>
  <c r="N9" i="1"/>
  <c r="N3" i="23" s="1"/>
  <c r="N8" i="1"/>
  <c r="M3" i="23" s="1"/>
  <c r="N3" i="1"/>
  <c r="H3" i="23" s="1"/>
  <c r="N7" i="1"/>
  <c r="L3" i="23" s="1"/>
  <c r="N14" i="1"/>
  <c r="S3" i="23" s="1"/>
  <c r="N6" i="1"/>
  <c r="K3" i="23" s="1"/>
  <c r="N13" i="1"/>
  <c r="R3" i="23" s="1"/>
  <c r="N5" i="1"/>
  <c r="J3" i="23" s="1"/>
  <c r="N12" i="1"/>
  <c r="Q3" i="23" s="1"/>
  <c r="Z468" i="3"/>
  <c r="G5" i="27" l="1"/>
  <c r="G15" i="27"/>
  <c r="G6" i="27"/>
  <c r="H12" i="27"/>
  <c r="G4" i="27"/>
  <c r="D53" i="19"/>
  <c r="F9" i="27"/>
  <c r="G9" i="27" s="1"/>
  <c r="H16" i="27"/>
  <c r="D54" i="19"/>
  <c r="F14" i="27"/>
  <c r="F16" i="27" s="1"/>
  <c r="G8" i="27"/>
  <c r="D184" i="3"/>
  <c r="G184" i="3"/>
  <c r="R6" i="25" s="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I241" i="3"/>
  <c r="I104" i="3"/>
  <c r="I303" i="3"/>
  <c r="I308" i="3" s="1"/>
  <c r="I313" i="3"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F12" i="27" l="1"/>
  <c r="F18" i="27" s="1"/>
  <c r="G12" i="27"/>
  <c r="H18" i="27"/>
  <c r="G18" i="27" s="1"/>
  <c r="G16" i="27"/>
  <c r="G14" i="27"/>
  <c r="S6" i="25"/>
  <c r="S16" i="25" s="1"/>
  <c r="R16" i="25"/>
  <c r="H185" i="3"/>
  <c r="D56" i="19"/>
  <c r="H193" i="3"/>
  <c r="I186" i="3"/>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H8" i="26" s="1"/>
  <c r="I294" i="17"/>
  <c r="H4" i="26" s="1"/>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F8" i="26" s="1"/>
  <c r="G294" i="17"/>
  <c r="F4" i="26" s="1"/>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H10" i="26" s="1"/>
  <c r="I297" i="17"/>
  <c r="H7" i="26" s="1"/>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F7" i="26" s="1"/>
  <c r="G7" i="26" s="1"/>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H15" i="26" s="1"/>
  <c r="I300" i="17"/>
  <c r="I296" i="17"/>
  <c r="H6" i="26" s="1"/>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F15" i="26" s="1"/>
  <c r="G15" i="26" s="1"/>
  <c r="G300" i="17"/>
  <c r="G296" i="17"/>
  <c r="F6" i="26" s="1"/>
  <c r="G6" i="26" s="1"/>
  <c r="I280" i="17"/>
  <c r="I271" i="17"/>
  <c r="I262" i="17"/>
  <c r="I254" i="17"/>
  <c r="I240" i="17"/>
  <c r="I222" i="17"/>
  <c r="I213" i="17"/>
  <c r="I204" i="17"/>
  <c r="I161" i="17"/>
  <c r="I150" i="17"/>
  <c r="I142" i="17"/>
  <c r="I133" i="17"/>
  <c r="I125" i="17"/>
  <c r="I116" i="17"/>
  <c r="I102" i="17"/>
  <c r="I95" i="17"/>
  <c r="I79" i="17"/>
  <c r="I68" i="17"/>
  <c r="I60" i="17"/>
  <c r="I51" i="17"/>
  <c r="I43" i="17"/>
  <c r="I34" i="17"/>
  <c r="I21" i="17"/>
  <c r="I12" i="17"/>
  <c r="I8" i="17"/>
  <c r="AC460" i="17"/>
  <c r="AC452" i="17"/>
  <c r="I67" i="17"/>
  <c r="I50" i="17"/>
  <c r="I33" i="17"/>
  <c r="G12" i="17"/>
  <c r="I346" i="17"/>
  <c r="I338" i="17"/>
  <c r="I328" i="17"/>
  <c r="I320" i="17"/>
  <c r="I306" i="17"/>
  <c r="H14" i="26" s="1"/>
  <c r="I299" i="17"/>
  <c r="H9" i="26" s="1"/>
  <c r="I295" i="17"/>
  <c r="H5" i="26" s="1"/>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F14" i="26" s="1"/>
  <c r="F16" i="26" s="1"/>
  <c r="G299" i="17"/>
  <c r="F9" i="26" s="1"/>
  <c r="G9" i="26" s="1"/>
  <c r="G295" i="17"/>
  <c r="F5" i="26" s="1"/>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329" i="3"/>
  <c r="H350" i="3"/>
  <c r="H348" i="3"/>
  <c r="I250" i="3"/>
  <c r="I288" i="3"/>
  <c r="I193" i="3"/>
  <c r="O6" i="25" s="1"/>
  <c r="I185" i="3"/>
  <c r="G308" i="3"/>
  <c r="H303" i="3"/>
  <c r="G104" i="3"/>
  <c r="H104" i="3" s="1"/>
  <c r="H96" i="3"/>
  <c r="G107" i="3"/>
  <c r="H6" i="25" s="1"/>
  <c r="H116" i="3"/>
  <c r="H112" i="3"/>
  <c r="H115" i="3"/>
  <c r="H111" i="3"/>
  <c r="H114" i="3"/>
  <c r="H120" i="3"/>
  <c r="H113" i="3"/>
  <c r="G5" i="26" l="1"/>
  <c r="G184" i="17"/>
  <c r="H12" i="26"/>
  <c r="F12" i="26"/>
  <c r="F18" i="26" s="1"/>
  <c r="H16" i="26"/>
  <c r="G16" i="26" s="1"/>
  <c r="G14" i="26"/>
  <c r="G4" i="26"/>
  <c r="G8" i="26"/>
  <c r="T6" i="25"/>
  <c r="S15" i="25"/>
  <c r="S17" i="25" s="1"/>
  <c r="S11" i="25"/>
  <c r="D38" i="19"/>
  <c r="D46" i="19" s="1"/>
  <c r="M6" i="25"/>
  <c r="M16" i="25" s="1"/>
  <c r="T16" i="25"/>
  <c r="I164" i="3"/>
  <c r="I6" i="25"/>
  <c r="J6" i="25" s="1"/>
  <c r="H16" i="25"/>
  <c r="H121" i="3"/>
  <c r="I24" i="17"/>
  <c r="D29" i="19"/>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H193" i="17" l="1"/>
  <c r="M6" i="24" s="1"/>
  <c r="M16" i="24" s="1"/>
  <c r="S6" i="24"/>
  <c r="W18" i="17"/>
  <c r="G12" i="26"/>
  <c r="H18" i="26"/>
  <c r="G18" i="26" s="1"/>
  <c r="H185" i="17"/>
  <c r="R6" i="24"/>
  <c r="N6" i="25"/>
  <c r="N15" i="25" s="1"/>
  <c r="I16" i="25"/>
  <c r="J16" i="25" s="1"/>
  <c r="I11" i="25"/>
  <c r="I15" i="25"/>
  <c r="E376" i="17"/>
  <c r="F396" i="17"/>
  <c r="E396" i="17" s="1"/>
  <c r="D55" i="19"/>
  <c r="H313" i="3"/>
  <c r="I193" i="17"/>
  <c r="O6" i="24" s="1"/>
  <c r="N6" i="24"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D6" i="24" s="1"/>
  <c r="H13" i="17"/>
  <c r="G104" i="17"/>
  <c r="H104" i="17" s="1"/>
  <c r="H96" i="17"/>
  <c r="G107" i="17"/>
  <c r="I6" i="24"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I16" i="24" l="1"/>
  <c r="I15" i="24"/>
  <c r="I17" i="24" s="1"/>
  <c r="I11" i="24"/>
  <c r="D15" i="24"/>
  <c r="D17" i="24" s="1"/>
  <c r="D16" i="24"/>
  <c r="D11" i="24"/>
  <c r="H107" i="17"/>
  <c r="H6" i="24"/>
  <c r="H27" i="17"/>
  <c r="C6" i="24"/>
  <c r="N16" i="24"/>
  <c r="O16" i="24" s="1"/>
  <c r="N11" i="24"/>
  <c r="N15" i="24"/>
  <c r="N17" i="24" s="1"/>
  <c r="S16" i="24"/>
  <c r="T16" i="24" s="1"/>
  <c r="S15" i="24"/>
  <c r="S17" i="24" s="1"/>
  <c r="S11" i="24"/>
  <c r="R16" i="24"/>
  <c r="T6" i="24"/>
  <c r="N11" i="25"/>
  <c r="N16" i="25"/>
  <c r="O16" i="25" s="1"/>
  <c r="I17" i="25"/>
  <c r="I194" i="17"/>
  <c r="W19" i="17"/>
  <c r="V306" i="17"/>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H16" i="24" l="1"/>
  <c r="J16" i="24" s="1"/>
  <c r="J6" i="24"/>
  <c r="C16" i="24"/>
  <c r="E16" i="24" s="1"/>
  <c r="E6" i="24"/>
  <c r="N17" i="25"/>
  <c r="AA465" i="17"/>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E307" i="17" l="1"/>
  <c r="F175" i="17"/>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P179" i="3" l="1"/>
  <c r="P176" i="3"/>
  <c r="AL473" i="17"/>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55" i="10"/>
  <c r="K153" i="10"/>
  <c r="K151" i="10"/>
  <c r="K149" i="10"/>
  <c r="K146" i="10"/>
  <c r="K144" i="10"/>
  <c r="K139" i="10"/>
  <c r="K137" i="10"/>
  <c r="K136" i="10"/>
  <c r="K135" i="10"/>
  <c r="K134" i="10"/>
  <c r="K133" i="10"/>
  <c r="K132" i="10"/>
  <c r="K131" i="10"/>
  <c r="K130" i="10"/>
  <c r="K129" i="10"/>
  <c r="K128" i="10"/>
  <c r="K126" i="10"/>
  <c r="K125" i="10"/>
  <c r="K124" i="10"/>
  <c r="K123" i="10"/>
  <c r="K121" i="10"/>
  <c r="K111" i="10"/>
  <c r="K108" i="10"/>
  <c r="K107" i="10"/>
  <c r="K104" i="10"/>
  <c r="K102" i="10"/>
  <c r="K101" i="10"/>
  <c r="K100" i="10"/>
  <c r="K99"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S219" i="5"/>
  <c r="R219" i="5"/>
  <c r="Q219" i="5"/>
  <c r="M219" i="5"/>
  <c r="L219" i="5"/>
  <c r="V219" i="5" s="1"/>
  <c r="L243" i="5"/>
  <c r="L379" i="5"/>
  <c r="L268" i="5"/>
  <c r="L283" i="5"/>
  <c r="L312" i="5"/>
  <c r="L265" i="5"/>
  <c r="L429" i="5"/>
  <c r="L127" i="5"/>
  <c r="L246" i="5"/>
  <c r="L240" i="5"/>
  <c r="L336" i="5"/>
  <c r="L258" i="5"/>
  <c r="L284" i="5"/>
  <c r="L251" i="5"/>
  <c r="L272" i="5"/>
  <c r="L209" i="5"/>
  <c r="L331" i="5"/>
  <c r="L305" i="5"/>
  <c r="L346" i="5"/>
  <c r="L158" i="5"/>
  <c r="L295" i="5"/>
  <c r="L147" i="5"/>
  <c r="L380" i="5"/>
  <c r="L359" i="5"/>
  <c r="L134" i="5"/>
  <c r="L141" i="5"/>
  <c r="L368" i="5"/>
  <c r="L294" i="5"/>
  <c r="L311" i="5"/>
  <c r="L196" i="5"/>
  <c r="L116" i="5"/>
  <c r="L408" i="5"/>
  <c r="L421" i="5"/>
  <c r="L431" i="5"/>
  <c r="L391" i="5"/>
  <c r="L297" i="5"/>
  <c r="L392" i="5"/>
  <c r="L432" i="5"/>
  <c r="L145" i="5"/>
  <c r="L454" i="5"/>
  <c r="L157" i="5"/>
  <c r="L188" i="5"/>
  <c r="L273" i="5"/>
  <c r="L338" i="5"/>
  <c r="L230" i="5"/>
  <c r="L357" i="5"/>
  <c r="L366" i="5"/>
  <c r="L215" i="5"/>
  <c r="L381" i="5"/>
  <c r="L351" i="5"/>
  <c r="L349" i="5"/>
  <c r="L182" i="5"/>
  <c r="L360" i="5"/>
  <c r="L352" i="5"/>
  <c r="L345" i="5"/>
  <c r="L433" i="5"/>
  <c r="L314" i="5"/>
  <c r="L202" i="5"/>
  <c r="L224" i="5"/>
  <c r="L348" i="5"/>
  <c r="L231" i="5"/>
  <c r="L137" i="5"/>
  <c r="L354" i="5"/>
  <c r="L169" i="5"/>
  <c r="L447" i="5"/>
  <c r="L204" i="5"/>
  <c r="L276" i="5"/>
  <c r="L183" i="5"/>
  <c r="L451" i="5"/>
  <c r="L396" i="5"/>
  <c r="L155" i="5"/>
  <c r="L393" i="5"/>
  <c r="L397" i="5"/>
  <c r="L398" i="5"/>
  <c r="L140" i="5"/>
  <c r="L296" i="5"/>
  <c r="L400" i="5"/>
  <c r="L434" i="5"/>
  <c r="L362" i="5"/>
  <c r="L364" i="5"/>
  <c r="L446" i="5"/>
  <c r="L210" i="5"/>
  <c r="L344" i="5"/>
  <c r="L139" i="5"/>
  <c r="L114" i="5"/>
  <c r="L334" i="5"/>
  <c r="L223" i="5"/>
  <c r="L146" i="5"/>
  <c r="L232" i="5"/>
  <c r="L347" i="5"/>
  <c r="L341" i="5"/>
  <c r="S175" i="5"/>
  <c r="R175" i="5"/>
  <c r="Q175" i="5"/>
  <c r="M175" i="5"/>
  <c r="L175" i="5"/>
  <c r="X175" i="5" s="1"/>
  <c r="L394" i="5"/>
  <c r="L149" i="5"/>
  <c r="L135" i="5"/>
  <c r="L316" i="5"/>
  <c r="L115" i="5"/>
  <c r="L298" i="5"/>
  <c r="L424" i="5"/>
  <c r="L358" i="5"/>
  <c r="L437" i="5"/>
  <c r="L369" i="5"/>
  <c r="L350" i="5"/>
  <c r="L136" i="5"/>
  <c r="L213" i="5"/>
  <c r="L233" i="5"/>
  <c r="L339" i="5"/>
  <c r="L356" i="5"/>
  <c r="L291" i="5"/>
  <c r="L340" i="5"/>
  <c r="L448" i="5"/>
  <c r="L367" i="5"/>
  <c r="L299" i="5"/>
  <c r="L148" i="5"/>
  <c r="S318" i="5"/>
  <c r="R318" i="5"/>
  <c r="Q318" i="5"/>
  <c r="P318" i="5" s="1"/>
  <c r="M318" i="5"/>
  <c r="L318" i="5"/>
  <c r="L144" i="5"/>
  <c r="L179" i="5"/>
  <c r="L335" i="5"/>
  <c r="L383" i="5"/>
  <c r="L399" i="5"/>
  <c r="L384" i="5"/>
  <c r="S321" i="5"/>
  <c r="R321" i="5"/>
  <c r="Q321" i="5"/>
  <c r="M321" i="5"/>
  <c r="L321" i="5"/>
  <c r="L332" i="5"/>
  <c r="L199" i="5"/>
  <c r="L203" i="5"/>
  <c r="L211" i="5"/>
  <c r="L450" i="5"/>
  <c r="L235" i="5"/>
  <c r="L165" i="5"/>
  <c r="L355" i="5"/>
  <c r="S320" i="5"/>
  <c r="R320" i="5"/>
  <c r="Q320" i="5"/>
  <c r="M320" i="5"/>
  <c r="L320" i="5"/>
  <c r="S216" i="5"/>
  <c r="R216" i="5"/>
  <c r="Q216" i="5"/>
  <c r="O216" i="5" s="1"/>
  <c r="M216" i="5"/>
  <c r="L216" i="5"/>
  <c r="L371" i="5"/>
  <c r="L159" i="5"/>
  <c r="L198" i="5"/>
  <c r="L363" i="5"/>
  <c r="L260" i="5"/>
  <c r="L226" i="5"/>
  <c r="L382" i="5"/>
  <c r="S325" i="5"/>
  <c r="R325" i="5"/>
  <c r="Q325" i="5"/>
  <c r="O325" i="5" s="1"/>
  <c r="M325" i="5"/>
  <c r="L325" i="5"/>
  <c r="L361" i="5"/>
  <c r="L156" i="5"/>
  <c r="L200" i="5"/>
  <c r="L300" i="5"/>
  <c r="S324" i="5"/>
  <c r="R324" i="5"/>
  <c r="Q324" i="5"/>
  <c r="N324" i="5" s="1"/>
  <c r="M324" i="5"/>
  <c r="L324" i="5"/>
  <c r="L164" i="5"/>
  <c r="L106" i="5"/>
  <c r="S217" i="5"/>
  <c r="R217" i="5"/>
  <c r="Q217" i="5"/>
  <c r="O217" i="5" s="1"/>
  <c r="M217" i="5"/>
  <c r="L217" i="5"/>
  <c r="L186" i="5"/>
  <c r="S184" i="5"/>
  <c r="R184" i="5"/>
  <c r="Q184" i="5"/>
  <c r="M184" i="5"/>
  <c r="L184" i="5"/>
  <c r="S319" i="5"/>
  <c r="R319" i="5"/>
  <c r="Q319" i="5"/>
  <c r="N319" i="5" s="1"/>
  <c r="M319" i="5"/>
  <c r="L319" i="5"/>
  <c r="S293" i="5"/>
  <c r="R293" i="5"/>
  <c r="Q293" i="5"/>
  <c r="N293" i="5" s="1"/>
  <c r="M293" i="5"/>
  <c r="L293" i="5"/>
  <c r="L187" i="5"/>
  <c r="L274" i="5"/>
  <c r="L225" i="5"/>
  <c r="L205" i="5"/>
  <c r="L342" i="5"/>
  <c r="L438" i="5"/>
  <c r="L285" i="5"/>
  <c r="L180" i="5"/>
  <c r="L197" i="5"/>
  <c r="L236" i="5"/>
  <c r="L395" i="5"/>
  <c r="L435" i="5"/>
  <c r="L98" i="5"/>
  <c r="L96" i="5"/>
  <c r="L303" i="5"/>
  <c r="L411" i="5"/>
  <c r="L405" i="5"/>
  <c r="L407" i="5"/>
  <c r="L282" i="5"/>
  <c r="L280" i="5"/>
  <c r="L277" i="5"/>
  <c r="L288" i="5"/>
  <c r="L455" i="5"/>
  <c r="L269" i="5"/>
  <c r="L287" i="5"/>
  <c r="L257" i="5"/>
  <c r="L255" i="5"/>
  <c r="L253" i="5"/>
  <c r="L376" i="5"/>
  <c r="L374" i="5"/>
  <c r="L372" i="5"/>
  <c r="L207" i="5"/>
  <c r="L248" i="5"/>
  <c r="L245" i="5"/>
  <c r="L242" i="5"/>
  <c r="L452" i="5"/>
  <c r="L131" i="5"/>
  <c r="L123" i="5"/>
  <c r="L122" i="5"/>
  <c r="L120" i="5"/>
  <c r="L90" i="5"/>
  <c r="L302" i="5"/>
  <c r="L118" i="5"/>
  <c r="L110" i="5"/>
  <c r="L330" i="5"/>
  <c r="L327" i="5"/>
  <c r="L160" i="5"/>
  <c r="L153" i="5"/>
  <c r="L151" i="5"/>
  <c r="L109" i="5"/>
  <c r="S322" i="5"/>
  <c r="R322" i="5"/>
  <c r="Q322" i="5"/>
  <c r="P322" i="5" s="1"/>
  <c r="M322" i="5"/>
  <c r="L322" i="5"/>
  <c r="S317" i="5"/>
  <c r="R317" i="5"/>
  <c r="Q317" i="5"/>
  <c r="P317" i="5" s="1"/>
  <c r="M317" i="5"/>
  <c r="L317" i="5"/>
  <c r="L275" i="5"/>
  <c r="L234" i="5"/>
  <c r="L449" i="5"/>
  <c r="L163" i="5"/>
  <c r="L162" i="5"/>
  <c r="L112" i="5"/>
  <c r="L290" i="5"/>
  <c r="L250" i="5"/>
  <c r="L267" i="5"/>
  <c r="L266" i="5"/>
  <c r="L132" i="5"/>
  <c r="L178" i="5"/>
  <c r="L100" i="5"/>
  <c r="L281" i="5"/>
  <c r="L92" i="5"/>
  <c r="L128" i="5"/>
  <c r="L161" i="5"/>
  <c r="L326" i="5"/>
  <c r="L152" i="5"/>
  <c r="L150" i="5"/>
  <c r="L418" i="5"/>
  <c r="L425" i="5"/>
  <c r="L262" i="5"/>
  <c r="L261" i="5"/>
  <c r="L194" i="5"/>
  <c r="L220" i="5"/>
  <c r="L310" i="5"/>
  <c r="L308" i="5"/>
  <c r="L419" i="5"/>
  <c r="S436" i="5"/>
  <c r="R436" i="5"/>
  <c r="Q436" i="5"/>
  <c r="O436" i="5" s="1"/>
  <c r="M436" i="5"/>
  <c r="L436" i="5"/>
  <c r="S218" i="5"/>
  <c r="R218" i="5"/>
  <c r="Q218" i="5"/>
  <c r="N218" i="5" s="1"/>
  <c r="M218" i="5"/>
  <c r="L218" i="5"/>
  <c r="S323" i="5"/>
  <c r="R323" i="5"/>
  <c r="Q323" i="5"/>
  <c r="P323" i="5" s="1"/>
  <c r="M323" i="5"/>
  <c r="L323" i="5"/>
  <c r="L138" i="5"/>
  <c r="L181" i="5"/>
  <c r="L117" i="5"/>
  <c r="L212" i="5"/>
  <c r="L402" i="5"/>
  <c r="L333" i="5"/>
  <c r="L353" i="5"/>
  <c r="L113" i="5"/>
  <c r="L337" i="5"/>
  <c r="L439" i="5"/>
  <c r="L214" i="5"/>
  <c r="L427" i="5"/>
  <c r="L456" i="5"/>
  <c r="L271" i="5"/>
  <c r="L241" i="5"/>
  <c r="L259" i="5"/>
  <c r="L378" i="5"/>
  <c r="L377" i="5"/>
  <c r="L208" i="5"/>
  <c r="L453" i="5"/>
  <c r="L133" i="5"/>
  <c r="L99" i="5"/>
  <c r="L237" i="5"/>
  <c r="L403" i="5"/>
  <c r="L263" i="5"/>
  <c r="L176" i="5"/>
  <c r="L428" i="5"/>
  <c r="L430" i="5"/>
  <c r="L177" i="5"/>
  <c r="L94" i="5"/>
  <c r="L93" i="5"/>
  <c r="L124" i="5"/>
  <c r="L91" i="5"/>
  <c r="L328" i="5"/>
  <c r="L107" i="5"/>
  <c r="L105" i="5"/>
  <c r="L143" i="5"/>
  <c r="L104" i="5"/>
  <c r="L103" i="5"/>
  <c r="L102" i="5"/>
  <c r="L101" i="5"/>
  <c r="L390" i="5"/>
  <c r="L389" i="5"/>
  <c r="L388" i="5"/>
  <c r="L386" i="5"/>
  <c r="L385" i="5"/>
  <c r="L292" i="5"/>
  <c r="L166" i="5"/>
  <c r="L306" i="5"/>
  <c r="L111" i="5"/>
  <c r="L168" i="5"/>
  <c r="L420" i="5"/>
  <c r="L170" i="5"/>
  <c r="L422" i="5"/>
  <c r="L173" i="5"/>
  <c r="L174" i="5"/>
  <c r="L171" i="5"/>
  <c r="L423" i="5"/>
  <c r="L443" i="5"/>
  <c r="L192" i="5"/>
  <c r="L191" i="5"/>
  <c r="L442" i="5"/>
  <c r="L441" i="5"/>
  <c r="L189" i="5"/>
  <c r="L370" i="5"/>
  <c r="L222" i="5"/>
  <c r="L365" i="5"/>
  <c r="L126" i="5"/>
  <c r="L387" i="5"/>
  <c r="L426" i="5"/>
  <c r="L315" i="5"/>
  <c r="L309" i="5"/>
  <c r="L167" i="5"/>
  <c r="L190" i="5"/>
  <c r="L244" i="5"/>
  <c r="L172" i="5"/>
  <c r="L445" i="5"/>
  <c r="L440" i="5"/>
  <c r="L227" i="5"/>
  <c r="L278" i="5"/>
  <c r="L252" i="5"/>
  <c r="L410" i="5"/>
  <c r="T410" i="5" s="1"/>
  <c r="L401" i="5"/>
  <c r="L417" i="5"/>
  <c r="L409" i="5"/>
  <c r="L343" i="5"/>
  <c r="L221" i="5"/>
  <c r="L375" i="5"/>
  <c r="L185" i="5"/>
  <c r="L229" i="5"/>
  <c r="L125" i="5"/>
  <c r="L279" i="5"/>
  <c r="L142" i="5"/>
  <c r="L406" i="5"/>
  <c r="L239" i="5"/>
  <c r="L444" i="5"/>
  <c r="L195" i="5"/>
  <c r="L404" i="5"/>
  <c r="L254" i="5"/>
  <c r="L373" i="5"/>
  <c r="L256" i="5"/>
  <c r="L286" i="5"/>
  <c r="L313" i="5"/>
  <c r="L193" i="5"/>
  <c r="L304" i="5"/>
  <c r="L206" i="5"/>
  <c r="L228" i="5"/>
  <c r="L289" i="5"/>
  <c r="L95" i="5"/>
  <c r="L249" i="5"/>
  <c r="L247" i="5"/>
  <c r="L130" i="5"/>
  <c r="L307" i="5"/>
  <c r="L97" i="5"/>
  <c r="L301" i="5"/>
  <c r="L108" i="5"/>
  <c r="L270" i="5"/>
  <c r="L154" i="5"/>
  <c r="L329" i="5"/>
  <c r="L238" i="5"/>
  <c r="L264" i="5"/>
  <c r="L119" i="5"/>
  <c r="L129" i="5"/>
  <c r="L121" i="5"/>
  <c r="AN481" i="3"/>
  <c r="AN466" i="3"/>
  <c r="AH466" i="3"/>
  <c r="R361" i="3"/>
  <c r="N351" i="3"/>
  <c r="F348" i="3"/>
  <c r="N287" i="3"/>
  <c r="F284" i="3"/>
  <c r="F247" i="3"/>
  <c r="N231" i="3"/>
  <c r="L191" i="3"/>
  <c r="F191" i="3"/>
  <c r="M181" i="3"/>
  <c r="K181" i="3"/>
  <c r="R178" i="3"/>
  <c r="Q78" i="3"/>
  <c r="R19" i="3"/>
  <c r="O6" i="3"/>
  <c r="S1" i="3"/>
  <c r="C1" i="3"/>
  <c r="A3" i="2"/>
  <c r="A2" i="2"/>
  <c r="N470" i="5" l="1"/>
  <c r="O471" i="5"/>
  <c r="O468" i="5"/>
  <c r="N469" i="5"/>
  <c r="O470" i="5"/>
  <c r="O472" i="5"/>
  <c r="N471" i="5"/>
  <c r="N468" i="5"/>
  <c r="O469" i="5"/>
  <c r="P471" i="5"/>
  <c r="P468" i="5"/>
  <c r="P469" i="5"/>
  <c r="P470" i="5"/>
  <c r="G102" i="10"/>
  <c r="G118" i="10"/>
  <c r="G103" i="10"/>
  <c r="G115" i="10"/>
  <c r="G286" i="10"/>
  <c r="G236" i="10"/>
  <c r="G530" i="10"/>
  <c r="O531" i="3"/>
  <c r="E525" i="3"/>
  <c r="O506" i="3"/>
  <c r="J506" i="3"/>
  <c r="E526" i="3"/>
  <c r="O530" i="3"/>
  <c r="J531" i="3"/>
  <c r="J530" i="3"/>
  <c r="O525" i="3"/>
  <c r="E530" i="3"/>
  <c r="E531" i="3"/>
  <c r="E506" i="3"/>
  <c r="J513" i="3"/>
  <c r="O513" i="3"/>
  <c r="E513" i="3"/>
  <c r="J525" i="3"/>
  <c r="G98" i="10"/>
  <c r="O510" i="3"/>
  <c r="J510" i="3"/>
  <c r="E509" i="3"/>
  <c r="E502" i="3"/>
  <c r="E510" i="3"/>
  <c r="E503" i="3"/>
  <c r="J502" i="3"/>
  <c r="O502" i="3"/>
  <c r="O509" i="3"/>
  <c r="J509" i="3"/>
  <c r="G544" i="10"/>
  <c r="G99" i="10"/>
  <c r="G251" i="10"/>
  <c r="Z499" i="17"/>
  <c r="AC499" i="17" s="1"/>
  <c r="AC500" i="17" s="1"/>
  <c r="G153" i="10"/>
  <c r="G62" i="10"/>
  <c r="G50" i="10"/>
  <c r="G13" i="10"/>
  <c r="G506" i="10"/>
  <c r="G213" i="10"/>
  <c r="G212" i="10"/>
  <c r="G492" i="10"/>
  <c r="G358" i="10"/>
  <c r="G460" i="10"/>
  <c r="G429" i="10"/>
  <c r="G394" i="10"/>
  <c r="G552" i="10"/>
  <c r="G312" i="10"/>
  <c r="G261" i="10"/>
  <c r="G228" i="10"/>
  <c r="G278" i="10"/>
  <c r="G522" i="10"/>
  <c r="Y497" i="17"/>
  <c r="O175"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U119" i="5"/>
  <c r="T119" i="5"/>
  <c r="W119" i="5"/>
  <c r="V119" i="5"/>
  <c r="U329" i="5"/>
  <c r="V329" i="5"/>
  <c r="T329" i="5"/>
  <c r="W329" i="5"/>
  <c r="U270" i="5"/>
  <c r="V270" i="5"/>
  <c r="T270" i="5"/>
  <c r="W270" i="5"/>
  <c r="X301" i="5"/>
  <c r="U301" i="5"/>
  <c r="V301" i="5"/>
  <c r="W301" i="5"/>
  <c r="T301" i="5"/>
  <c r="T130" i="5"/>
  <c r="W130" i="5"/>
  <c r="U130" i="5"/>
  <c r="V130" i="5"/>
  <c r="U289" i="5"/>
  <c r="V289" i="5"/>
  <c r="T289" i="5"/>
  <c r="W289" i="5"/>
  <c r="V304" i="5"/>
  <c r="W304" i="5"/>
  <c r="T304" i="5"/>
  <c r="U304" i="5"/>
  <c r="X313" i="5"/>
  <c r="T313" i="5"/>
  <c r="U313" i="5"/>
  <c r="W313" i="5"/>
  <c r="V313" i="5"/>
  <c r="X239" i="5"/>
  <c r="T239" i="5"/>
  <c r="U239" i="5"/>
  <c r="V239" i="5"/>
  <c r="W239" i="5"/>
  <c r="V19" i="5"/>
  <c r="W19" i="5"/>
  <c r="T19" i="5"/>
  <c r="U19" i="5"/>
  <c r="W21" i="5"/>
  <c r="T21" i="5"/>
  <c r="V21" i="5"/>
  <c r="U21" i="5"/>
  <c r="V59" i="5"/>
  <c r="W59" i="5"/>
  <c r="T59" i="5"/>
  <c r="U59" i="5"/>
  <c r="X185" i="5"/>
  <c r="W185" i="5"/>
  <c r="T185" i="5"/>
  <c r="V185" i="5"/>
  <c r="U185" i="5"/>
  <c r="U375" i="5"/>
  <c r="V375" i="5"/>
  <c r="W375" i="5"/>
  <c r="T375" i="5"/>
  <c r="T37" i="5"/>
  <c r="W37" i="5"/>
  <c r="V37" i="5"/>
  <c r="U37" i="5"/>
  <c r="V401" i="5"/>
  <c r="W401" i="5"/>
  <c r="U401" i="5"/>
  <c r="T401" i="5"/>
  <c r="X278" i="5"/>
  <c r="U278" i="5"/>
  <c r="V278" i="5"/>
  <c r="T278" i="5"/>
  <c r="W278" i="5"/>
  <c r="W8" i="5"/>
  <c r="T8" i="5"/>
  <c r="U8" i="5"/>
  <c r="V8" i="5"/>
  <c r="T172" i="5"/>
  <c r="U172" i="5"/>
  <c r="W172" i="5"/>
  <c r="V172" i="5"/>
  <c r="X61" i="5"/>
  <c r="W61" i="5"/>
  <c r="V61" i="5"/>
  <c r="T61" i="5"/>
  <c r="U61" i="5"/>
  <c r="V2" i="5"/>
  <c r="W2" i="5"/>
  <c r="T2" i="5"/>
  <c r="U2" i="5"/>
  <c r="X126" i="5"/>
  <c r="U126" i="5"/>
  <c r="V126" i="5"/>
  <c r="W126" i="5"/>
  <c r="T126" i="5"/>
  <c r="X222" i="5"/>
  <c r="V222" i="5"/>
  <c r="W222" i="5"/>
  <c r="T222" i="5"/>
  <c r="U222" i="5"/>
  <c r="T442" i="5"/>
  <c r="U442" i="5"/>
  <c r="W442" i="5"/>
  <c r="V442" i="5"/>
  <c r="V74" i="5"/>
  <c r="W74" i="5"/>
  <c r="T74" i="5"/>
  <c r="U74" i="5"/>
  <c r="T174" i="5"/>
  <c r="U174" i="5"/>
  <c r="V174" i="5"/>
  <c r="W174" i="5"/>
  <c r="V420" i="5"/>
  <c r="W420" i="5"/>
  <c r="T420" i="5"/>
  <c r="U420" i="5"/>
  <c r="V166" i="5"/>
  <c r="W166" i="5"/>
  <c r="U166" i="5"/>
  <c r="T166" i="5"/>
  <c r="W388" i="5"/>
  <c r="T388" i="5"/>
  <c r="V388" i="5"/>
  <c r="U388" i="5"/>
  <c r="U102" i="5"/>
  <c r="V102" i="5"/>
  <c r="W102" i="5"/>
  <c r="T102" i="5"/>
  <c r="W105" i="5"/>
  <c r="T105" i="5"/>
  <c r="U105" i="5"/>
  <c r="V105" i="5"/>
  <c r="V124" i="5"/>
  <c r="W124" i="5"/>
  <c r="T124" i="5"/>
  <c r="U124" i="5"/>
  <c r="U430" i="5"/>
  <c r="W430" i="5"/>
  <c r="V430" i="5"/>
  <c r="T430" i="5"/>
  <c r="X403" i="5"/>
  <c r="T403" i="5"/>
  <c r="U403" i="5"/>
  <c r="V403" i="5"/>
  <c r="W403" i="5"/>
  <c r="W453" i="5"/>
  <c r="T453" i="5"/>
  <c r="U453" i="5"/>
  <c r="V453" i="5"/>
  <c r="V259" i="5"/>
  <c r="W259" i="5"/>
  <c r="T259" i="5"/>
  <c r="U259" i="5"/>
  <c r="T337" i="5"/>
  <c r="U337" i="5"/>
  <c r="V337" i="5"/>
  <c r="W337" i="5"/>
  <c r="W402" i="5"/>
  <c r="T402" i="5"/>
  <c r="V402" i="5"/>
  <c r="U402" i="5"/>
  <c r="T138" i="5"/>
  <c r="U138" i="5"/>
  <c r="V138" i="5"/>
  <c r="W138" i="5"/>
  <c r="X7" i="5"/>
  <c r="T7" i="5"/>
  <c r="U7" i="5"/>
  <c r="W7" i="5"/>
  <c r="V7" i="5"/>
  <c r="X56" i="5"/>
  <c r="T56" i="5"/>
  <c r="U56" i="5"/>
  <c r="V56" i="5"/>
  <c r="W56" i="5"/>
  <c r="U64" i="5"/>
  <c r="V64" i="5"/>
  <c r="T64" i="5"/>
  <c r="W64" i="5"/>
  <c r="X308" i="5"/>
  <c r="V308" i="5"/>
  <c r="W308" i="5"/>
  <c r="T308" i="5"/>
  <c r="U308" i="5"/>
  <c r="X261" i="5"/>
  <c r="W261" i="5"/>
  <c r="T261" i="5"/>
  <c r="V261" i="5"/>
  <c r="U261" i="5"/>
  <c r="X150" i="5"/>
  <c r="U150" i="5"/>
  <c r="V150" i="5"/>
  <c r="T150" i="5"/>
  <c r="W150" i="5"/>
  <c r="W128" i="5"/>
  <c r="T128" i="5"/>
  <c r="V128" i="5"/>
  <c r="U128" i="5"/>
  <c r="T100" i="5"/>
  <c r="U100" i="5"/>
  <c r="V100" i="5"/>
  <c r="W100" i="5"/>
  <c r="V267" i="5"/>
  <c r="W267" i="5"/>
  <c r="T267" i="5"/>
  <c r="U267" i="5"/>
  <c r="X162" i="5"/>
  <c r="U162" i="5"/>
  <c r="V162" i="5"/>
  <c r="W162" i="5"/>
  <c r="T162" i="5"/>
  <c r="W275" i="5"/>
  <c r="T275" i="5"/>
  <c r="V275" i="5"/>
  <c r="U275" i="5"/>
  <c r="U151" i="5"/>
  <c r="V151" i="5"/>
  <c r="W151" i="5"/>
  <c r="T151" i="5"/>
  <c r="V330" i="5"/>
  <c r="W330" i="5"/>
  <c r="T330" i="5"/>
  <c r="U330" i="5"/>
  <c r="V302" i="5"/>
  <c r="W302" i="5"/>
  <c r="U302" i="5"/>
  <c r="T302" i="5"/>
  <c r="V120" i="5"/>
  <c r="W120" i="5"/>
  <c r="T120" i="5"/>
  <c r="U120" i="5"/>
  <c r="T452" i="5"/>
  <c r="U452" i="5"/>
  <c r="V452" i="5"/>
  <c r="W452" i="5"/>
  <c r="T207" i="5"/>
  <c r="U207" i="5"/>
  <c r="V207" i="5"/>
  <c r="W207" i="5"/>
  <c r="W253" i="5"/>
  <c r="T253" i="5"/>
  <c r="U253" i="5"/>
  <c r="V253" i="5"/>
  <c r="X269" i="5"/>
  <c r="U269" i="5"/>
  <c r="V269" i="5"/>
  <c r="W269" i="5"/>
  <c r="T269" i="5"/>
  <c r="X280" i="5"/>
  <c r="W280" i="5"/>
  <c r="T280" i="5"/>
  <c r="U280" i="5"/>
  <c r="V280" i="5"/>
  <c r="X411" i="5"/>
  <c r="U411" i="5"/>
  <c r="V411" i="5"/>
  <c r="T411" i="5"/>
  <c r="W411" i="5"/>
  <c r="W435" i="5"/>
  <c r="T435" i="5"/>
  <c r="U435" i="5"/>
  <c r="V435" i="5"/>
  <c r="X180" i="5"/>
  <c r="T180" i="5"/>
  <c r="U180" i="5"/>
  <c r="W180" i="5"/>
  <c r="V180" i="5"/>
  <c r="U438" i="5"/>
  <c r="V438" i="5"/>
  <c r="T438" i="5"/>
  <c r="W438" i="5"/>
  <c r="X54" i="5"/>
  <c r="U54" i="5"/>
  <c r="W54" i="5"/>
  <c r="V54" i="5"/>
  <c r="T54" i="5"/>
  <c r="X274" i="5"/>
  <c r="V274" i="5"/>
  <c r="W274" i="5"/>
  <c r="U274" i="5"/>
  <c r="T274" i="5"/>
  <c r="V156" i="5"/>
  <c r="W156" i="5"/>
  <c r="T156" i="5"/>
  <c r="U156" i="5"/>
  <c r="X363" i="5"/>
  <c r="U363" i="5"/>
  <c r="V363" i="5"/>
  <c r="T363" i="5"/>
  <c r="W363" i="5"/>
  <c r="U371" i="5"/>
  <c r="V371" i="5"/>
  <c r="T371" i="5"/>
  <c r="W371" i="5"/>
  <c r="V36" i="5"/>
  <c r="W36" i="5"/>
  <c r="T36" i="5"/>
  <c r="U36" i="5"/>
  <c r="X450" i="5"/>
  <c r="T450" i="5"/>
  <c r="U450" i="5"/>
  <c r="V450" i="5"/>
  <c r="W450" i="5"/>
  <c r="W199" i="5"/>
  <c r="T199" i="5"/>
  <c r="U199" i="5"/>
  <c r="V199" i="5"/>
  <c r="U399" i="5"/>
  <c r="V399" i="5"/>
  <c r="W399" i="5"/>
  <c r="T399" i="5"/>
  <c r="T144" i="5"/>
  <c r="U144" i="5"/>
  <c r="W144" i="5"/>
  <c r="V144" i="5"/>
  <c r="X299" i="5"/>
  <c r="W299" i="5"/>
  <c r="T299" i="5"/>
  <c r="V299" i="5"/>
  <c r="U299" i="5"/>
  <c r="W448" i="5"/>
  <c r="T448" i="5"/>
  <c r="U448" i="5"/>
  <c r="V448" i="5"/>
  <c r="T291" i="5"/>
  <c r="V291" i="5"/>
  <c r="W291" i="5"/>
  <c r="U291" i="5"/>
  <c r="T339" i="5"/>
  <c r="U339" i="5"/>
  <c r="V339" i="5"/>
  <c r="W339" i="5"/>
  <c r="X350" i="5"/>
  <c r="V350" i="5"/>
  <c r="W350" i="5"/>
  <c r="U350" i="5"/>
  <c r="T350" i="5"/>
  <c r="X437" i="5"/>
  <c r="W437" i="5"/>
  <c r="T437" i="5"/>
  <c r="U437" i="5"/>
  <c r="V437" i="5"/>
  <c r="W80" i="5"/>
  <c r="T80" i="5"/>
  <c r="U80" i="5"/>
  <c r="V80" i="5"/>
  <c r="X135" i="5"/>
  <c r="U135" i="5"/>
  <c r="V135" i="5"/>
  <c r="T135" i="5"/>
  <c r="W135" i="5"/>
  <c r="U232" i="5"/>
  <c r="V232" i="5"/>
  <c r="W232" i="5"/>
  <c r="T232" i="5"/>
  <c r="V334" i="5"/>
  <c r="W334" i="5"/>
  <c r="U334" i="5"/>
  <c r="T334" i="5"/>
  <c r="U210" i="5"/>
  <c r="V210" i="5"/>
  <c r="T210" i="5"/>
  <c r="W210" i="5"/>
  <c r="X364" i="5"/>
  <c r="V364" i="5"/>
  <c r="W364" i="5"/>
  <c r="U364" i="5"/>
  <c r="T364" i="5"/>
  <c r="V400" i="5"/>
  <c r="W400" i="5"/>
  <c r="U400" i="5"/>
  <c r="T400" i="5"/>
  <c r="V398" i="5"/>
  <c r="W398" i="5"/>
  <c r="U398" i="5"/>
  <c r="T398" i="5"/>
  <c r="X155" i="5"/>
  <c r="U155" i="5"/>
  <c r="V155" i="5"/>
  <c r="W155" i="5"/>
  <c r="T155" i="5"/>
  <c r="U183" i="5"/>
  <c r="V183" i="5"/>
  <c r="W183" i="5"/>
  <c r="T183" i="5"/>
  <c r="U12" i="5"/>
  <c r="V12" i="5"/>
  <c r="T12" i="5"/>
  <c r="W12" i="5"/>
  <c r="X169" i="5"/>
  <c r="U169" i="5"/>
  <c r="V169" i="5"/>
  <c r="T169" i="5"/>
  <c r="W169" i="5"/>
  <c r="X231" i="5"/>
  <c r="V231" i="5"/>
  <c r="W231" i="5"/>
  <c r="U231" i="5"/>
  <c r="T231" i="5"/>
  <c r="X314" i="5"/>
  <c r="T314" i="5"/>
  <c r="U314" i="5"/>
  <c r="V314" i="5"/>
  <c r="W314" i="5"/>
  <c r="T360" i="5"/>
  <c r="U360" i="5"/>
  <c r="V360" i="5"/>
  <c r="W360" i="5"/>
  <c r="X351" i="5"/>
  <c r="W351" i="5"/>
  <c r="T351" i="5"/>
  <c r="V351" i="5"/>
  <c r="U351" i="5"/>
  <c r="U357" i="5"/>
  <c r="V357" i="5"/>
  <c r="T357" i="5"/>
  <c r="W357" i="5"/>
  <c r="V145" i="5"/>
  <c r="W145" i="5"/>
  <c r="U145" i="5"/>
  <c r="T145" i="5"/>
  <c r="T297" i="5"/>
  <c r="U297" i="5"/>
  <c r="V297" i="5"/>
  <c r="W297" i="5"/>
  <c r="V431" i="5"/>
  <c r="W431" i="5"/>
  <c r="U431" i="5"/>
  <c r="T431" i="5"/>
  <c r="W196" i="5"/>
  <c r="T196" i="5"/>
  <c r="U196" i="5"/>
  <c r="V196" i="5"/>
  <c r="X368" i="5"/>
  <c r="T368" i="5"/>
  <c r="U368" i="5"/>
  <c r="V368" i="5"/>
  <c r="W368" i="5"/>
  <c r="V52" i="5"/>
  <c r="T52" i="5"/>
  <c r="U52" i="5"/>
  <c r="W52" i="5"/>
  <c r="U295" i="5"/>
  <c r="V295" i="5"/>
  <c r="W295" i="5"/>
  <c r="T295" i="5"/>
  <c r="W305" i="5"/>
  <c r="T305" i="5"/>
  <c r="U305" i="5"/>
  <c r="V305" i="5"/>
  <c r="T272" i="5"/>
  <c r="U272" i="5"/>
  <c r="V272" i="5"/>
  <c r="W272" i="5"/>
  <c r="T251" i="5"/>
  <c r="U251" i="5"/>
  <c r="V251" i="5"/>
  <c r="W251" i="5"/>
  <c r="W13" i="5"/>
  <c r="T13" i="5"/>
  <c r="V13" i="5"/>
  <c r="U13" i="5"/>
  <c r="T429" i="5"/>
  <c r="U429" i="5"/>
  <c r="V429" i="5"/>
  <c r="W429" i="5"/>
  <c r="V73" i="5"/>
  <c r="W73" i="5"/>
  <c r="T73" i="5"/>
  <c r="U73" i="5"/>
  <c r="T243" i="5"/>
  <c r="U243" i="5"/>
  <c r="V243" i="5"/>
  <c r="W243" i="5"/>
  <c r="T416" i="5"/>
  <c r="U416" i="5"/>
  <c r="V416" i="5"/>
  <c r="W416" i="5"/>
  <c r="X264" i="5"/>
  <c r="U264" i="5"/>
  <c r="V264" i="5"/>
  <c r="T264" i="5"/>
  <c r="W264" i="5"/>
  <c r="X10" i="5"/>
  <c r="V10" i="5"/>
  <c r="W10" i="5"/>
  <c r="T10" i="5"/>
  <c r="U10" i="5"/>
  <c r="T108" i="5"/>
  <c r="U108" i="5"/>
  <c r="W108" i="5"/>
  <c r="V108" i="5"/>
  <c r="X25" i="5"/>
  <c r="U25" i="5"/>
  <c r="V25" i="5"/>
  <c r="W25" i="5"/>
  <c r="T25" i="5"/>
  <c r="X247" i="5"/>
  <c r="U247" i="5"/>
  <c r="V247" i="5"/>
  <c r="W247" i="5"/>
  <c r="T247" i="5"/>
  <c r="U228" i="5"/>
  <c r="V228" i="5"/>
  <c r="T228" i="5"/>
  <c r="W228" i="5"/>
  <c r="T193" i="5"/>
  <c r="U193" i="5"/>
  <c r="V193" i="5"/>
  <c r="W193" i="5"/>
  <c r="W286" i="5"/>
  <c r="T286" i="5"/>
  <c r="V286" i="5"/>
  <c r="U286" i="5"/>
  <c r="X254" i="5"/>
  <c r="T254" i="5"/>
  <c r="U254" i="5"/>
  <c r="V254" i="5"/>
  <c r="W254" i="5"/>
  <c r="X195" i="5"/>
  <c r="W195" i="5"/>
  <c r="T195" i="5"/>
  <c r="V195" i="5"/>
  <c r="U195" i="5"/>
  <c r="X11" i="5"/>
  <c r="V11" i="5"/>
  <c r="W11" i="5"/>
  <c r="U11" i="5"/>
  <c r="T11" i="5"/>
  <c r="X142" i="5"/>
  <c r="V142" i="5"/>
  <c r="W142" i="5"/>
  <c r="U142" i="5"/>
  <c r="T142" i="5"/>
  <c r="V125" i="5"/>
  <c r="W125" i="5"/>
  <c r="U125" i="5"/>
  <c r="T125" i="5"/>
  <c r="T53" i="5"/>
  <c r="U53" i="5"/>
  <c r="V53" i="5"/>
  <c r="W53" i="5"/>
  <c r="X221" i="5"/>
  <c r="U221" i="5"/>
  <c r="V221" i="5"/>
  <c r="T221" i="5"/>
  <c r="W221" i="5"/>
  <c r="V69" i="5"/>
  <c r="W69" i="5"/>
  <c r="U69" i="5"/>
  <c r="T69" i="5"/>
  <c r="X65" i="5"/>
  <c r="W65" i="5"/>
  <c r="T65" i="5"/>
  <c r="U65" i="5"/>
  <c r="V65" i="5"/>
  <c r="X51" i="5"/>
  <c r="W51" i="5"/>
  <c r="T51" i="5"/>
  <c r="U51" i="5"/>
  <c r="V51" i="5"/>
  <c r="W440" i="5"/>
  <c r="U440" i="5"/>
  <c r="V440" i="5"/>
  <c r="T440" i="5"/>
  <c r="U244" i="5"/>
  <c r="V244" i="5"/>
  <c r="T244" i="5"/>
  <c r="W244" i="5"/>
  <c r="W42" i="5"/>
  <c r="T42" i="5"/>
  <c r="U42" i="5"/>
  <c r="V42" i="5"/>
  <c r="U315" i="5"/>
  <c r="V315" i="5"/>
  <c r="T315" i="5"/>
  <c r="W315" i="5"/>
  <c r="V365" i="5"/>
  <c r="W365" i="5"/>
  <c r="T365" i="5"/>
  <c r="U365" i="5"/>
  <c r="V3" i="5"/>
  <c r="W3" i="5"/>
  <c r="U3" i="5"/>
  <c r="T3" i="5"/>
  <c r="T370" i="5"/>
  <c r="W370" i="5"/>
  <c r="V370" i="5"/>
  <c r="U370" i="5"/>
  <c r="X191" i="5"/>
  <c r="W191" i="5"/>
  <c r="T191" i="5"/>
  <c r="U191" i="5"/>
  <c r="V191" i="5"/>
  <c r="V75" i="5"/>
  <c r="W75" i="5"/>
  <c r="U75" i="5"/>
  <c r="T75" i="5"/>
  <c r="V173" i="5"/>
  <c r="W173" i="5"/>
  <c r="T173" i="5"/>
  <c r="U173" i="5"/>
  <c r="T168" i="5"/>
  <c r="U168" i="5"/>
  <c r="W168" i="5"/>
  <c r="V168" i="5"/>
  <c r="U292" i="5"/>
  <c r="V292" i="5"/>
  <c r="T292" i="5"/>
  <c r="W292" i="5"/>
  <c r="W389" i="5"/>
  <c r="T389" i="5"/>
  <c r="U389" i="5"/>
  <c r="V389" i="5"/>
  <c r="U103" i="5"/>
  <c r="V103" i="5"/>
  <c r="T103" i="5"/>
  <c r="W103" i="5"/>
  <c r="X107" i="5"/>
  <c r="W107" i="5"/>
  <c r="T107" i="5"/>
  <c r="V107" i="5"/>
  <c r="U107" i="5"/>
  <c r="U93" i="5"/>
  <c r="W93" i="5"/>
  <c r="V93" i="5"/>
  <c r="T93" i="5"/>
  <c r="U428" i="5"/>
  <c r="T428" i="5"/>
  <c r="W428" i="5"/>
  <c r="V428" i="5"/>
  <c r="W237" i="5"/>
  <c r="T237" i="5"/>
  <c r="U237" i="5"/>
  <c r="V237" i="5"/>
  <c r="V208" i="5"/>
  <c r="W208" i="5"/>
  <c r="U208" i="5"/>
  <c r="T208" i="5"/>
  <c r="V241" i="5"/>
  <c r="U241" i="5"/>
  <c r="W241" i="5"/>
  <c r="T241" i="5"/>
  <c r="X427" i="5"/>
  <c r="T427" i="5"/>
  <c r="U427" i="5"/>
  <c r="V427" i="5"/>
  <c r="W427" i="5"/>
  <c r="X113" i="5"/>
  <c r="T113" i="5"/>
  <c r="U113" i="5"/>
  <c r="V113" i="5"/>
  <c r="W113" i="5"/>
  <c r="W212" i="5"/>
  <c r="T212" i="5"/>
  <c r="V212" i="5"/>
  <c r="U212" i="5"/>
  <c r="X35" i="5"/>
  <c r="W35" i="5"/>
  <c r="V35" i="5"/>
  <c r="T35" i="5"/>
  <c r="U35" i="5"/>
  <c r="X58" i="5"/>
  <c r="W58" i="5"/>
  <c r="V58" i="5"/>
  <c r="U58" i="5"/>
  <c r="T58" i="5"/>
  <c r="T66" i="5"/>
  <c r="U66" i="5"/>
  <c r="W66" i="5"/>
  <c r="V66" i="5"/>
  <c r="U310" i="5"/>
  <c r="V310" i="5"/>
  <c r="W310" i="5"/>
  <c r="T310" i="5"/>
  <c r="W262" i="5"/>
  <c r="T262" i="5"/>
  <c r="U262" i="5"/>
  <c r="V262" i="5"/>
  <c r="X152" i="5"/>
  <c r="V152" i="5"/>
  <c r="W152" i="5"/>
  <c r="U152" i="5"/>
  <c r="T152" i="5"/>
  <c r="V89" i="5"/>
  <c r="W89" i="5"/>
  <c r="T89" i="5"/>
  <c r="U89" i="5"/>
  <c r="W178" i="5"/>
  <c r="T178" i="5"/>
  <c r="U178" i="5"/>
  <c r="V178" i="5"/>
  <c r="U250" i="5"/>
  <c r="V250" i="5"/>
  <c r="W250" i="5"/>
  <c r="T250" i="5"/>
  <c r="T163" i="5"/>
  <c r="U163" i="5"/>
  <c r="V163" i="5"/>
  <c r="W163" i="5"/>
  <c r="W85" i="5"/>
  <c r="T85" i="5"/>
  <c r="U85" i="5"/>
  <c r="V85" i="5"/>
  <c r="U20" i="5"/>
  <c r="V20" i="5"/>
  <c r="T20" i="5"/>
  <c r="W20" i="5"/>
  <c r="T153" i="5"/>
  <c r="U153" i="5"/>
  <c r="V153" i="5"/>
  <c r="W153" i="5"/>
  <c r="W110" i="5"/>
  <c r="T110" i="5"/>
  <c r="U110" i="5"/>
  <c r="V110" i="5"/>
  <c r="W86" i="5"/>
  <c r="T86" i="5"/>
  <c r="V86" i="5"/>
  <c r="U86" i="5"/>
  <c r="W122" i="5"/>
  <c r="V122" i="5"/>
  <c r="T122" i="5"/>
  <c r="U122" i="5"/>
  <c r="W242" i="5"/>
  <c r="T242" i="5"/>
  <c r="U242" i="5"/>
  <c r="V242" i="5"/>
  <c r="W372" i="5"/>
  <c r="T372" i="5"/>
  <c r="U372" i="5"/>
  <c r="V372" i="5"/>
  <c r="W255" i="5"/>
  <c r="T255" i="5"/>
  <c r="V255" i="5"/>
  <c r="U255" i="5"/>
  <c r="X455" i="5"/>
  <c r="W455" i="5"/>
  <c r="T455" i="5"/>
  <c r="V455" i="5"/>
  <c r="U455" i="5"/>
  <c r="X282" i="5"/>
  <c r="W282" i="5"/>
  <c r="T282" i="5"/>
  <c r="V282" i="5"/>
  <c r="U282" i="5"/>
  <c r="X303" i="5"/>
  <c r="V303" i="5"/>
  <c r="W303" i="5"/>
  <c r="T303" i="5"/>
  <c r="U303" i="5"/>
  <c r="U395" i="5"/>
  <c r="V395" i="5"/>
  <c r="T395" i="5"/>
  <c r="W395" i="5"/>
  <c r="V285" i="5"/>
  <c r="T285" i="5"/>
  <c r="U285" i="5"/>
  <c r="W285" i="5"/>
  <c r="W187" i="5"/>
  <c r="T187" i="5"/>
  <c r="V187" i="5"/>
  <c r="U187" i="5"/>
  <c r="T40" i="5"/>
  <c r="W40" i="5"/>
  <c r="U40" i="5"/>
  <c r="V40" i="5"/>
  <c r="V79" i="5"/>
  <c r="W79" i="5"/>
  <c r="U79" i="5"/>
  <c r="T79" i="5"/>
  <c r="W382" i="5"/>
  <c r="T382" i="5"/>
  <c r="V382" i="5"/>
  <c r="U382" i="5"/>
  <c r="X17" i="5"/>
  <c r="U17" i="5"/>
  <c r="V17" i="5"/>
  <c r="T17" i="5"/>
  <c r="W17" i="5"/>
  <c r="X235" i="5"/>
  <c r="W235" i="5"/>
  <c r="T235" i="5"/>
  <c r="U235" i="5"/>
  <c r="V235" i="5"/>
  <c r="U211" i="5"/>
  <c r="V211" i="5"/>
  <c r="T211" i="5"/>
  <c r="W211" i="5"/>
  <c r="U332" i="5"/>
  <c r="V332" i="5"/>
  <c r="T332" i="5"/>
  <c r="W332" i="5"/>
  <c r="V383" i="5"/>
  <c r="W383" i="5"/>
  <c r="T383" i="5"/>
  <c r="U383" i="5"/>
  <c r="V340" i="5"/>
  <c r="W340" i="5"/>
  <c r="U340" i="5"/>
  <c r="T340" i="5"/>
  <c r="W356" i="5"/>
  <c r="T356" i="5"/>
  <c r="U356" i="5"/>
  <c r="V356" i="5"/>
  <c r="U233" i="5"/>
  <c r="V233" i="5"/>
  <c r="T233" i="5"/>
  <c r="W233" i="5"/>
  <c r="V44" i="5"/>
  <c r="U44" i="5"/>
  <c r="W44" i="5"/>
  <c r="T44" i="5"/>
  <c r="W358" i="5"/>
  <c r="T358" i="5"/>
  <c r="V358" i="5"/>
  <c r="U358" i="5"/>
  <c r="U298" i="5"/>
  <c r="V298" i="5"/>
  <c r="T298" i="5"/>
  <c r="W298" i="5"/>
  <c r="W149" i="5"/>
  <c r="T149" i="5"/>
  <c r="U149" i="5"/>
  <c r="V149" i="5"/>
  <c r="W146" i="5"/>
  <c r="T146" i="5"/>
  <c r="U146" i="5"/>
  <c r="V146" i="5"/>
  <c r="U114" i="5"/>
  <c r="V114" i="5"/>
  <c r="T114" i="5"/>
  <c r="W114" i="5"/>
  <c r="V362" i="5"/>
  <c r="W362" i="5"/>
  <c r="T362" i="5"/>
  <c r="U362" i="5"/>
  <c r="V397" i="5"/>
  <c r="W397" i="5"/>
  <c r="U397" i="5"/>
  <c r="T397" i="5"/>
  <c r="U396" i="5"/>
  <c r="V396" i="5"/>
  <c r="W396" i="5"/>
  <c r="T396" i="5"/>
  <c r="X354" i="5"/>
  <c r="V354" i="5"/>
  <c r="W354" i="5"/>
  <c r="U354" i="5"/>
  <c r="T354" i="5"/>
  <c r="X348" i="5"/>
  <c r="T348" i="5"/>
  <c r="U348" i="5"/>
  <c r="V348" i="5"/>
  <c r="W348" i="5"/>
  <c r="X433" i="5"/>
  <c r="W433" i="5"/>
  <c r="T433" i="5"/>
  <c r="U433" i="5"/>
  <c r="V433" i="5"/>
  <c r="T82" i="5"/>
  <c r="U82" i="5"/>
  <c r="W82" i="5"/>
  <c r="V82" i="5"/>
  <c r="T381" i="5"/>
  <c r="U381" i="5"/>
  <c r="V381" i="5"/>
  <c r="W381" i="5"/>
  <c r="W230" i="5"/>
  <c r="T230" i="5"/>
  <c r="U230" i="5"/>
  <c r="V230" i="5"/>
  <c r="V188" i="5"/>
  <c r="W188" i="5"/>
  <c r="U188" i="5"/>
  <c r="T188" i="5"/>
  <c r="T432" i="5"/>
  <c r="U432" i="5"/>
  <c r="W432" i="5"/>
  <c r="V432" i="5"/>
  <c r="T15" i="5"/>
  <c r="U15" i="5"/>
  <c r="W15" i="5"/>
  <c r="V15" i="5"/>
  <c r="W421" i="5"/>
  <c r="T421" i="5"/>
  <c r="U421" i="5"/>
  <c r="V421" i="5"/>
  <c r="U311" i="5"/>
  <c r="V311" i="5"/>
  <c r="W311" i="5"/>
  <c r="T311" i="5"/>
  <c r="W141" i="5"/>
  <c r="T141" i="5"/>
  <c r="U141" i="5"/>
  <c r="V141" i="5"/>
  <c r="U380" i="5"/>
  <c r="V380" i="5"/>
  <c r="T380" i="5"/>
  <c r="W380" i="5"/>
  <c r="W76" i="5"/>
  <c r="T76" i="5"/>
  <c r="V76" i="5"/>
  <c r="U76" i="5"/>
  <c r="W331" i="5"/>
  <c r="T331" i="5"/>
  <c r="V331" i="5"/>
  <c r="U331" i="5"/>
  <c r="V18" i="5"/>
  <c r="W18" i="5"/>
  <c r="U18" i="5"/>
  <c r="T18" i="5"/>
  <c r="U284" i="5"/>
  <c r="T284" i="5"/>
  <c r="V284" i="5"/>
  <c r="W284" i="5"/>
  <c r="T240" i="5"/>
  <c r="U240" i="5"/>
  <c r="V240" i="5"/>
  <c r="W240" i="5"/>
  <c r="U265" i="5"/>
  <c r="V265" i="5"/>
  <c r="T265" i="5"/>
  <c r="W265" i="5"/>
  <c r="T268" i="5"/>
  <c r="U268" i="5"/>
  <c r="V268" i="5"/>
  <c r="W268" i="5"/>
  <c r="T121" i="5"/>
  <c r="W121" i="5"/>
  <c r="U121" i="5"/>
  <c r="V121" i="5"/>
  <c r="T72" i="5"/>
  <c r="U72" i="5"/>
  <c r="V72" i="5"/>
  <c r="W72" i="5"/>
  <c r="W154" i="5"/>
  <c r="T154" i="5"/>
  <c r="V154" i="5"/>
  <c r="U154" i="5"/>
  <c r="X9" i="5"/>
  <c r="U9" i="5"/>
  <c r="V9" i="5"/>
  <c r="T9" i="5"/>
  <c r="W9" i="5"/>
  <c r="T97" i="5"/>
  <c r="U97" i="5"/>
  <c r="V97" i="5"/>
  <c r="W97" i="5"/>
  <c r="W249" i="5"/>
  <c r="T249" i="5"/>
  <c r="U249" i="5"/>
  <c r="V249" i="5"/>
  <c r="T206" i="5"/>
  <c r="U206" i="5"/>
  <c r="W206" i="5"/>
  <c r="V206" i="5"/>
  <c r="T14" i="5"/>
  <c r="U14" i="5"/>
  <c r="V14" i="5"/>
  <c r="W14" i="5"/>
  <c r="V256" i="5"/>
  <c r="W256" i="5"/>
  <c r="T256" i="5"/>
  <c r="U256" i="5"/>
  <c r="X32" i="5"/>
  <c r="W32" i="5"/>
  <c r="T32" i="5"/>
  <c r="U32" i="5"/>
  <c r="V32" i="5"/>
  <c r="U279" i="5"/>
  <c r="V279" i="5"/>
  <c r="W279" i="5"/>
  <c r="T279" i="5"/>
  <c r="T48" i="5"/>
  <c r="V48" i="5"/>
  <c r="W48" i="5"/>
  <c r="U48" i="5"/>
  <c r="V33" i="5"/>
  <c r="W33" i="5"/>
  <c r="T33" i="5"/>
  <c r="U33" i="5"/>
  <c r="T30" i="5"/>
  <c r="U30" i="5"/>
  <c r="W30" i="5"/>
  <c r="V30" i="5"/>
  <c r="V343" i="5"/>
  <c r="W343" i="5"/>
  <c r="U343" i="5"/>
  <c r="T343" i="5"/>
  <c r="V57" i="5"/>
  <c r="T57" i="5"/>
  <c r="U57" i="5"/>
  <c r="W57" i="5"/>
  <c r="V410" i="5"/>
  <c r="W410" i="5"/>
  <c r="U410" i="5"/>
  <c r="X47" i="5"/>
  <c r="U47" i="5"/>
  <c r="T47" i="5"/>
  <c r="V47" i="5"/>
  <c r="W47" i="5"/>
  <c r="U190" i="5"/>
  <c r="V190" i="5"/>
  <c r="T190" i="5"/>
  <c r="W190" i="5"/>
  <c r="U46" i="5"/>
  <c r="T46" i="5"/>
  <c r="V46" i="5"/>
  <c r="W46" i="5"/>
  <c r="V426" i="5"/>
  <c r="W426" i="5"/>
  <c r="U426" i="5"/>
  <c r="T426" i="5"/>
  <c r="U4" i="5"/>
  <c r="V4" i="5"/>
  <c r="W4" i="5"/>
  <c r="T4" i="5"/>
  <c r="W189" i="5"/>
  <c r="V189" i="5"/>
  <c r="U189" i="5"/>
  <c r="T189" i="5"/>
  <c r="T192" i="5"/>
  <c r="U192" i="5"/>
  <c r="V192" i="5"/>
  <c r="W192" i="5"/>
  <c r="T423" i="5"/>
  <c r="U423" i="5"/>
  <c r="V423" i="5"/>
  <c r="W423" i="5"/>
  <c r="X422" i="5"/>
  <c r="U422" i="5"/>
  <c r="V422" i="5"/>
  <c r="W422" i="5"/>
  <c r="T422" i="5"/>
  <c r="X111" i="5"/>
  <c r="W111" i="5"/>
  <c r="T111" i="5"/>
  <c r="U111" i="5"/>
  <c r="V111" i="5"/>
  <c r="U385" i="5"/>
  <c r="V385" i="5"/>
  <c r="W385" i="5"/>
  <c r="T385" i="5"/>
  <c r="T390" i="5"/>
  <c r="U390" i="5"/>
  <c r="V390" i="5"/>
  <c r="W390" i="5"/>
  <c r="V104" i="5"/>
  <c r="W104" i="5"/>
  <c r="T104" i="5"/>
  <c r="U104" i="5"/>
  <c r="U328" i="5"/>
  <c r="V328" i="5"/>
  <c r="W328" i="5"/>
  <c r="T328" i="5"/>
  <c r="V94" i="5"/>
  <c r="U94" i="5"/>
  <c r="W94" i="5"/>
  <c r="T94" i="5"/>
  <c r="V176" i="5"/>
  <c r="W176" i="5"/>
  <c r="T176" i="5"/>
  <c r="U176" i="5"/>
  <c r="V99" i="5"/>
  <c r="W99" i="5"/>
  <c r="T99" i="5"/>
  <c r="U99" i="5"/>
  <c r="X377" i="5"/>
  <c r="T377" i="5"/>
  <c r="U377" i="5"/>
  <c r="V377" i="5"/>
  <c r="W377" i="5"/>
  <c r="T271" i="5"/>
  <c r="V271" i="5"/>
  <c r="W271" i="5"/>
  <c r="U271" i="5"/>
  <c r="X214" i="5"/>
  <c r="U214" i="5"/>
  <c r="V214" i="5"/>
  <c r="T214" i="5"/>
  <c r="W214" i="5"/>
  <c r="U353" i="5"/>
  <c r="V353" i="5"/>
  <c r="T353" i="5"/>
  <c r="W353" i="5"/>
  <c r="W117" i="5"/>
  <c r="T117" i="5"/>
  <c r="V117" i="5"/>
  <c r="U117" i="5"/>
  <c r="U38" i="5"/>
  <c r="T38" i="5"/>
  <c r="V38" i="5"/>
  <c r="W38" i="5"/>
  <c r="U60" i="5"/>
  <c r="W60" i="5"/>
  <c r="T60" i="5"/>
  <c r="V60" i="5"/>
  <c r="T67" i="5"/>
  <c r="U67" i="5"/>
  <c r="V67" i="5"/>
  <c r="W67" i="5"/>
  <c r="X220" i="5"/>
  <c r="W220" i="5"/>
  <c r="T220" i="5"/>
  <c r="U220" i="5"/>
  <c r="V220" i="5"/>
  <c r="T425" i="5"/>
  <c r="U425" i="5"/>
  <c r="V425" i="5"/>
  <c r="W425" i="5"/>
  <c r="T326" i="5"/>
  <c r="U326" i="5"/>
  <c r="V326" i="5"/>
  <c r="W326" i="5"/>
  <c r="T92" i="5"/>
  <c r="W92" i="5"/>
  <c r="U92" i="5"/>
  <c r="V92" i="5"/>
  <c r="T132" i="5"/>
  <c r="U132" i="5"/>
  <c r="V132" i="5"/>
  <c r="W132" i="5"/>
  <c r="V290" i="5"/>
  <c r="T290" i="5"/>
  <c r="U290" i="5"/>
  <c r="W290" i="5"/>
  <c r="W449" i="5"/>
  <c r="T449" i="5"/>
  <c r="U449" i="5"/>
  <c r="V449" i="5"/>
  <c r="W24" i="5"/>
  <c r="T24" i="5"/>
  <c r="V24" i="5"/>
  <c r="U24" i="5"/>
  <c r="W160" i="5"/>
  <c r="T160" i="5"/>
  <c r="U160" i="5"/>
  <c r="V160" i="5"/>
  <c r="T81" i="5"/>
  <c r="U81" i="5"/>
  <c r="W81" i="5"/>
  <c r="V81" i="5"/>
  <c r="X88" i="5"/>
  <c r="T88" i="5"/>
  <c r="U88" i="5"/>
  <c r="V88" i="5"/>
  <c r="W88" i="5"/>
  <c r="X123" i="5"/>
  <c r="V123" i="5"/>
  <c r="U123" i="5"/>
  <c r="W123" i="5"/>
  <c r="T123" i="5"/>
  <c r="T245" i="5"/>
  <c r="U245" i="5"/>
  <c r="V245" i="5"/>
  <c r="W245" i="5"/>
  <c r="T374" i="5"/>
  <c r="U374" i="5"/>
  <c r="V374" i="5"/>
  <c r="W374" i="5"/>
  <c r="W257" i="5"/>
  <c r="T257" i="5"/>
  <c r="U257" i="5"/>
  <c r="V257" i="5"/>
  <c r="X288" i="5"/>
  <c r="W288" i="5"/>
  <c r="T288" i="5"/>
  <c r="U288" i="5"/>
  <c r="V288" i="5"/>
  <c r="X407" i="5"/>
  <c r="U407" i="5"/>
  <c r="V407" i="5"/>
  <c r="T407" i="5"/>
  <c r="W407" i="5"/>
  <c r="X96" i="5"/>
  <c r="W96" i="5"/>
  <c r="T96" i="5"/>
  <c r="V96" i="5"/>
  <c r="U96" i="5"/>
  <c r="T236" i="5"/>
  <c r="U236" i="5"/>
  <c r="W236" i="5"/>
  <c r="V236" i="5"/>
  <c r="T68" i="5"/>
  <c r="U68" i="5"/>
  <c r="W68" i="5"/>
  <c r="V68" i="5"/>
  <c r="U55" i="5"/>
  <c r="T55" i="5"/>
  <c r="V55" i="5"/>
  <c r="W55" i="5"/>
  <c r="X205" i="5"/>
  <c r="V205" i="5"/>
  <c r="W205" i="5"/>
  <c r="T205" i="5"/>
  <c r="U205" i="5"/>
  <c r="X186" i="5"/>
  <c r="W186" i="5"/>
  <c r="T186" i="5"/>
  <c r="U186" i="5"/>
  <c r="V186" i="5"/>
  <c r="X106" i="5"/>
  <c r="V106" i="5"/>
  <c r="W106" i="5"/>
  <c r="T106" i="5"/>
  <c r="U106" i="5"/>
  <c r="V300" i="5"/>
  <c r="W300" i="5"/>
  <c r="U300" i="5"/>
  <c r="T300" i="5"/>
  <c r="T226" i="5"/>
  <c r="U226" i="5"/>
  <c r="V226" i="5"/>
  <c r="W226" i="5"/>
  <c r="U198" i="5"/>
  <c r="V198" i="5"/>
  <c r="W198" i="5"/>
  <c r="T198" i="5"/>
  <c r="X355" i="5"/>
  <c r="U355" i="5"/>
  <c r="V355" i="5"/>
  <c r="T355" i="5"/>
  <c r="W355" i="5"/>
  <c r="X84" i="5"/>
  <c r="U84" i="5"/>
  <c r="V84" i="5"/>
  <c r="T84" i="5"/>
  <c r="W84" i="5"/>
  <c r="W335" i="5"/>
  <c r="T335" i="5"/>
  <c r="U335" i="5"/>
  <c r="V335" i="5"/>
  <c r="T367" i="5"/>
  <c r="U367" i="5"/>
  <c r="V367" i="5"/>
  <c r="W367" i="5"/>
  <c r="X77" i="5"/>
  <c r="W77" i="5"/>
  <c r="T77" i="5"/>
  <c r="U77" i="5"/>
  <c r="V77" i="5"/>
  <c r="U213" i="5"/>
  <c r="V213" i="5"/>
  <c r="W213" i="5"/>
  <c r="T213" i="5"/>
  <c r="U369" i="5"/>
  <c r="V369" i="5"/>
  <c r="W369" i="5"/>
  <c r="T369" i="5"/>
  <c r="T424" i="5"/>
  <c r="U424" i="5"/>
  <c r="V424" i="5"/>
  <c r="W424" i="5"/>
  <c r="V115" i="5"/>
  <c r="W115" i="5"/>
  <c r="U115" i="5"/>
  <c r="T115" i="5"/>
  <c r="X394" i="5"/>
  <c r="T394" i="5"/>
  <c r="U394" i="5"/>
  <c r="V394" i="5"/>
  <c r="W394" i="5"/>
  <c r="W341" i="5"/>
  <c r="T341" i="5"/>
  <c r="U341" i="5"/>
  <c r="V341" i="5"/>
  <c r="V139" i="5"/>
  <c r="W139" i="5"/>
  <c r="U139" i="5"/>
  <c r="T139" i="5"/>
  <c r="X415" i="5"/>
  <c r="V415" i="5"/>
  <c r="W415" i="5"/>
  <c r="U415" i="5"/>
  <c r="T415" i="5"/>
  <c r="V296" i="5"/>
  <c r="W296" i="5"/>
  <c r="U296" i="5"/>
  <c r="T296" i="5"/>
  <c r="T393" i="5"/>
  <c r="U393" i="5"/>
  <c r="V393" i="5"/>
  <c r="W393" i="5"/>
  <c r="X276" i="5"/>
  <c r="W276" i="5"/>
  <c r="T276" i="5"/>
  <c r="V276" i="5"/>
  <c r="U276" i="5"/>
  <c r="V27" i="5"/>
  <c r="W27" i="5"/>
  <c r="T27" i="5"/>
  <c r="U27" i="5"/>
  <c r="X224" i="5"/>
  <c r="U224" i="5"/>
  <c r="T224" i="5"/>
  <c r="V224" i="5"/>
  <c r="W224" i="5"/>
  <c r="U345" i="5"/>
  <c r="V345" i="5"/>
  <c r="W345" i="5"/>
  <c r="T345" i="5"/>
  <c r="T22" i="5"/>
  <c r="U22" i="5"/>
  <c r="W22" i="5"/>
  <c r="V22" i="5"/>
  <c r="W182" i="5"/>
  <c r="T182" i="5"/>
  <c r="V182" i="5"/>
  <c r="U182" i="5"/>
  <c r="X215" i="5"/>
  <c r="U215" i="5"/>
  <c r="V215" i="5"/>
  <c r="W215" i="5"/>
  <c r="T215" i="5"/>
  <c r="X338" i="5"/>
  <c r="V338" i="5"/>
  <c r="W338" i="5"/>
  <c r="T338" i="5"/>
  <c r="U338" i="5"/>
  <c r="U157" i="5"/>
  <c r="V157" i="5"/>
  <c r="T157" i="5"/>
  <c r="W157" i="5"/>
  <c r="V392" i="5"/>
  <c r="W392" i="5"/>
  <c r="U392" i="5"/>
  <c r="T392" i="5"/>
  <c r="T45" i="5"/>
  <c r="V45" i="5"/>
  <c r="W45" i="5"/>
  <c r="U45" i="5"/>
  <c r="V408" i="5"/>
  <c r="T408" i="5"/>
  <c r="U408" i="5"/>
  <c r="W408" i="5"/>
  <c r="U294" i="5"/>
  <c r="V294" i="5"/>
  <c r="W294" i="5"/>
  <c r="T294" i="5"/>
  <c r="W134" i="5"/>
  <c r="T134" i="5"/>
  <c r="V134" i="5"/>
  <c r="U134" i="5"/>
  <c r="W147" i="5"/>
  <c r="T147" i="5"/>
  <c r="U147" i="5"/>
  <c r="V147" i="5"/>
  <c r="U158" i="5"/>
  <c r="V158" i="5"/>
  <c r="T158" i="5"/>
  <c r="W158" i="5"/>
  <c r="U209" i="5"/>
  <c r="V209" i="5"/>
  <c r="T209" i="5"/>
  <c r="W209" i="5"/>
  <c r="X26" i="5"/>
  <c r="V26" i="5"/>
  <c r="W26" i="5"/>
  <c r="U26" i="5"/>
  <c r="T26" i="5"/>
  <c r="T258" i="5"/>
  <c r="U258" i="5"/>
  <c r="V258" i="5"/>
  <c r="W258" i="5"/>
  <c r="V246" i="5"/>
  <c r="W246" i="5"/>
  <c r="U246" i="5"/>
  <c r="T246" i="5"/>
  <c r="T312" i="5"/>
  <c r="U312" i="5"/>
  <c r="V312" i="5"/>
  <c r="W312" i="5"/>
  <c r="X379" i="5"/>
  <c r="T379" i="5"/>
  <c r="U379" i="5"/>
  <c r="V379" i="5"/>
  <c r="W379" i="5"/>
  <c r="V129" i="5"/>
  <c r="W129" i="5"/>
  <c r="U129" i="5"/>
  <c r="T129" i="5"/>
  <c r="T238" i="5"/>
  <c r="U238" i="5"/>
  <c r="V238" i="5"/>
  <c r="W238" i="5"/>
  <c r="W16" i="5"/>
  <c r="T16" i="5"/>
  <c r="U16" i="5"/>
  <c r="V16" i="5"/>
  <c r="W87" i="5"/>
  <c r="T87" i="5"/>
  <c r="U87" i="5"/>
  <c r="V87" i="5"/>
  <c r="W307" i="5"/>
  <c r="T307" i="5"/>
  <c r="V307" i="5"/>
  <c r="U307" i="5"/>
  <c r="X95" i="5"/>
  <c r="T95" i="5"/>
  <c r="U95" i="5"/>
  <c r="V95" i="5"/>
  <c r="W95" i="5"/>
  <c r="V373" i="5"/>
  <c r="W373" i="5"/>
  <c r="U373" i="5"/>
  <c r="T373" i="5"/>
  <c r="X404" i="5"/>
  <c r="T404" i="5"/>
  <c r="U404" i="5"/>
  <c r="W404" i="5"/>
  <c r="V404" i="5"/>
  <c r="U444" i="5"/>
  <c r="V444" i="5"/>
  <c r="T444" i="5"/>
  <c r="W444" i="5"/>
  <c r="W406" i="5"/>
  <c r="T406" i="5"/>
  <c r="U406" i="5"/>
  <c r="V406" i="5"/>
  <c r="V49" i="5"/>
  <c r="T49" i="5"/>
  <c r="U49" i="5"/>
  <c r="W49" i="5"/>
  <c r="U39" i="5"/>
  <c r="V39" i="5"/>
  <c r="W39" i="5"/>
  <c r="T39" i="5"/>
  <c r="T229" i="5"/>
  <c r="U229" i="5"/>
  <c r="V229" i="5"/>
  <c r="W229" i="5"/>
  <c r="W50" i="5"/>
  <c r="T50" i="5"/>
  <c r="U50" i="5"/>
  <c r="V50" i="5"/>
  <c r="V409" i="5"/>
  <c r="W409" i="5"/>
  <c r="T409" i="5"/>
  <c r="U409" i="5"/>
  <c r="T417" i="5"/>
  <c r="U417" i="5"/>
  <c r="W417" i="5"/>
  <c r="V417" i="5"/>
  <c r="T252" i="5"/>
  <c r="U252" i="5"/>
  <c r="W252" i="5"/>
  <c r="V252" i="5"/>
  <c r="V227" i="5"/>
  <c r="W227" i="5"/>
  <c r="T227" i="5"/>
  <c r="U227" i="5"/>
  <c r="V41" i="5"/>
  <c r="U41" i="5"/>
  <c r="W41" i="5"/>
  <c r="T41" i="5"/>
  <c r="U445" i="5"/>
  <c r="V445" i="5"/>
  <c r="W445" i="5"/>
  <c r="T445" i="5"/>
  <c r="V167" i="5"/>
  <c r="W167" i="5"/>
  <c r="T167" i="5"/>
  <c r="U167" i="5"/>
  <c r="V309" i="5"/>
  <c r="W309" i="5"/>
  <c r="U309" i="5"/>
  <c r="T309" i="5"/>
  <c r="T387" i="5"/>
  <c r="U387" i="5"/>
  <c r="V387" i="5"/>
  <c r="W387" i="5"/>
  <c r="V71" i="5"/>
  <c r="W71" i="5"/>
  <c r="T71" i="5"/>
  <c r="U71" i="5"/>
  <c r="T441" i="5"/>
  <c r="V441" i="5"/>
  <c r="W441" i="5"/>
  <c r="U441" i="5"/>
  <c r="V443" i="5"/>
  <c r="W443" i="5"/>
  <c r="T443" i="5"/>
  <c r="U443" i="5"/>
  <c r="U171" i="5"/>
  <c r="V171" i="5"/>
  <c r="W171" i="5"/>
  <c r="T171" i="5"/>
  <c r="X170" i="5"/>
  <c r="U170" i="5"/>
  <c r="V170" i="5"/>
  <c r="T170" i="5"/>
  <c r="W170" i="5"/>
  <c r="X306" i="5"/>
  <c r="W306" i="5"/>
  <c r="T306" i="5"/>
  <c r="V306" i="5"/>
  <c r="U306" i="5"/>
  <c r="V386" i="5"/>
  <c r="W386" i="5"/>
  <c r="U386" i="5"/>
  <c r="T386" i="5"/>
  <c r="V101" i="5"/>
  <c r="W101" i="5"/>
  <c r="T101" i="5"/>
  <c r="U101" i="5"/>
  <c r="T143" i="5"/>
  <c r="U143" i="5"/>
  <c r="W143" i="5"/>
  <c r="V143" i="5"/>
  <c r="W91" i="5"/>
  <c r="T91" i="5"/>
  <c r="U91" i="5"/>
  <c r="V91" i="5"/>
  <c r="V177" i="5"/>
  <c r="W177" i="5"/>
  <c r="T177" i="5"/>
  <c r="U177" i="5"/>
  <c r="T263" i="5"/>
  <c r="U263" i="5"/>
  <c r="W263" i="5"/>
  <c r="V263" i="5"/>
  <c r="V133" i="5"/>
  <c r="W133" i="5"/>
  <c r="T133" i="5"/>
  <c r="U133" i="5"/>
  <c r="X378" i="5"/>
  <c r="W378" i="5"/>
  <c r="T378" i="5"/>
  <c r="U378" i="5"/>
  <c r="V378" i="5"/>
  <c r="W456" i="5"/>
  <c r="U456" i="5"/>
  <c r="V456" i="5"/>
  <c r="T456" i="5"/>
  <c r="X439" i="5"/>
  <c r="T439" i="5"/>
  <c r="U439" i="5"/>
  <c r="V439" i="5"/>
  <c r="W439" i="5"/>
  <c r="T333" i="5"/>
  <c r="U333" i="5"/>
  <c r="V333" i="5"/>
  <c r="W333" i="5"/>
  <c r="U181" i="5"/>
  <c r="V181" i="5"/>
  <c r="T181" i="5"/>
  <c r="W181" i="5"/>
  <c r="T6" i="5"/>
  <c r="U6" i="5"/>
  <c r="V6" i="5"/>
  <c r="W6" i="5"/>
  <c r="W43" i="5"/>
  <c r="U43" i="5"/>
  <c r="V43" i="5"/>
  <c r="T43" i="5"/>
  <c r="T62" i="5"/>
  <c r="V62" i="5"/>
  <c r="W62" i="5"/>
  <c r="U62" i="5"/>
  <c r="W419" i="5"/>
  <c r="T419" i="5"/>
  <c r="U419" i="5"/>
  <c r="V419" i="5"/>
  <c r="T194" i="5"/>
  <c r="U194" i="5"/>
  <c r="V194" i="5"/>
  <c r="W194" i="5"/>
  <c r="T418" i="5"/>
  <c r="U418" i="5"/>
  <c r="W418" i="5"/>
  <c r="V418" i="5"/>
  <c r="T161" i="5"/>
  <c r="U161" i="5"/>
  <c r="W161" i="5"/>
  <c r="V161" i="5"/>
  <c r="V281" i="5"/>
  <c r="W281" i="5"/>
  <c r="T281" i="5"/>
  <c r="U281" i="5"/>
  <c r="V266" i="5"/>
  <c r="W266" i="5"/>
  <c r="U266" i="5"/>
  <c r="T266" i="5"/>
  <c r="X112" i="5"/>
  <c r="U112" i="5"/>
  <c r="V112" i="5"/>
  <c r="T112" i="5"/>
  <c r="W112" i="5"/>
  <c r="X234" i="5"/>
  <c r="V234" i="5"/>
  <c r="W234" i="5"/>
  <c r="U234" i="5"/>
  <c r="T234" i="5"/>
  <c r="V109" i="5"/>
  <c r="W109" i="5"/>
  <c r="U109" i="5"/>
  <c r="T109" i="5"/>
  <c r="V327" i="5"/>
  <c r="W327" i="5"/>
  <c r="T327" i="5"/>
  <c r="U327" i="5"/>
  <c r="U118" i="5"/>
  <c r="V118" i="5"/>
  <c r="T118" i="5"/>
  <c r="W118" i="5"/>
  <c r="V90" i="5"/>
  <c r="W90" i="5"/>
  <c r="T90" i="5"/>
  <c r="U90" i="5"/>
  <c r="V131" i="5"/>
  <c r="W131" i="5"/>
  <c r="T131" i="5"/>
  <c r="U131" i="5"/>
  <c r="X248" i="5"/>
  <c r="U248" i="5"/>
  <c r="V248" i="5"/>
  <c r="T248" i="5"/>
  <c r="W248" i="5"/>
  <c r="T376" i="5"/>
  <c r="U376" i="5"/>
  <c r="V376" i="5"/>
  <c r="W376" i="5"/>
  <c r="U287" i="5"/>
  <c r="V287" i="5"/>
  <c r="W287" i="5"/>
  <c r="T287" i="5"/>
  <c r="X277" i="5"/>
  <c r="T277" i="5"/>
  <c r="U277" i="5"/>
  <c r="V277" i="5"/>
  <c r="W277" i="5"/>
  <c r="X405" i="5"/>
  <c r="U405" i="5"/>
  <c r="V405" i="5"/>
  <c r="T405" i="5"/>
  <c r="W405" i="5"/>
  <c r="T98" i="5"/>
  <c r="U98" i="5"/>
  <c r="V98" i="5"/>
  <c r="W98" i="5"/>
  <c r="U197" i="5"/>
  <c r="V197" i="5"/>
  <c r="T197" i="5"/>
  <c r="W197" i="5"/>
  <c r="V63" i="5"/>
  <c r="W63" i="5"/>
  <c r="T63" i="5"/>
  <c r="U63" i="5"/>
  <c r="X342" i="5"/>
  <c r="W342" i="5"/>
  <c r="T342" i="5"/>
  <c r="U342" i="5"/>
  <c r="V342" i="5"/>
  <c r="X225" i="5"/>
  <c r="U225" i="5"/>
  <c r="V225" i="5"/>
  <c r="W225" i="5"/>
  <c r="T225" i="5"/>
  <c r="U28" i="5"/>
  <c r="V28" i="5"/>
  <c r="W28" i="5"/>
  <c r="T28" i="5"/>
  <c r="X164" i="5"/>
  <c r="T164" i="5"/>
  <c r="U164" i="5"/>
  <c r="V164" i="5"/>
  <c r="W164" i="5"/>
  <c r="X200" i="5"/>
  <c r="V200" i="5"/>
  <c r="W200" i="5"/>
  <c r="T200" i="5"/>
  <c r="U200" i="5"/>
  <c r="W361" i="5"/>
  <c r="T361" i="5"/>
  <c r="U361" i="5"/>
  <c r="V361" i="5"/>
  <c r="U260" i="5"/>
  <c r="V260" i="5"/>
  <c r="T260" i="5"/>
  <c r="W260" i="5"/>
  <c r="V159" i="5"/>
  <c r="W159" i="5"/>
  <c r="U159" i="5"/>
  <c r="T159" i="5"/>
  <c r="V83" i="5"/>
  <c r="W83" i="5"/>
  <c r="U83" i="5"/>
  <c r="T83" i="5"/>
  <c r="W165" i="5"/>
  <c r="T165" i="5"/>
  <c r="U165" i="5"/>
  <c r="V165" i="5"/>
  <c r="X203" i="5"/>
  <c r="U203" i="5"/>
  <c r="V203" i="5"/>
  <c r="W203" i="5"/>
  <c r="T203" i="5"/>
  <c r="V384" i="5"/>
  <c r="W384" i="5"/>
  <c r="T384" i="5"/>
  <c r="U384" i="5"/>
  <c r="X179" i="5"/>
  <c r="T179" i="5"/>
  <c r="U179" i="5"/>
  <c r="V179" i="5"/>
  <c r="W179" i="5"/>
  <c r="W148" i="5"/>
  <c r="T148" i="5"/>
  <c r="U148" i="5"/>
  <c r="V148" i="5"/>
  <c r="X78" i="5"/>
  <c r="W78" i="5"/>
  <c r="T78" i="5"/>
  <c r="U78" i="5"/>
  <c r="V78" i="5"/>
  <c r="U136" i="5"/>
  <c r="V136" i="5"/>
  <c r="T136" i="5"/>
  <c r="W136" i="5"/>
  <c r="X31" i="5"/>
  <c r="T31" i="5"/>
  <c r="U31" i="5"/>
  <c r="V31" i="5"/>
  <c r="W31" i="5"/>
  <c r="U316" i="5"/>
  <c r="V316" i="5"/>
  <c r="T316" i="5"/>
  <c r="W316" i="5"/>
  <c r="U347" i="5"/>
  <c r="V347" i="5"/>
  <c r="T347" i="5"/>
  <c r="W347" i="5"/>
  <c r="X223" i="5"/>
  <c r="V223" i="5"/>
  <c r="W223" i="5"/>
  <c r="U223" i="5"/>
  <c r="T223" i="5"/>
  <c r="T344" i="5"/>
  <c r="U344" i="5"/>
  <c r="V344" i="5"/>
  <c r="W344" i="5"/>
  <c r="U446" i="5"/>
  <c r="V446" i="5"/>
  <c r="T446" i="5"/>
  <c r="W446" i="5"/>
  <c r="X434" i="5"/>
  <c r="T434" i="5"/>
  <c r="U434" i="5"/>
  <c r="V434" i="5"/>
  <c r="W434" i="5"/>
  <c r="X140" i="5"/>
  <c r="W140" i="5"/>
  <c r="T140" i="5"/>
  <c r="U140" i="5"/>
  <c r="V140" i="5"/>
  <c r="W451" i="5"/>
  <c r="T451" i="5"/>
  <c r="U451" i="5"/>
  <c r="V451" i="5"/>
  <c r="X204" i="5"/>
  <c r="W204" i="5"/>
  <c r="T204" i="5"/>
  <c r="U204" i="5"/>
  <c r="V204" i="5"/>
  <c r="X447" i="5"/>
  <c r="V447" i="5"/>
  <c r="W447" i="5"/>
  <c r="U447" i="5"/>
  <c r="T447" i="5"/>
  <c r="V137" i="5"/>
  <c r="W137" i="5"/>
  <c r="U137" i="5"/>
  <c r="T137" i="5"/>
  <c r="X202" i="5"/>
  <c r="W202" i="5"/>
  <c r="T202" i="5"/>
  <c r="U202" i="5"/>
  <c r="V202" i="5"/>
  <c r="W352" i="5"/>
  <c r="T352" i="5"/>
  <c r="U352" i="5"/>
  <c r="V352" i="5"/>
  <c r="W29" i="5"/>
  <c r="T29" i="5"/>
  <c r="U29" i="5"/>
  <c r="V29" i="5"/>
  <c r="W349" i="5"/>
  <c r="T349" i="5"/>
  <c r="U349" i="5"/>
  <c r="V349" i="5"/>
  <c r="T366" i="5"/>
  <c r="U366" i="5"/>
  <c r="V366" i="5"/>
  <c r="W366" i="5"/>
  <c r="X273" i="5"/>
  <c r="V273" i="5"/>
  <c r="W273" i="5"/>
  <c r="U273" i="5"/>
  <c r="T273" i="5"/>
  <c r="T454" i="5"/>
  <c r="U454" i="5"/>
  <c r="V454" i="5"/>
  <c r="W454" i="5"/>
  <c r="U391" i="5"/>
  <c r="V391" i="5"/>
  <c r="T391" i="5"/>
  <c r="W391" i="5"/>
  <c r="T116" i="5"/>
  <c r="U116" i="5"/>
  <c r="V116" i="5"/>
  <c r="W116" i="5"/>
  <c r="X359" i="5"/>
  <c r="W359" i="5"/>
  <c r="T359" i="5"/>
  <c r="U359" i="5"/>
  <c r="V359" i="5"/>
  <c r="W34" i="5"/>
  <c r="U34" i="5"/>
  <c r="V34" i="5"/>
  <c r="T34" i="5"/>
  <c r="U346" i="5"/>
  <c r="V346" i="5"/>
  <c r="W346" i="5"/>
  <c r="T346" i="5"/>
  <c r="T70" i="5"/>
  <c r="U70" i="5"/>
  <c r="V70" i="5"/>
  <c r="W70" i="5"/>
  <c r="T23" i="5"/>
  <c r="U23" i="5"/>
  <c r="V23" i="5"/>
  <c r="W23" i="5"/>
  <c r="V336" i="5"/>
  <c r="W336" i="5"/>
  <c r="T336" i="5"/>
  <c r="U336" i="5"/>
  <c r="V127" i="5"/>
  <c r="W127" i="5"/>
  <c r="U127" i="5"/>
  <c r="T127" i="5"/>
  <c r="X283" i="5"/>
  <c r="V283" i="5"/>
  <c r="T283" i="5"/>
  <c r="U283" i="5"/>
  <c r="W283" i="5"/>
  <c r="W5" i="5"/>
  <c r="T5" i="5"/>
  <c r="U5" i="5"/>
  <c r="V5" i="5"/>
  <c r="G127" i="10"/>
  <c r="G124" i="10"/>
  <c r="G125" i="10"/>
  <c r="G119" i="10"/>
  <c r="G142" i="10"/>
  <c r="G133" i="10"/>
  <c r="X416" i="5"/>
  <c r="Q76" i="3"/>
  <c r="Q77" i="3"/>
  <c r="Q40" i="3"/>
  <c r="P40" i="3" s="1"/>
  <c r="O12" i="3"/>
  <c r="P12" i="3" s="1"/>
  <c r="Q12" i="3"/>
  <c r="Q21" i="3"/>
  <c r="Q51" i="3"/>
  <c r="Q59" i="3"/>
  <c r="Q70" i="3"/>
  <c r="Q50" i="3"/>
  <c r="Q22" i="3"/>
  <c r="Q52" i="3"/>
  <c r="Q60" i="3"/>
  <c r="Q23" i="3"/>
  <c r="Q31" i="3"/>
  <c r="F7" i="19" s="1"/>
  <c r="Q42" i="3"/>
  <c r="Q53" i="3"/>
  <c r="Q61" i="3"/>
  <c r="Q36" i="3"/>
  <c r="Q32" i="3"/>
  <c r="F11" i="19" s="1"/>
  <c r="Q43" i="3"/>
  <c r="Q62" i="3"/>
  <c r="Q58" i="3"/>
  <c r="O17" i="3"/>
  <c r="Q17" i="3"/>
  <c r="Q5" i="3"/>
  <c r="Q33" i="3"/>
  <c r="Q44" i="3"/>
  <c r="Q55" i="3"/>
  <c r="Q63" i="3"/>
  <c r="Q66" i="3"/>
  <c r="Q15" i="3"/>
  <c r="O15" i="3"/>
  <c r="Q6" i="3"/>
  <c r="Q34" i="3"/>
  <c r="Q45" i="3"/>
  <c r="Q56" i="3"/>
  <c r="Q64" i="3"/>
  <c r="Q19" i="3"/>
  <c r="Q35" i="3"/>
  <c r="Q49" i="3"/>
  <c r="Q57" i="3"/>
  <c r="Q65" i="3"/>
  <c r="AL480" i="17"/>
  <c r="AL482" i="17" s="1"/>
  <c r="AL488" i="17" s="1"/>
  <c r="AL497" i="17" s="1"/>
  <c r="AL500" i="17" s="1"/>
  <c r="G692" i="10"/>
  <c r="G484" i="10"/>
  <c r="G516" i="10"/>
  <c r="G71" i="10"/>
  <c r="G360" i="10"/>
  <c r="G340" i="10"/>
  <c r="G319" i="10"/>
  <c r="G297" i="10"/>
  <c r="G269" i="10"/>
  <c r="G420" i="10"/>
  <c r="G436" i="10"/>
  <c r="G279" i="10"/>
  <c r="G465" i="10"/>
  <c r="G459" i="10"/>
  <c r="G92" i="10"/>
  <c r="G79" i="10"/>
  <c r="G444" i="10"/>
  <c r="G318" i="10"/>
  <c r="G368" i="10"/>
  <c r="G434" i="10"/>
  <c r="G405" i="10"/>
  <c r="G428" i="10"/>
  <c r="G719" i="10"/>
  <c r="G856" i="10"/>
  <c r="G805" i="10"/>
  <c r="G733" i="10"/>
  <c r="G711" i="10"/>
  <c r="G846" i="10"/>
  <c r="G748" i="10"/>
  <c r="G714" i="10"/>
  <c r="G894" i="10"/>
  <c r="G787" i="10"/>
  <c r="G707" i="10"/>
  <c r="G36" i="10"/>
  <c r="G120" i="10"/>
  <c r="G511" i="10"/>
  <c r="G16" i="10"/>
  <c r="G861" i="10"/>
  <c r="G836" i="10"/>
  <c r="G904" i="10"/>
  <c r="G155" i="10"/>
  <c r="G529" i="10"/>
  <c r="G772" i="10"/>
  <c r="G234" i="10"/>
  <c r="G523" i="10"/>
  <c r="G716" i="10"/>
  <c r="G824" i="10"/>
  <c r="G54" i="10"/>
  <c r="G729" i="10"/>
  <c r="G796" i="10"/>
  <c r="G860" i="10"/>
  <c r="G706" i="10"/>
  <c r="G766" i="10"/>
  <c r="G487" i="10"/>
  <c r="G593" i="10"/>
  <c r="G564" i="10"/>
  <c r="G490" i="10"/>
  <c r="G658" i="10"/>
  <c r="G616" i="10"/>
  <c r="G696" i="10"/>
  <c r="G610" i="10"/>
  <c r="G599" i="10"/>
  <c r="G573" i="10"/>
  <c r="G654" i="10"/>
  <c r="G524" i="10"/>
  <c r="G650" i="10"/>
  <c r="G693" i="10"/>
  <c r="G631" i="10"/>
  <c r="G590" i="10"/>
  <c r="G600" i="10"/>
  <c r="G496" i="10"/>
  <c r="G901" i="10"/>
  <c r="G218" i="10"/>
  <c r="G540" i="10"/>
  <c r="G152" i="10"/>
  <c r="G30" i="10"/>
  <c r="G33" i="10"/>
  <c r="G144" i="10"/>
  <c r="G217" i="10"/>
  <c r="G517" i="10"/>
  <c r="G285" i="10"/>
  <c r="G75" i="10"/>
  <c r="G287" i="10"/>
  <c r="G322" i="10"/>
  <c r="G266" i="10"/>
  <c r="G271" i="10"/>
  <c r="G330" i="10"/>
  <c r="G268" i="10"/>
  <c r="G415" i="10"/>
  <c r="G304" i="10"/>
  <c r="G463" i="10"/>
  <c r="G88" i="10"/>
  <c r="G359" i="10"/>
  <c r="G382" i="10"/>
  <c r="G427" i="10"/>
  <c r="G303" i="10"/>
  <c r="G337" i="10"/>
  <c r="G411" i="10"/>
  <c r="G298" i="10"/>
  <c r="G403" i="10"/>
  <c r="G756" i="10"/>
  <c r="G823" i="10"/>
  <c r="G871" i="10"/>
  <c r="G839" i="10"/>
  <c r="G780" i="10"/>
  <c r="G709" i="10"/>
  <c r="G782" i="10"/>
  <c r="G751" i="10"/>
  <c r="G898" i="10"/>
  <c r="G821" i="10"/>
  <c r="G739" i="10"/>
  <c r="G35" i="10"/>
  <c r="G134" i="10"/>
  <c r="G135" i="10"/>
  <c r="G214" i="10"/>
  <c r="G538" i="10"/>
  <c r="G728" i="10"/>
  <c r="G703" i="10"/>
  <c r="G896" i="10"/>
  <c r="G762" i="10"/>
  <c r="G808" i="10"/>
  <c r="G527" i="10"/>
  <c r="G232" i="10"/>
  <c r="G753" i="10"/>
  <c r="G857" i="10"/>
  <c r="G242" i="10"/>
  <c r="G727" i="10"/>
  <c r="G830" i="10"/>
  <c r="G233" i="10"/>
  <c r="G773" i="10"/>
  <c r="G802" i="10"/>
  <c r="G607" i="10"/>
  <c r="G639" i="10"/>
  <c r="G625" i="10"/>
  <c r="G498" i="10"/>
  <c r="G9" i="10"/>
  <c r="G694" i="10"/>
  <c r="G636" i="10"/>
  <c r="G633" i="10"/>
  <c r="G628" i="10"/>
  <c r="G670" i="10"/>
  <c r="G661" i="10"/>
  <c r="G608" i="10"/>
  <c r="G581" i="10"/>
  <c r="G614" i="10"/>
  <c r="G637" i="10"/>
  <c r="G605" i="10"/>
  <c r="G485" i="10"/>
  <c r="G682" i="10"/>
  <c r="G603" i="10"/>
  <c r="G589" i="10"/>
  <c r="G477" i="10"/>
  <c r="G579" i="10"/>
  <c r="G807" i="10"/>
  <c r="G28" i="10"/>
  <c r="G246" i="10"/>
  <c r="G223" i="10"/>
  <c r="G39" i="10"/>
  <c r="G160" i="10"/>
  <c r="G137" i="10"/>
  <c r="G167" i="10"/>
  <c r="G543" i="10"/>
  <c r="G64" i="10"/>
  <c r="G450" i="10"/>
  <c r="G82" i="10"/>
  <c r="G320" i="10"/>
  <c r="G295" i="10"/>
  <c r="G70" i="10"/>
  <c r="G86" i="10"/>
  <c r="G559" i="10"/>
  <c r="G335" i="10"/>
  <c r="G91" i="10"/>
  <c r="G469" i="10"/>
  <c r="G347" i="10"/>
  <c r="G364" i="10"/>
  <c r="G380" i="10"/>
  <c r="G432" i="10"/>
  <c r="G302" i="10"/>
  <c r="G558" i="10"/>
  <c r="G409" i="10"/>
  <c r="G367" i="10"/>
  <c r="G81" i="10"/>
  <c r="G825" i="10"/>
  <c r="G723" i="10"/>
  <c r="G838" i="10"/>
  <c r="G27" i="10"/>
  <c r="G815" i="10"/>
  <c r="G746" i="10"/>
  <c r="G779" i="10"/>
  <c r="G784" i="10"/>
  <c r="G885" i="10"/>
  <c r="G553" i="10"/>
  <c r="G701" i="10"/>
  <c r="G128" i="10"/>
  <c r="G131" i="10"/>
  <c r="G705" i="10"/>
  <c r="G17" i="10"/>
  <c r="G60" i="10"/>
  <c r="G765" i="10"/>
  <c r="G741" i="10"/>
  <c r="G892" i="10"/>
  <c r="G797" i="10"/>
  <c r="G874" i="10"/>
  <c r="G518" i="10"/>
  <c r="G229" i="10"/>
  <c r="G788" i="10"/>
  <c r="G785" i="10"/>
  <c r="G241" i="10"/>
  <c r="G764" i="10"/>
  <c r="G863" i="10"/>
  <c r="G713" i="10"/>
  <c r="G736" i="10"/>
  <c r="G868" i="10"/>
  <c r="G606" i="10"/>
  <c r="G690" i="10"/>
  <c r="G624" i="10"/>
  <c r="G499" i="10"/>
  <c r="G486" i="10"/>
  <c r="G280" i="10"/>
  <c r="G687" i="10"/>
  <c r="G684" i="10"/>
  <c r="G679" i="10"/>
  <c r="G669" i="10"/>
  <c r="G663" i="10"/>
  <c r="G481" i="10"/>
  <c r="G609" i="10"/>
  <c r="G585" i="10"/>
  <c r="G613" i="10"/>
  <c r="G641" i="10"/>
  <c r="G688" i="10"/>
  <c r="G635" i="10"/>
  <c r="G604" i="10"/>
  <c r="G648" i="10"/>
  <c r="G646" i="10"/>
  <c r="G602" i="10"/>
  <c r="G491" i="10"/>
  <c r="G642" i="10"/>
  <c r="G489" i="10"/>
  <c r="G771" i="10"/>
  <c r="G41" i="10"/>
  <c r="G147" i="10"/>
  <c r="G550" i="10"/>
  <c r="G32" i="10"/>
  <c r="G161" i="10"/>
  <c r="G138" i="10"/>
  <c r="G166" i="10"/>
  <c r="G876" i="10"/>
  <c r="G283" i="10"/>
  <c r="G446" i="10"/>
  <c r="G443" i="10"/>
  <c r="G369" i="10"/>
  <c r="G307" i="10"/>
  <c r="G292" i="10"/>
  <c r="G324" i="10"/>
  <c r="G316" i="10"/>
  <c r="G296" i="10"/>
  <c r="G462" i="10"/>
  <c r="G89" i="10"/>
  <c r="G345" i="10"/>
  <c r="G395" i="10"/>
  <c r="G376" i="10"/>
  <c r="G408" i="10"/>
  <c r="G439" i="10"/>
  <c r="G305" i="10"/>
  <c r="G328" i="10"/>
  <c r="G265" i="10"/>
  <c r="G264" i="10"/>
  <c r="G858" i="10"/>
  <c r="G760" i="10"/>
  <c r="G734" i="10"/>
  <c r="G726" i="10"/>
  <c r="G849" i="10"/>
  <c r="G778" i="10"/>
  <c r="G814" i="10"/>
  <c r="G819" i="10"/>
  <c r="G890" i="10"/>
  <c r="G199" i="10"/>
  <c r="G810" i="10"/>
  <c r="G122" i="10"/>
  <c r="G126" i="10"/>
  <c r="G743" i="10"/>
  <c r="G18" i="10"/>
  <c r="G533" i="10"/>
  <c r="G800" i="10"/>
  <c r="G903" i="10"/>
  <c r="G720" i="10"/>
  <c r="G864" i="10"/>
  <c r="G841" i="10"/>
  <c r="G49" i="10"/>
  <c r="G231" i="10"/>
  <c r="G822" i="10"/>
  <c r="G853" i="10"/>
  <c r="G56" i="10"/>
  <c r="G799" i="10"/>
  <c r="G902" i="10"/>
  <c r="G750" i="10"/>
  <c r="G809" i="10"/>
  <c r="G835" i="10"/>
  <c r="G653" i="10"/>
  <c r="G571" i="10"/>
  <c r="G623" i="10"/>
  <c r="G572" i="10"/>
  <c r="G617" i="10"/>
  <c r="G560" i="10"/>
  <c r="G77" i="10"/>
  <c r="G566" i="10"/>
  <c r="G483" i="10"/>
  <c r="G668" i="10"/>
  <c r="G659" i="10"/>
  <c r="G676" i="10"/>
  <c r="G597" i="10"/>
  <c r="G615" i="10"/>
  <c r="G611" i="10"/>
  <c r="G675" i="10"/>
  <c r="G95" i="10"/>
  <c r="G686" i="10"/>
  <c r="G592" i="10"/>
  <c r="G643" i="10"/>
  <c r="G8" i="10"/>
  <c r="G488" i="10"/>
  <c r="G878" i="10"/>
  <c r="G45" i="10"/>
  <c r="G146" i="10"/>
  <c r="G247" i="10"/>
  <c r="G34" i="10"/>
  <c r="G163" i="10"/>
  <c r="G140" i="10"/>
  <c r="G249" i="10"/>
  <c r="G520" i="10"/>
  <c r="G351" i="10"/>
  <c r="G281" i="10"/>
  <c r="G426" i="10"/>
  <c r="G401" i="10"/>
  <c r="G331" i="10"/>
  <c r="G557" i="10"/>
  <c r="G325" i="10"/>
  <c r="G314" i="10"/>
  <c r="G311" i="10"/>
  <c r="G454" i="10"/>
  <c r="G473" i="10"/>
  <c r="G471" i="10"/>
  <c r="G392" i="10"/>
  <c r="G387" i="10"/>
  <c r="G267" i="10"/>
  <c r="G418" i="10"/>
  <c r="G556" i="10"/>
  <c r="G309" i="10"/>
  <c r="G72" i="10"/>
  <c r="G73" i="10"/>
  <c r="G220" i="10"/>
  <c r="G795" i="10"/>
  <c r="G732" i="10"/>
  <c r="G763" i="10"/>
  <c r="G708" i="10"/>
  <c r="G813" i="10"/>
  <c r="G710" i="10"/>
  <c r="G852" i="10"/>
  <c r="G888" i="10"/>
  <c r="G801" i="10"/>
  <c r="G843" i="10"/>
  <c r="G121" i="10"/>
  <c r="G776" i="10"/>
  <c r="G722" i="10"/>
  <c r="G730" i="10"/>
  <c r="G834" i="10"/>
  <c r="G158" i="10"/>
  <c r="G757" i="10"/>
  <c r="G725" i="10"/>
  <c r="G704" i="10"/>
  <c r="G225" i="10"/>
  <c r="G525" i="10"/>
  <c r="G855" i="10"/>
  <c r="G451" i="10"/>
  <c r="G243" i="10"/>
  <c r="G833" i="10"/>
  <c r="G721" i="10"/>
  <c r="G783" i="10"/>
  <c r="G842" i="10"/>
  <c r="G257" i="10"/>
  <c r="G570" i="10"/>
  <c r="G565" i="10"/>
  <c r="G495" i="10"/>
  <c r="G667" i="10"/>
  <c r="G578" i="10"/>
  <c r="G510" i="10"/>
  <c r="G494" i="10"/>
  <c r="G503" i="10"/>
  <c r="G671" i="10"/>
  <c r="G698" i="10"/>
  <c r="G575" i="10"/>
  <c r="G598" i="10"/>
  <c r="G622" i="10"/>
  <c r="G618" i="10"/>
  <c r="G645" i="10"/>
  <c r="G96" i="10"/>
  <c r="G561" i="10"/>
  <c r="G591" i="10"/>
  <c r="G632" i="10"/>
  <c r="G630" i="10"/>
  <c r="G697" i="10"/>
  <c r="G626" i="10"/>
  <c r="G501" i="10"/>
  <c r="G775" i="10"/>
  <c r="G260" i="10"/>
  <c r="G148" i="10"/>
  <c r="G37" i="10"/>
  <c r="G38" i="10"/>
  <c r="G250" i="10"/>
  <c r="G145" i="10"/>
  <c r="G551" i="10"/>
  <c r="G259" i="10"/>
  <c r="G276" i="10"/>
  <c r="G448" i="10"/>
  <c r="G441" i="10"/>
  <c r="G399" i="10"/>
  <c r="G299" i="10"/>
  <c r="G67" i="10"/>
  <c r="G350" i="10"/>
  <c r="G6" i="10"/>
  <c r="G336" i="10"/>
  <c r="G457" i="10"/>
  <c r="G389" i="10"/>
  <c r="G375" i="10"/>
  <c r="G390" i="10"/>
  <c r="G378" i="10"/>
  <c r="G323" i="10"/>
  <c r="G326" i="10"/>
  <c r="G293" i="10"/>
  <c r="G373" i="10"/>
  <c r="G555" i="10"/>
  <c r="G352" i="10"/>
  <c r="G717" i="10"/>
  <c r="G829" i="10"/>
  <c r="G770" i="10"/>
  <c r="G798" i="10"/>
  <c r="G745" i="10"/>
  <c r="G847" i="10"/>
  <c r="G747" i="10"/>
  <c r="G880" i="10"/>
  <c r="G883" i="10"/>
  <c r="G201" i="10"/>
  <c r="G774" i="10"/>
  <c r="G132" i="10"/>
  <c r="G136" i="10"/>
  <c r="G845" i="10"/>
  <c r="G759" i="10"/>
  <c r="G767" i="10"/>
  <c r="G867" i="10"/>
  <c r="G735" i="10"/>
  <c r="G792" i="10"/>
  <c r="G831" i="10"/>
  <c r="G742" i="10"/>
  <c r="G519" i="10"/>
  <c r="G521" i="10"/>
  <c r="G718" i="10"/>
  <c r="G447" i="10"/>
  <c r="G702" i="10"/>
  <c r="G866" i="10"/>
  <c r="G758" i="10"/>
  <c r="G818" i="10"/>
  <c r="G875" i="10"/>
  <c r="G93" i="10"/>
  <c r="G640" i="10"/>
  <c r="G230" i="10"/>
  <c r="G97" i="10"/>
  <c r="G479" i="10"/>
  <c r="G638" i="10"/>
  <c r="G577" i="10"/>
  <c r="G576" i="10"/>
  <c r="G567" i="10"/>
  <c r="G665" i="10"/>
  <c r="G664" i="10"/>
  <c r="G657" i="10"/>
  <c r="G574" i="10"/>
  <c r="G595" i="10"/>
  <c r="G621" i="10"/>
  <c r="G612" i="10"/>
  <c r="G502" i="10"/>
  <c r="G505" i="10"/>
  <c r="G568" i="10"/>
  <c r="G683" i="10"/>
  <c r="G681" i="10"/>
  <c r="G627" i="10"/>
  <c r="G655" i="10"/>
  <c r="G677" i="10"/>
  <c r="G154" i="10"/>
  <c r="G844" i="10"/>
  <c r="G165" i="10"/>
  <c r="G151" i="10"/>
  <c r="G546" i="10"/>
  <c r="G31" i="10"/>
  <c r="G139" i="10"/>
  <c r="G262" i="10"/>
  <c r="G515" i="10"/>
  <c r="G877" i="10"/>
  <c r="G438" i="10"/>
  <c r="G300" i="10"/>
  <c r="G431" i="10"/>
  <c r="G356" i="10"/>
  <c r="G435" i="10"/>
  <c r="G754" i="10"/>
  <c r="G777" i="10"/>
  <c r="G884" i="10"/>
  <c r="G130" i="10"/>
  <c r="G791" i="10"/>
  <c r="G905" i="10"/>
  <c r="G58" i="10"/>
  <c r="G851" i="10"/>
  <c r="G116" i="10"/>
  <c r="G480" i="10"/>
  <c r="G673" i="10"/>
  <c r="G620" i="10"/>
  <c r="G634" i="10"/>
  <c r="G678" i="10"/>
  <c r="G811" i="10"/>
  <c r="G5" i="10"/>
  <c r="G545" i="10"/>
  <c r="G207" i="10"/>
  <c r="G252" i="10"/>
  <c r="G554" i="10"/>
  <c r="G177" i="10"/>
  <c r="G172" i="10"/>
  <c r="G192" i="10"/>
  <c r="G211" i="10"/>
  <c r="G804" i="10"/>
  <c r="G532" i="10"/>
  <c r="G537" i="10"/>
  <c r="G111" i="10"/>
  <c r="G185" i="10"/>
  <c r="G315" i="10"/>
  <c r="G101" i="10"/>
  <c r="G366" i="10"/>
  <c r="G400" i="10"/>
  <c r="G274" i="10"/>
  <c r="G65" i="10"/>
  <c r="G474" i="10"/>
  <c r="G396" i="10"/>
  <c r="G388" i="10"/>
  <c r="G410" i="10"/>
  <c r="G76" i="10"/>
  <c r="G886" i="10"/>
  <c r="G46" i="10"/>
  <c r="G273" i="10"/>
  <c r="G848" i="10"/>
  <c r="G724" i="10"/>
  <c r="G672" i="10"/>
  <c r="G150" i="10"/>
  <c r="G44" i="10"/>
  <c r="G193" i="10"/>
  <c r="G53" i="10"/>
  <c r="G282" i="10"/>
  <c r="G416" i="10"/>
  <c r="G338" i="10"/>
  <c r="G893" i="10"/>
  <c r="G417" i="10"/>
  <c r="G342" i="10"/>
  <c r="G407" i="10"/>
  <c r="G475" i="10"/>
  <c r="G413" i="10"/>
  <c r="G789" i="10"/>
  <c r="G812" i="10"/>
  <c r="G882" i="10"/>
  <c r="G512" i="10"/>
  <c r="G47" i="10"/>
  <c r="G900" i="10"/>
  <c r="G52" i="10"/>
  <c r="G744" i="10"/>
  <c r="G594" i="10"/>
  <c r="G651" i="10"/>
  <c r="G619" i="10"/>
  <c r="G674" i="10"/>
  <c r="G685" i="10"/>
  <c r="G497" i="10"/>
  <c r="G4" i="10"/>
  <c r="G245" i="10"/>
  <c r="G541" i="10"/>
  <c r="G208" i="10"/>
  <c r="G258" i="10"/>
  <c r="G40" i="10"/>
  <c r="G179" i="10"/>
  <c r="G173" i="10"/>
  <c r="G14" i="10"/>
  <c r="G25" i="10"/>
  <c r="G870" i="10"/>
  <c r="G531" i="10"/>
  <c r="G51" i="10"/>
  <c r="G105" i="10"/>
  <c r="G187" i="10"/>
  <c r="G66" i="10"/>
  <c r="G11" i="10"/>
  <c r="G361" i="10"/>
  <c r="G398" i="10"/>
  <c r="G421" i="10"/>
  <c r="G455" i="10"/>
  <c r="G348" i="10"/>
  <c r="G393" i="10"/>
  <c r="G344" i="10"/>
  <c r="G329" i="10"/>
  <c r="G353" i="10"/>
  <c r="G891" i="10"/>
  <c r="G384" i="10"/>
  <c r="G219" i="10"/>
  <c r="G528" i="10"/>
  <c r="G270" i="10"/>
  <c r="G647" i="10"/>
  <c r="G198" i="10"/>
  <c r="G175" i="10"/>
  <c r="G817" i="10"/>
  <c r="G100" i="10"/>
  <c r="G476" i="10"/>
  <c r="G445" i="10"/>
  <c r="G386" i="10"/>
  <c r="G452" i="10"/>
  <c r="G362" i="10"/>
  <c r="G433" i="10"/>
  <c r="G862" i="10"/>
  <c r="G781" i="10"/>
  <c r="G700" i="10"/>
  <c r="G222" i="10"/>
  <c r="G159" i="10"/>
  <c r="G227" i="10"/>
  <c r="G740" i="10"/>
  <c r="G699" i="10"/>
  <c r="G493" i="10"/>
  <c r="G580" i="10"/>
  <c r="G584" i="10"/>
  <c r="G504" i="10"/>
  <c r="G695" i="10"/>
  <c r="G164" i="10"/>
  <c r="G141" i="10"/>
  <c r="G196" i="10"/>
  <c r="G210" i="10"/>
  <c r="G255" i="10"/>
  <c r="G547" i="10"/>
  <c r="G182" i="10"/>
  <c r="G174" i="10"/>
  <c r="G194" i="10"/>
  <c r="G715" i="10"/>
  <c r="G837" i="10"/>
  <c r="G239" i="10"/>
  <c r="G850" i="10"/>
  <c r="G94" i="10"/>
  <c r="G188" i="10"/>
  <c r="G284" i="10"/>
  <c r="G113" i="10"/>
  <c r="G288" i="10"/>
  <c r="G334" i="10"/>
  <c r="G355" i="10"/>
  <c r="G458" i="10"/>
  <c r="G346" i="10"/>
  <c r="G391" i="10"/>
  <c r="G419" i="10"/>
  <c r="G310" i="10"/>
  <c r="G290" i="10"/>
  <c r="G889" i="10"/>
  <c r="G422" i="10"/>
  <c r="G372" i="10"/>
  <c r="G826" i="10"/>
  <c r="G586" i="10"/>
  <c r="G629" i="10"/>
  <c r="G254" i="10"/>
  <c r="G263" i="10"/>
  <c r="G61" i="10"/>
  <c r="G183" i="10"/>
  <c r="G332" i="10"/>
  <c r="G363" i="10"/>
  <c r="G514" i="10"/>
  <c r="G365" i="10"/>
  <c r="G423" i="10"/>
  <c r="G467" i="10"/>
  <c r="G78" i="10"/>
  <c r="G84" i="10"/>
  <c r="G769" i="10"/>
  <c r="G816" i="10"/>
  <c r="G738" i="10"/>
  <c r="G22" i="10"/>
  <c r="G156" i="10"/>
  <c r="G526" i="10"/>
  <c r="G244" i="10"/>
  <c r="G737" i="10"/>
  <c r="G507" i="10"/>
  <c r="G649" i="10"/>
  <c r="G656" i="10"/>
  <c r="G569" i="10"/>
  <c r="G10" i="10"/>
  <c r="G601" i="10"/>
  <c r="G539" i="10"/>
  <c r="G143" i="10"/>
  <c r="G195" i="10"/>
  <c r="G205" i="10"/>
  <c r="G256" i="10"/>
  <c r="G216" i="10"/>
  <c r="G180" i="10"/>
  <c r="G171" i="10"/>
  <c r="G191" i="10"/>
  <c r="G752" i="10"/>
  <c r="G731" i="10"/>
  <c r="G59" i="10"/>
  <c r="G749" i="10"/>
  <c r="G117" i="10"/>
  <c r="G189" i="10"/>
  <c r="G277" i="10"/>
  <c r="G106" i="10"/>
  <c r="G442" i="10"/>
  <c r="G308" i="10"/>
  <c r="G437" i="10"/>
  <c r="G453" i="10"/>
  <c r="G339" i="10"/>
  <c r="G357" i="10"/>
  <c r="G327" i="10"/>
  <c r="G406" i="10"/>
  <c r="G48" i="10"/>
  <c r="G897" i="10"/>
  <c r="G424" i="10"/>
  <c r="G806" i="10"/>
  <c r="G794" i="10"/>
  <c r="G509" i="10"/>
  <c r="G588" i="10"/>
  <c r="G209" i="10"/>
  <c r="G181" i="10"/>
  <c r="G786" i="10"/>
  <c r="G108" i="10"/>
  <c r="G425" i="10"/>
  <c r="G468" i="10"/>
  <c r="G74" i="10"/>
  <c r="G397" i="10"/>
  <c r="G349" i="10"/>
  <c r="G370" i="10"/>
  <c r="G306" i="10"/>
  <c r="G289" i="10"/>
  <c r="G832" i="10"/>
  <c r="G887" i="10"/>
  <c r="G129" i="10"/>
  <c r="G803" i="10"/>
  <c r="G235" i="10"/>
  <c r="G755" i="10"/>
  <c r="G793" i="10"/>
  <c r="G691" i="10"/>
  <c r="G689" i="10"/>
  <c r="G662" i="10"/>
  <c r="G596" i="10"/>
  <c r="G500" i="10"/>
  <c r="G562" i="10"/>
  <c r="G840" i="10"/>
  <c r="G253" i="10"/>
  <c r="G221" i="10"/>
  <c r="G203" i="10"/>
  <c r="G248" i="10"/>
  <c r="G879" i="10"/>
  <c r="G3" i="10"/>
  <c r="G169" i="10"/>
  <c r="G20" i="10"/>
  <c r="G24" i="10"/>
  <c r="G854" i="10"/>
  <c r="G57" i="10"/>
  <c r="G240" i="10"/>
  <c r="G449" i="10"/>
  <c r="G12" i="10"/>
  <c r="G186" i="10"/>
  <c r="G200" i="10"/>
  <c r="G112" i="10"/>
  <c r="G321" i="10"/>
  <c r="G272" i="10"/>
  <c r="G85" i="10"/>
  <c r="G464" i="10"/>
  <c r="G461" i="10"/>
  <c r="G381" i="10"/>
  <c r="G414" i="10"/>
  <c r="G430" i="10"/>
  <c r="G899" i="10"/>
  <c r="G385" i="10"/>
  <c r="G333" i="10"/>
  <c r="G354" i="10"/>
  <c r="G371" i="10"/>
  <c r="G374" i="10"/>
  <c r="G69" i="10"/>
  <c r="G865" i="10"/>
  <c r="G881" i="10"/>
  <c r="G123" i="10"/>
  <c r="G869" i="10"/>
  <c r="G238" i="10"/>
  <c r="G790" i="10"/>
  <c r="G827" i="10"/>
  <c r="G341" i="10"/>
  <c r="G828" i="10"/>
  <c r="G644" i="10"/>
  <c r="G587" i="10"/>
  <c r="G549" i="10"/>
  <c r="G19" i="10"/>
  <c r="G55" i="10"/>
  <c r="G21" i="10"/>
  <c r="G313" i="10"/>
  <c r="G294" i="10"/>
  <c r="G542" i="10"/>
  <c r="G652" i="10"/>
  <c r="G114" i="10"/>
  <c r="G440" i="10"/>
  <c r="G859" i="10"/>
  <c r="G660" i="10"/>
  <c r="G873" i="10"/>
  <c r="G29" i="10"/>
  <c r="G204" i="10"/>
  <c r="G535" i="10"/>
  <c r="G107" i="10"/>
  <c r="G83" i="10"/>
  <c r="G412" i="10"/>
  <c r="G680" i="10"/>
  <c r="G104" i="10"/>
  <c r="G379" i="10"/>
  <c r="G482" i="10"/>
  <c r="G768" i="10"/>
  <c r="G80" i="10"/>
  <c r="G456" i="10"/>
  <c r="G226" i="10"/>
  <c r="G583" i="10"/>
  <c r="G149" i="10"/>
  <c r="G43" i="10"/>
  <c r="G23" i="10"/>
  <c r="G712" i="10"/>
  <c r="G2" i="10"/>
  <c r="G466" i="10"/>
  <c r="G291" i="10"/>
  <c r="G582" i="10"/>
  <c r="G820" i="10"/>
  <c r="G7" i="10"/>
  <c r="G872" i="10"/>
  <c r="G176" i="10"/>
  <c r="G895" i="10"/>
  <c r="G42" i="10"/>
  <c r="G317" i="10"/>
  <c r="G761" i="10"/>
  <c r="G666" i="10"/>
  <c r="G548" i="10"/>
  <c r="G215" i="10"/>
  <c r="G26" i="10"/>
  <c r="G87" i="10"/>
  <c r="G275" i="10"/>
  <c r="G470" i="10"/>
  <c r="G404" i="10"/>
  <c r="G63" i="10"/>
  <c r="G178" i="10"/>
  <c r="G472" i="10"/>
  <c r="G224" i="10"/>
  <c r="G402" i="10"/>
  <c r="G301" i="10"/>
  <c r="G478" i="10"/>
  <c r="G15" i="10"/>
  <c r="G168" i="10"/>
  <c r="G534" i="10"/>
  <c r="G184" i="10"/>
  <c r="G343" i="10"/>
  <c r="G383" i="10"/>
  <c r="G90" i="10"/>
  <c r="G162" i="10"/>
  <c r="G563" i="10"/>
  <c r="G508" i="10"/>
  <c r="G202" i="10"/>
  <c r="G170" i="10"/>
  <c r="G536" i="10"/>
  <c r="G190" i="10"/>
  <c r="G68" i="10"/>
  <c r="G377" i="10"/>
  <c r="M361" i="3"/>
  <c r="AI455" i="3"/>
  <c r="S362" i="3"/>
  <c r="F249" i="3"/>
  <c r="F104" i="3"/>
  <c r="E26" i="19" s="1"/>
  <c r="F241" i="3"/>
  <c r="E284" i="3"/>
  <c r="F175" i="3"/>
  <c r="E184" i="3"/>
  <c r="E193" i="3" s="1"/>
  <c r="E38" i="19" s="1"/>
  <c r="F376" i="3"/>
  <c r="F162" i="3"/>
  <c r="E32" i="19" s="1"/>
  <c r="F184" i="3"/>
  <c r="F303" i="3"/>
  <c r="F308" i="3" s="1"/>
  <c r="F313" i="3" s="1"/>
  <c r="E56" i="19" s="1"/>
  <c r="F152" i="3"/>
  <c r="F228" i="3"/>
  <c r="F96" i="3"/>
  <c r="E22" i="19" s="1"/>
  <c r="F178" i="3"/>
  <c r="E249" i="3"/>
  <c r="F394" i="3"/>
  <c r="F265" i="3"/>
  <c r="F286" i="3" s="1"/>
  <c r="X406" i="5"/>
  <c r="X181" i="5"/>
  <c r="X60" i="5"/>
  <c r="X326" i="5"/>
  <c r="X245" i="5"/>
  <c r="X257" i="5"/>
  <c r="X236" i="5"/>
  <c r="X55" i="5"/>
  <c r="T293" i="5"/>
  <c r="X293" i="5"/>
  <c r="X198" i="5"/>
  <c r="X335" i="5"/>
  <c r="X367" i="5"/>
  <c r="X369" i="5"/>
  <c r="X115" i="5"/>
  <c r="X341" i="5"/>
  <c r="X139" i="5"/>
  <c r="X396" i="5"/>
  <c r="X381" i="5"/>
  <c r="X188" i="5"/>
  <c r="X15" i="5"/>
  <c r="X311" i="5"/>
  <c r="X380" i="5"/>
  <c r="X331" i="5"/>
  <c r="X284" i="5"/>
  <c r="X265" i="5"/>
  <c r="X373" i="5"/>
  <c r="X39" i="5"/>
  <c r="X132" i="5"/>
  <c r="X449" i="5"/>
  <c r="X160" i="5"/>
  <c r="X329" i="5"/>
  <c r="X289" i="5"/>
  <c r="X21" i="5"/>
  <c r="X37" i="5"/>
  <c r="X8" i="5"/>
  <c r="X74" i="5"/>
  <c r="X420" i="5"/>
  <c r="X388" i="5"/>
  <c r="X105" i="5"/>
  <c r="X430" i="5"/>
  <c r="X453" i="5"/>
  <c r="X402" i="5"/>
  <c r="W436" i="5"/>
  <c r="X436" i="5"/>
  <c r="X43" i="5"/>
  <c r="X419" i="5"/>
  <c r="X418" i="5"/>
  <c r="X281" i="5"/>
  <c r="T322" i="5"/>
  <c r="X322" i="5"/>
  <c r="X109" i="5"/>
  <c r="X118" i="5"/>
  <c r="X131" i="5"/>
  <c r="X376" i="5"/>
  <c r="X98" i="5"/>
  <c r="X63" i="5"/>
  <c r="W217" i="5"/>
  <c r="X217" i="5"/>
  <c r="X260" i="5"/>
  <c r="X83" i="5"/>
  <c r="X384" i="5"/>
  <c r="X148" i="5"/>
  <c r="X136" i="5"/>
  <c r="X446" i="5"/>
  <c r="X393" i="5"/>
  <c r="X345" i="5"/>
  <c r="X182" i="5"/>
  <c r="X392" i="5"/>
  <c r="X408" i="5"/>
  <c r="X134" i="5"/>
  <c r="X158" i="5"/>
  <c r="X246" i="5"/>
  <c r="X441" i="5"/>
  <c r="X171" i="5"/>
  <c r="X108" i="5"/>
  <c r="X193" i="5"/>
  <c r="X53" i="5"/>
  <c r="X244" i="5"/>
  <c r="X315" i="5"/>
  <c r="X3" i="5"/>
  <c r="X173" i="5"/>
  <c r="X292" i="5"/>
  <c r="X103" i="5"/>
  <c r="X93" i="5"/>
  <c r="X237" i="5"/>
  <c r="X241" i="5"/>
  <c r="X64" i="5"/>
  <c r="X128" i="5"/>
  <c r="X267" i="5"/>
  <c r="X275" i="5"/>
  <c r="X330" i="5"/>
  <c r="X120" i="5"/>
  <c r="X207" i="5"/>
  <c r="T319" i="5"/>
  <c r="X319" i="5"/>
  <c r="T324" i="5"/>
  <c r="X324" i="5"/>
  <c r="T325" i="5"/>
  <c r="X325" i="5"/>
  <c r="X371" i="5"/>
  <c r="X36" i="5"/>
  <c r="X199" i="5"/>
  <c r="X144" i="5"/>
  <c r="X448" i="5"/>
  <c r="X339" i="5"/>
  <c r="X232" i="5"/>
  <c r="X210" i="5"/>
  <c r="X451" i="5"/>
  <c r="X29" i="5"/>
  <c r="X366" i="5"/>
  <c r="X454" i="5"/>
  <c r="X391" i="5"/>
  <c r="X34" i="5"/>
  <c r="X70" i="5"/>
  <c r="X336" i="5"/>
  <c r="X16" i="5"/>
  <c r="X307" i="5"/>
  <c r="X445" i="5"/>
  <c r="X309" i="5"/>
  <c r="X48" i="5"/>
  <c r="X423" i="5"/>
  <c r="X117" i="5"/>
  <c r="X310" i="5"/>
  <c r="X178" i="5"/>
  <c r="U320" i="5"/>
  <c r="X320" i="5"/>
  <c r="X211" i="5"/>
  <c r="X383" i="5"/>
  <c r="X356" i="5"/>
  <c r="X44" i="5"/>
  <c r="X400" i="5"/>
  <c r="X360" i="5"/>
  <c r="X297" i="5"/>
  <c r="X196" i="5"/>
  <c r="X52" i="5"/>
  <c r="X305" i="5"/>
  <c r="X251" i="5"/>
  <c r="X429" i="5"/>
  <c r="X243" i="5"/>
  <c r="X129" i="5"/>
  <c r="X50" i="5"/>
  <c r="X189" i="5"/>
  <c r="X390" i="5"/>
  <c r="X328" i="5"/>
  <c r="X176" i="5"/>
  <c r="X79" i="5"/>
  <c r="X298" i="5"/>
  <c r="X12" i="5"/>
  <c r="X143" i="5"/>
  <c r="X177" i="5"/>
  <c r="X133" i="5"/>
  <c r="X456" i="5"/>
  <c r="X333" i="5"/>
  <c r="U218" i="5"/>
  <c r="X218" i="5"/>
  <c r="X38" i="5"/>
  <c r="X67" i="5"/>
  <c r="X425" i="5"/>
  <c r="X92" i="5"/>
  <c r="X290" i="5"/>
  <c r="W317" i="5"/>
  <c r="X317" i="5"/>
  <c r="X24" i="5"/>
  <c r="X81" i="5"/>
  <c r="X374" i="5"/>
  <c r="X68" i="5"/>
  <c r="X300" i="5"/>
  <c r="X226" i="5"/>
  <c r="T321" i="5"/>
  <c r="X321" i="5"/>
  <c r="T318" i="5"/>
  <c r="X318" i="5"/>
  <c r="X213" i="5"/>
  <c r="X424" i="5"/>
  <c r="X362" i="5"/>
  <c r="X397" i="5"/>
  <c r="X82" i="5"/>
  <c r="X230" i="5"/>
  <c r="X432" i="5"/>
  <c r="X421" i="5"/>
  <c r="X141" i="5"/>
  <c r="X76" i="5"/>
  <c r="X18" i="5"/>
  <c r="X240" i="5"/>
  <c r="X268" i="5"/>
  <c r="X417" i="5"/>
  <c r="X227" i="5"/>
  <c r="X101" i="5"/>
  <c r="X91" i="5"/>
  <c r="X263" i="5"/>
  <c r="X121" i="5"/>
  <c r="X154" i="5"/>
  <c r="X97" i="5"/>
  <c r="X206" i="5"/>
  <c r="X256" i="5"/>
  <c r="X30" i="5"/>
  <c r="X57" i="5"/>
  <c r="X46" i="5"/>
  <c r="X163" i="5"/>
  <c r="X153" i="5"/>
  <c r="X86" i="5"/>
  <c r="X242" i="5"/>
  <c r="X255" i="5"/>
  <c r="X395" i="5"/>
  <c r="X187" i="5"/>
  <c r="X114" i="5"/>
  <c r="X238" i="5"/>
  <c r="X87" i="5"/>
  <c r="X444" i="5"/>
  <c r="X49" i="5"/>
  <c r="X229" i="5"/>
  <c r="X409" i="5"/>
  <c r="X252" i="5"/>
  <c r="X41" i="5"/>
  <c r="X167" i="5"/>
  <c r="X387" i="5"/>
  <c r="X71" i="5"/>
  <c r="X443" i="5"/>
  <c r="X386" i="5"/>
  <c r="X119" i="5"/>
  <c r="X270" i="5"/>
  <c r="X130" i="5"/>
  <c r="X304" i="5"/>
  <c r="X19" i="5"/>
  <c r="X59" i="5"/>
  <c r="X375" i="5"/>
  <c r="X401" i="5"/>
  <c r="X172" i="5"/>
  <c r="X2" i="5"/>
  <c r="X442" i="5"/>
  <c r="X174" i="5"/>
  <c r="X166" i="5"/>
  <c r="X102" i="5"/>
  <c r="X124" i="5"/>
  <c r="X259" i="5"/>
  <c r="X337" i="5"/>
  <c r="X138" i="5"/>
  <c r="X6" i="5"/>
  <c r="X62" i="5"/>
  <c r="X194" i="5"/>
  <c r="X161" i="5"/>
  <c r="X266" i="5"/>
  <c r="X327" i="5"/>
  <c r="X90" i="5"/>
  <c r="X287" i="5"/>
  <c r="X197" i="5"/>
  <c r="X28" i="5"/>
  <c r="X361" i="5"/>
  <c r="X159" i="5"/>
  <c r="X165" i="5"/>
  <c r="X316" i="5"/>
  <c r="X347" i="5"/>
  <c r="X344" i="5"/>
  <c r="X296" i="5"/>
  <c r="X27" i="5"/>
  <c r="X22" i="5"/>
  <c r="X157" i="5"/>
  <c r="X45" i="5"/>
  <c r="X294" i="5"/>
  <c r="X147" i="5"/>
  <c r="X209" i="5"/>
  <c r="X258" i="5"/>
  <c r="X312" i="5"/>
  <c r="T219" i="5"/>
  <c r="X219" i="5"/>
  <c r="X302" i="5"/>
  <c r="X435" i="5"/>
  <c r="X156" i="5"/>
  <c r="T216" i="5"/>
  <c r="X216" i="5"/>
  <c r="X399" i="5"/>
  <c r="X291" i="5"/>
  <c r="X80" i="5"/>
  <c r="X334" i="5"/>
  <c r="X137" i="5"/>
  <c r="X352" i="5"/>
  <c r="X349" i="5"/>
  <c r="X116" i="5"/>
  <c r="X346" i="5"/>
  <c r="X23" i="5"/>
  <c r="X127" i="5"/>
  <c r="X5" i="5"/>
  <c r="X228" i="5"/>
  <c r="X286" i="5"/>
  <c r="X125" i="5"/>
  <c r="X69" i="5"/>
  <c r="X440" i="5"/>
  <c r="X42" i="5"/>
  <c r="X365" i="5"/>
  <c r="X370" i="5"/>
  <c r="X75" i="5"/>
  <c r="X168" i="5"/>
  <c r="X389" i="5"/>
  <c r="X428" i="5"/>
  <c r="X208" i="5"/>
  <c r="X212" i="5"/>
  <c r="X100" i="5"/>
  <c r="X151" i="5"/>
  <c r="X452" i="5"/>
  <c r="X253" i="5"/>
  <c r="X438" i="5"/>
  <c r="X72" i="5"/>
  <c r="X249" i="5"/>
  <c r="X14" i="5"/>
  <c r="X279" i="5"/>
  <c r="X33" i="5"/>
  <c r="X343" i="5"/>
  <c r="X410" i="5"/>
  <c r="X190" i="5"/>
  <c r="X426" i="5"/>
  <c r="X4" i="5"/>
  <c r="X192" i="5"/>
  <c r="X385" i="5"/>
  <c r="X104" i="5"/>
  <c r="X94" i="5"/>
  <c r="X99" i="5"/>
  <c r="X271" i="5"/>
  <c r="X353" i="5"/>
  <c r="U323" i="5"/>
  <c r="X323" i="5"/>
  <c r="X66" i="5"/>
  <c r="X262" i="5"/>
  <c r="X89" i="5"/>
  <c r="X250" i="5"/>
  <c r="X85" i="5"/>
  <c r="X20" i="5"/>
  <c r="X110" i="5"/>
  <c r="X122" i="5"/>
  <c r="X372" i="5"/>
  <c r="X285" i="5"/>
  <c r="U184" i="5"/>
  <c r="X184" i="5"/>
  <c r="X40" i="5"/>
  <c r="X382" i="5"/>
  <c r="X332" i="5"/>
  <c r="X340" i="5"/>
  <c r="X233" i="5"/>
  <c r="X358" i="5"/>
  <c r="X149" i="5"/>
  <c r="X146" i="5"/>
  <c r="X398" i="5"/>
  <c r="X183" i="5"/>
  <c r="X357" i="5"/>
  <c r="X145" i="5"/>
  <c r="X431" i="5"/>
  <c r="X295" i="5"/>
  <c r="X272" i="5"/>
  <c r="X13" i="5"/>
  <c r="X73" i="5"/>
  <c r="U216" i="5"/>
  <c r="O317" i="5"/>
  <c r="N317" i="5"/>
  <c r="P436" i="5"/>
  <c r="N436" i="5"/>
  <c r="W175" i="5"/>
  <c r="U175" i="5"/>
  <c r="O293" i="5"/>
  <c r="P293" i="5"/>
  <c r="T323" i="5"/>
  <c r="R246" i="3"/>
  <c r="R243" i="3"/>
  <c r="U318" i="5"/>
  <c r="N323" i="5"/>
  <c r="W318" i="5"/>
  <c r="O323" i="5"/>
  <c r="U322" i="5"/>
  <c r="U217" i="5"/>
  <c r="V322" i="5"/>
  <c r="W323" i="5"/>
  <c r="T317" i="5"/>
  <c r="P320" i="5"/>
  <c r="N320" i="5"/>
  <c r="O320" i="5"/>
  <c r="V436" i="5"/>
  <c r="T436" i="5"/>
  <c r="P184" i="5"/>
  <c r="N184" i="5"/>
  <c r="O184" i="5"/>
  <c r="T218" i="5"/>
  <c r="W218" i="5"/>
  <c r="P321" i="5"/>
  <c r="O321" i="5"/>
  <c r="U319" i="5"/>
  <c r="V319" i="5"/>
  <c r="U324" i="5"/>
  <c r="U325" i="5"/>
  <c r="V216" i="5"/>
  <c r="U321" i="5"/>
  <c r="W319" i="5"/>
  <c r="T184" i="5"/>
  <c r="V324" i="5"/>
  <c r="V325" i="5"/>
  <c r="W216" i="5"/>
  <c r="T320" i="5"/>
  <c r="V321" i="5"/>
  <c r="U293" i="5"/>
  <c r="V184" i="5"/>
  <c r="W324" i="5"/>
  <c r="W325" i="5"/>
  <c r="V320" i="5"/>
  <c r="W321" i="5"/>
  <c r="V323" i="5"/>
  <c r="V317" i="5"/>
  <c r="W322" i="5"/>
  <c r="V293" i="5"/>
  <c r="W184" i="5"/>
  <c r="N216" i="5"/>
  <c r="W320" i="5"/>
  <c r="N318" i="5"/>
  <c r="W293" i="5"/>
  <c r="N325" i="5"/>
  <c r="N321" i="5"/>
  <c r="O318" i="5"/>
  <c r="P219" i="5"/>
  <c r="O503" i="3" s="1"/>
  <c r="O219" i="5"/>
  <c r="J503" i="3" s="1"/>
  <c r="N219" i="5"/>
  <c r="V318" i="5"/>
  <c r="U219" i="5"/>
  <c r="W219" i="5"/>
  <c r="F121" i="3"/>
  <c r="E30" i="19" s="1"/>
  <c r="E31" i="19" s="1"/>
  <c r="C235" i="3"/>
  <c r="C89" i="3"/>
  <c r="C167" i="3"/>
  <c r="C290" i="3"/>
  <c r="C355" i="3" s="1"/>
  <c r="V401" i="3"/>
  <c r="V484" i="3"/>
  <c r="S235" i="3"/>
  <c r="AO401" i="3"/>
  <c r="AO484" i="3"/>
  <c r="S355" i="3"/>
  <c r="S290" i="3"/>
  <c r="S89" i="3"/>
  <c r="S167" i="3"/>
  <c r="F209" i="3"/>
  <c r="E43" i="19" s="1"/>
  <c r="F244" i="3"/>
  <c r="U317" i="5"/>
  <c r="U436" i="5"/>
  <c r="P217" i="5"/>
  <c r="N217" i="5"/>
  <c r="O218" i="5"/>
  <c r="P218" i="5"/>
  <c r="N322" i="5"/>
  <c r="O319" i="5"/>
  <c r="P319" i="5"/>
  <c r="O322" i="5"/>
  <c r="O324" i="5"/>
  <c r="P324" i="5"/>
  <c r="V218" i="5"/>
  <c r="T217" i="5"/>
  <c r="T175" i="5"/>
  <c r="V217" i="5"/>
  <c r="V175" i="5"/>
  <c r="P175" i="5"/>
  <c r="N175" i="5"/>
  <c r="P325" i="5"/>
  <c r="P216" i="5"/>
  <c r="N472" i="5" l="1"/>
  <c r="P472" i="5"/>
  <c r="L99" i="3"/>
  <c r="J526" i="3"/>
  <c r="J527" i="3" s="1"/>
  <c r="K527" i="3" s="1"/>
  <c r="O526" i="3"/>
  <c r="O536" i="3" s="1"/>
  <c r="J532" i="3"/>
  <c r="K532" i="3" s="1"/>
  <c r="J520" i="3"/>
  <c r="P531" i="3"/>
  <c r="K531" i="3"/>
  <c r="O532" i="3"/>
  <c r="P532" i="3" s="1"/>
  <c r="O520" i="3"/>
  <c r="J535" i="3"/>
  <c r="O535" i="3"/>
  <c r="J511" i="3"/>
  <c r="K511" i="3" s="1"/>
  <c r="O511" i="3"/>
  <c r="P511" i="3" s="1"/>
  <c r="K503" i="3"/>
  <c r="J517" i="3"/>
  <c r="P503" i="3"/>
  <c r="O517" i="3"/>
  <c r="O504" i="3"/>
  <c r="P504" i="3" s="1"/>
  <c r="O516" i="3"/>
  <c r="J504" i="3"/>
  <c r="K504" i="3" s="1"/>
  <c r="J516" i="3"/>
  <c r="K510" i="3"/>
  <c r="P510" i="3"/>
  <c r="L7" i="3"/>
  <c r="L15" i="3"/>
  <c r="L75" i="17"/>
  <c r="L299" i="3"/>
  <c r="Z500" i="17"/>
  <c r="L114" i="3"/>
  <c r="AF461" i="17"/>
  <c r="AF461" i="3"/>
  <c r="G19" i="3"/>
  <c r="H19" i="3" s="1"/>
  <c r="D19" i="3"/>
  <c r="E19" i="3" s="1"/>
  <c r="G15" i="3"/>
  <c r="D15" i="3"/>
  <c r="D17" i="3"/>
  <c r="G17" i="3"/>
  <c r="G23" i="3"/>
  <c r="H23" i="3" s="1"/>
  <c r="D23" i="3"/>
  <c r="E23" i="3" s="1"/>
  <c r="D6" i="3"/>
  <c r="D13" i="3" s="1"/>
  <c r="G6" i="3"/>
  <c r="G13" i="3" s="1"/>
  <c r="G21" i="3"/>
  <c r="H21" i="3" s="1"/>
  <c r="D21" i="3"/>
  <c r="E21" i="3" s="1"/>
  <c r="G22" i="3"/>
  <c r="H22" i="3" s="1"/>
  <c r="D22" i="3"/>
  <c r="E22" i="3" s="1"/>
  <c r="L171" i="3"/>
  <c r="L17" i="3"/>
  <c r="L31" i="3"/>
  <c r="F64" i="3"/>
  <c r="Z443" i="3" s="1"/>
  <c r="I64" i="3"/>
  <c r="AC443" i="3" s="1"/>
  <c r="F6" i="3"/>
  <c r="I6" i="3"/>
  <c r="F63" i="3"/>
  <c r="Z442" i="3" s="1"/>
  <c r="I63" i="3"/>
  <c r="AC442" i="3" s="1"/>
  <c r="F5" i="3"/>
  <c r="I5" i="3"/>
  <c r="F49" i="3"/>
  <c r="I49" i="3"/>
  <c r="AC427" i="3" s="1"/>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Z434" i="3" s="1"/>
  <c r="I56" i="3"/>
  <c r="AC434" i="3" s="1"/>
  <c r="F78" i="3"/>
  <c r="Z469" i="3" s="1"/>
  <c r="I78" i="3"/>
  <c r="AC469" i="3" s="1"/>
  <c r="F35" i="3"/>
  <c r="Z412" i="3" s="1"/>
  <c r="I35" i="3"/>
  <c r="F15" i="3"/>
  <c r="I15" i="3"/>
  <c r="F17" i="3"/>
  <c r="I17" i="3"/>
  <c r="F32" i="3"/>
  <c r="E11" i="19" s="1"/>
  <c r="I32" i="3"/>
  <c r="F42" i="3"/>
  <c r="Z420" i="3" s="1"/>
  <c r="I42" i="3"/>
  <c r="AC420" i="3" s="1"/>
  <c r="F52" i="3"/>
  <c r="Z430" i="3" s="1"/>
  <c r="I52" i="3"/>
  <c r="AC430" i="3" s="1"/>
  <c r="F59" i="3"/>
  <c r="Z437" i="3" s="1"/>
  <c r="I59" i="3"/>
  <c r="AC437" i="3" s="1"/>
  <c r="F12" i="3"/>
  <c r="I12" i="3"/>
  <c r="F45" i="3"/>
  <c r="Z423" i="3" s="1"/>
  <c r="I45" i="3"/>
  <c r="AC423" i="3" s="1"/>
  <c r="F57" i="3"/>
  <c r="Z435" i="3" s="1"/>
  <c r="I57" i="3"/>
  <c r="AC435" i="3" s="1"/>
  <c r="F21" i="3"/>
  <c r="I21" i="3"/>
  <c r="F43" i="3"/>
  <c r="Z421" i="3" s="1"/>
  <c r="I43" i="3"/>
  <c r="AC421" i="3" s="1"/>
  <c r="F60" i="3"/>
  <c r="Z438" i="3" s="1"/>
  <c r="I60" i="3"/>
  <c r="AC438" i="3" s="1"/>
  <c r="F44" i="3"/>
  <c r="Z422" i="3" s="1"/>
  <c r="I44" i="3"/>
  <c r="AC422" i="3" s="1"/>
  <c r="F65" i="3"/>
  <c r="Z444" i="3" s="1"/>
  <c r="I65" i="3"/>
  <c r="AC444" i="3" s="1"/>
  <c r="F66" i="3"/>
  <c r="Z445" i="3" s="1"/>
  <c r="I66" i="3"/>
  <c r="AC445" i="3" s="1"/>
  <c r="F58" i="3"/>
  <c r="Z436" i="3" s="1"/>
  <c r="I58" i="3"/>
  <c r="AC436" i="3" s="1"/>
  <c r="F36" i="3"/>
  <c r="I36" i="3"/>
  <c r="AC413" i="3" s="1"/>
  <c r="F31" i="3"/>
  <c r="E7" i="19" s="1"/>
  <c r="I31" i="3"/>
  <c r="F22" i="3"/>
  <c r="I22" i="3"/>
  <c r="F51" i="3"/>
  <c r="Z429" i="3" s="1"/>
  <c r="I51" i="3"/>
  <c r="F77" i="3"/>
  <c r="Z472" i="3" s="1"/>
  <c r="I77" i="3"/>
  <c r="F62" i="3"/>
  <c r="Z441" i="3" s="1"/>
  <c r="I62" i="3"/>
  <c r="AC441" i="3" s="1"/>
  <c r="F61" i="3"/>
  <c r="Z440" i="3" s="1"/>
  <c r="I61" i="3"/>
  <c r="F23" i="3"/>
  <c r="I23" i="3"/>
  <c r="F50" i="3"/>
  <c r="Z428" i="3" s="1"/>
  <c r="I50" i="3"/>
  <c r="F70" i="3"/>
  <c r="I70" i="3"/>
  <c r="F19" i="3"/>
  <c r="I19" i="3"/>
  <c r="F34" i="3"/>
  <c r="I34" i="3"/>
  <c r="F76" i="3"/>
  <c r="F83" i="3" s="1"/>
  <c r="I76" i="3"/>
  <c r="AC471" i="3" s="1"/>
  <c r="F33" i="3"/>
  <c r="Z410" i="3" s="1"/>
  <c r="I33" i="3"/>
  <c r="F40" i="3"/>
  <c r="I40" i="3"/>
  <c r="L32" i="3"/>
  <c r="L112" i="3"/>
  <c r="C28" i="19" s="1"/>
  <c r="E46" i="19"/>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E23" i="19"/>
  <c r="E25" i="19"/>
  <c r="E27" i="19"/>
  <c r="E29" i="19"/>
  <c r="L94" i="3"/>
  <c r="S94" i="3" s="1"/>
  <c r="AF447" i="3"/>
  <c r="L68" i="3" s="1"/>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L471" i="3"/>
  <c r="AO471" i="3" s="1"/>
  <c r="Q41" i="3"/>
  <c r="F13" i="19" s="1"/>
  <c r="Q13" i="3"/>
  <c r="F5" i="19" s="1"/>
  <c r="F8" i="19" s="1"/>
  <c r="Q83" i="3"/>
  <c r="F15" i="19" s="1"/>
  <c r="O13" i="3"/>
  <c r="F4" i="19" s="1"/>
  <c r="P6" i="3"/>
  <c r="AC440" i="3"/>
  <c r="P15" i="3"/>
  <c r="Q24" i="3"/>
  <c r="F9" i="19" s="1"/>
  <c r="Z470" i="3"/>
  <c r="Z446" i="3"/>
  <c r="AC446" i="3"/>
  <c r="AK497" i="17"/>
  <c r="J302" i="17"/>
  <c r="K302" i="17" s="1"/>
  <c r="J297" i="17"/>
  <c r="B7" i="26" s="1"/>
  <c r="K246" i="17"/>
  <c r="M246" i="17" s="1"/>
  <c r="K190" i="17"/>
  <c r="K177" i="17"/>
  <c r="M177" i="17" s="1"/>
  <c r="K171" i="17"/>
  <c r="J311" i="17"/>
  <c r="J307" i="17"/>
  <c r="B15" i="26" s="1"/>
  <c r="J299" i="17"/>
  <c r="B9" i="26" s="1"/>
  <c r="J295" i="17"/>
  <c r="B5" i="26" s="1"/>
  <c r="K240" i="17"/>
  <c r="M240" i="17" s="1"/>
  <c r="K180" i="17"/>
  <c r="M180" i="17" s="1"/>
  <c r="K174" i="17"/>
  <c r="M174" i="17" s="1"/>
  <c r="J306" i="17"/>
  <c r="B14" i="26" s="1"/>
  <c r="J298" i="17"/>
  <c r="B8" i="26" s="1"/>
  <c r="J294" i="17"/>
  <c r="B4" i="26" s="1"/>
  <c r="L5" i="17"/>
  <c r="J301" i="17"/>
  <c r="K301" i="17" s="1"/>
  <c r="J296" i="17"/>
  <c r="B6" i="26" s="1"/>
  <c r="L6" i="26" s="1"/>
  <c r="K243" i="17"/>
  <c r="L93" i="17"/>
  <c r="K187" i="17"/>
  <c r="M187" i="17" s="1"/>
  <c r="AK488" i="17"/>
  <c r="AF468" i="17"/>
  <c r="AF458" i="17"/>
  <c r="AF454" i="17"/>
  <c r="AF457" i="17"/>
  <c r="AF453" i="17"/>
  <c r="AF491" i="17"/>
  <c r="AF460" i="17"/>
  <c r="AF456" i="17"/>
  <c r="AF452" i="17"/>
  <c r="AF490" i="17"/>
  <c r="AF459" i="17"/>
  <c r="AF455" i="17"/>
  <c r="AF419" i="17"/>
  <c r="J243" i="17"/>
  <c r="J246" i="17"/>
  <c r="L340" i="17"/>
  <c r="L331" i="17"/>
  <c r="L319" i="17"/>
  <c r="L299" i="17"/>
  <c r="D9" i="26" s="1"/>
  <c r="L271" i="17"/>
  <c r="L262" i="17"/>
  <c r="L254" i="17"/>
  <c r="L223" i="17"/>
  <c r="J95" i="17"/>
  <c r="L339" i="17"/>
  <c r="L330" i="17"/>
  <c r="L318" i="17"/>
  <c r="L298" i="17"/>
  <c r="D8" i="26" s="1"/>
  <c r="L335" i="17"/>
  <c r="L326" i="17"/>
  <c r="L307" i="17"/>
  <c r="D15" i="26" s="1"/>
  <c r="J15" i="26" s="1"/>
  <c r="L295" i="17"/>
  <c r="D5" i="26" s="1"/>
  <c r="L276" i="17"/>
  <c r="L267" i="17"/>
  <c r="L258" i="17"/>
  <c r="L240" i="17"/>
  <c r="L219" i="17"/>
  <c r="L210" i="17"/>
  <c r="J99" i="17"/>
  <c r="J17" i="17"/>
  <c r="L334" i="17"/>
  <c r="L325" i="17"/>
  <c r="L306" i="17"/>
  <c r="D14" i="26" s="1"/>
  <c r="L294" i="17"/>
  <c r="D4" i="26" s="1"/>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D10" i="26" s="1"/>
  <c r="J10" i="26" s="1"/>
  <c r="L281" i="17"/>
  <c r="L273" i="17"/>
  <c r="L263" i="17"/>
  <c r="L255" i="17"/>
  <c r="L215" i="17"/>
  <c r="L206" i="17"/>
  <c r="L198" i="17"/>
  <c r="L142" i="17"/>
  <c r="L133" i="17"/>
  <c r="L122" i="17"/>
  <c r="N122" i="17" s="1"/>
  <c r="L103" i="17"/>
  <c r="L78" i="17"/>
  <c r="L62" i="17"/>
  <c r="L53" i="17"/>
  <c r="L42" i="17"/>
  <c r="L23" i="17"/>
  <c r="L338" i="17"/>
  <c r="L279" i="17"/>
  <c r="L260" i="17"/>
  <c r="L221" i="17"/>
  <c r="L205" i="17"/>
  <c r="L183" i="17"/>
  <c r="L145" i="17"/>
  <c r="L132" i="17"/>
  <c r="L115" i="17"/>
  <c r="L95" i="17"/>
  <c r="S95" i="17" s="1"/>
  <c r="L64" i="17"/>
  <c r="L55" i="17"/>
  <c r="L21" i="17"/>
  <c r="L19" i="17"/>
  <c r="L56" i="17"/>
  <c r="L337" i="17"/>
  <c r="L278" i="17"/>
  <c r="L259" i="17"/>
  <c r="L220" i="17"/>
  <c r="L180" i="17"/>
  <c r="L143" i="17"/>
  <c r="L131" i="17"/>
  <c r="L114" i="17"/>
  <c r="L94" i="17"/>
  <c r="L63" i="17"/>
  <c r="L52" i="17"/>
  <c r="L36" i="17"/>
  <c r="L65" i="17"/>
  <c r="L328" i="17"/>
  <c r="L277" i="17"/>
  <c r="L256" i="17"/>
  <c r="L217" i="17"/>
  <c r="L177" i="17"/>
  <c r="L141" i="17"/>
  <c r="L130" i="17"/>
  <c r="L113" i="17"/>
  <c r="L61" i="17"/>
  <c r="L51" i="17"/>
  <c r="L35" i="17"/>
  <c r="L17" i="17"/>
  <c r="L98" i="17"/>
  <c r="L327" i="17"/>
  <c r="L270" i="17"/>
  <c r="L253" i="17"/>
  <c r="N253" i="17" s="1"/>
  <c r="L214" i="17"/>
  <c r="L202" i="17"/>
  <c r="L171" i="17"/>
  <c r="L140" i="17"/>
  <c r="L111" i="17"/>
  <c r="L60" i="17"/>
  <c r="L50" i="17"/>
  <c r="L34" i="17"/>
  <c r="L15" i="17"/>
  <c r="J6" i="17"/>
  <c r="L296" i="17"/>
  <c r="D6" i="26" s="1"/>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L116" i="17"/>
  <c r="J94" i="17"/>
  <c r="L297" i="17"/>
  <c r="D7" i="26" s="1"/>
  <c r="L264" i="17"/>
  <c r="L225" i="17"/>
  <c r="L211" i="17"/>
  <c r="L197" i="17"/>
  <c r="N197" i="17" s="1"/>
  <c r="L147" i="17"/>
  <c r="L137" i="17"/>
  <c r="L120" i="17"/>
  <c r="L99" i="17"/>
  <c r="L66" i="17"/>
  <c r="L57" i="17"/>
  <c r="L44" i="17"/>
  <c r="L31" i="17"/>
  <c r="L261" i="17"/>
  <c r="L146" i="17"/>
  <c r="L22" i="17"/>
  <c r="AK482" i="17"/>
  <c r="AF468" i="3"/>
  <c r="AF454" i="3"/>
  <c r="AH454" i="3" s="1"/>
  <c r="AI454" i="3" s="1"/>
  <c r="AF453" i="3"/>
  <c r="AH453" i="3" s="1"/>
  <c r="AI453" i="3" s="1"/>
  <c r="AF452" i="3"/>
  <c r="AF491" i="3"/>
  <c r="AF459" i="3"/>
  <c r="AH459" i="3" s="1"/>
  <c r="AI459" i="3" s="1"/>
  <c r="AF458" i="3"/>
  <c r="AH458" i="3" s="1"/>
  <c r="AI458" i="3" s="1"/>
  <c r="AF419" i="3"/>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R177" i="3" s="1"/>
  <c r="J174" i="3"/>
  <c r="R174" i="3" s="1"/>
  <c r="J171" i="3"/>
  <c r="R171" i="3" s="1"/>
  <c r="J180" i="3"/>
  <c r="R180" i="3" s="1"/>
  <c r="F185" i="3"/>
  <c r="AF456" i="3"/>
  <c r="AH456" i="3" s="1"/>
  <c r="AI456" i="3" s="1"/>
  <c r="L71" i="3"/>
  <c r="L6" i="3"/>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11" i="3"/>
  <c r="L138" i="3"/>
  <c r="L146" i="3"/>
  <c r="L130" i="3"/>
  <c r="L115" i="3"/>
  <c r="L132" i="3"/>
  <c r="L139" i="3"/>
  <c r="L147" i="3"/>
  <c r="L131" i="3"/>
  <c r="L116" i="3"/>
  <c r="L120" i="3"/>
  <c r="L140" i="3"/>
  <c r="L133" i="3"/>
  <c r="L141" i="3"/>
  <c r="L135" i="3"/>
  <c r="L142" i="3"/>
  <c r="L123" i="3"/>
  <c r="L122" i="3"/>
  <c r="L125" i="3"/>
  <c r="L145" i="3"/>
  <c r="L143" i="3"/>
  <c r="L124" i="3"/>
  <c r="S124" i="3" s="1"/>
  <c r="L144" i="3"/>
  <c r="L113" i="3"/>
  <c r="L95" i="3"/>
  <c r="N95" i="3" s="1"/>
  <c r="AL408" i="3"/>
  <c r="AL440" i="3"/>
  <c r="F396" i="3"/>
  <c r="F250" i="3"/>
  <c r="AL427" i="3"/>
  <c r="AC470" i="3"/>
  <c r="AL412" i="3"/>
  <c r="L64" i="3"/>
  <c r="L57" i="3"/>
  <c r="L59" i="3"/>
  <c r="L70" i="3"/>
  <c r="L60" i="3"/>
  <c r="L61" i="3"/>
  <c r="L62" i="3"/>
  <c r="L58" i="3"/>
  <c r="L63" i="3"/>
  <c r="L56" i="3"/>
  <c r="L55" i="3"/>
  <c r="L65" i="3"/>
  <c r="L66" i="3"/>
  <c r="L43" i="3"/>
  <c r="L33" i="3"/>
  <c r="L44" i="3"/>
  <c r="L53" i="3"/>
  <c r="L36" i="3"/>
  <c r="L45" i="3"/>
  <c r="L35" i="3"/>
  <c r="L34" i="3"/>
  <c r="L52" i="3"/>
  <c r="L42" i="3"/>
  <c r="S42" i="3" s="1"/>
  <c r="AL409" i="3"/>
  <c r="AL469" i="3"/>
  <c r="F107" i="3"/>
  <c r="E134" i="3" s="1"/>
  <c r="AL423" i="3"/>
  <c r="S247" i="3"/>
  <c r="R302" i="3"/>
  <c r="R301" i="3"/>
  <c r="K180" i="3"/>
  <c r="J359" i="3"/>
  <c r="L359" i="3"/>
  <c r="L361" i="3" s="1"/>
  <c r="K187" i="3"/>
  <c r="M187" i="3" s="1"/>
  <c r="L180" i="3"/>
  <c r="S180" i="3" s="1"/>
  <c r="L240" i="3"/>
  <c r="E286" i="3"/>
  <c r="F288" i="3"/>
  <c r="E265" i="3"/>
  <c r="E113" i="3"/>
  <c r="E116" i="3"/>
  <c r="E112" i="3"/>
  <c r="E114" i="3"/>
  <c r="D107" i="3"/>
  <c r="E115" i="3"/>
  <c r="J295" i="3"/>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AL435" i="3"/>
  <c r="AL442" i="3"/>
  <c r="AL434" i="3"/>
  <c r="AL422" i="3"/>
  <c r="AL413" i="3"/>
  <c r="L93" i="3"/>
  <c r="K171" i="3"/>
  <c r="K190" i="3"/>
  <c r="J302" i="3"/>
  <c r="K302" i="3" s="1"/>
  <c r="K243" i="3"/>
  <c r="K240" i="3"/>
  <c r="M240" i="3" s="1"/>
  <c r="J296" i="3"/>
  <c r="B6" i="27" s="1"/>
  <c r="L6" i="27" s="1"/>
  <c r="K177" i="3"/>
  <c r="J311" i="3"/>
  <c r="J297" i="3"/>
  <c r="J307" i="3"/>
  <c r="K174" i="3"/>
  <c r="K176" i="3" s="1"/>
  <c r="J306" i="3"/>
  <c r="B14" i="27" s="1"/>
  <c r="J299" i="3"/>
  <c r="B9" i="27" s="1"/>
  <c r="J294" i="3"/>
  <c r="B4" i="27" s="1"/>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D10" i="27" s="1"/>
  <c r="J10" i="27" s="1"/>
  <c r="L298" i="3"/>
  <c r="L297" i="3"/>
  <c r="L311" i="3"/>
  <c r="N311" i="3" s="1"/>
  <c r="L295" i="3"/>
  <c r="L302" i="3"/>
  <c r="L307" i="3"/>
  <c r="L294" i="3"/>
  <c r="L296" i="3"/>
  <c r="L306" i="3"/>
  <c r="D14" i="27" s="1"/>
  <c r="L243" i="3"/>
  <c r="K265" i="3" s="1"/>
  <c r="L246" i="3"/>
  <c r="L174" i="3"/>
  <c r="S174" i="3" s="1"/>
  <c r="L187" i="3"/>
  <c r="S187" i="3" s="1"/>
  <c r="L183" i="3"/>
  <c r="C42" i="19" s="1"/>
  <c r="L177" i="3"/>
  <c r="L156" i="3"/>
  <c r="AF474" i="3" s="1"/>
  <c r="L103" i="3"/>
  <c r="L101" i="3"/>
  <c r="L102" i="3"/>
  <c r="J95" i="3"/>
  <c r="J99" i="3"/>
  <c r="J94" i="3"/>
  <c r="C11" i="19"/>
  <c r="L78" i="3"/>
  <c r="J17" i="3"/>
  <c r="L23" i="3"/>
  <c r="L21" i="3"/>
  <c r="L22" i="3"/>
  <c r="L19" i="3"/>
  <c r="J6" i="3"/>
  <c r="AL428" i="3"/>
  <c r="AL429" i="3"/>
  <c r="F154" i="3"/>
  <c r="J243" i="3"/>
  <c r="J246" i="3"/>
  <c r="F350" i="3"/>
  <c r="E350" i="3" s="1"/>
  <c r="E329" i="3"/>
  <c r="F230" i="3"/>
  <c r="R95" i="3" l="1"/>
  <c r="M95" i="3"/>
  <c r="K179" i="3"/>
  <c r="R298" i="3"/>
  <c r="B8" i="27"/>
  <c r="L8" i="27" s="1"/>
  <c r="N296" i="3"/>
  <c r="D6" i="27"/>
  <c r="L14" i="27"/>
  <c r="D16" i="26"/>
  <c r="C14" i="26"/>
  <c r="N14" i="26" s="1"/>
  <c r="J14" i="26"/>
  <c r="J16" i="26" s="1"/>
  <c r="C9" i="26"/>
  <c r="N9" i="26" s="1"/>
  <c r="J9" i="26"/>
  <c r="L5" i="26"/>
  <c r="L7" i="26"/>
  <c r="N294" i="3"/>
  <c r="D4" i="27"/>
  <c r="C4" i="27" s="1"/>
  <c r="N4" i="27" s="1"/>
  <c r="R295" i="3"/>
  <c r="B5" i="27"/>
  <c r="J7" i="26"/>
  <c r="C7" i="26"/>
  <c r="N7" i="26" s="1"/>
  <c r="L9" i="26"/>
  <c r="B12" i="26"/>
  <c r="L4" i="26"/>
  <c r="C15" i="26"/>
  <c r="N15" i="26" s="1"/>
  <c r="L15" i="26"/>
  <c r="R307" i="3"/>
  <c r="B15" i="27"/>
  <c r="L15" i="27" s="1"/>
  <c r="R297" i="3"/>
  <c r="B7" i="27"/>
  <c r="J5" i="26"/>
  <c r="C5" i="26"/>
  <c r="N5" i="26" s="1"/>
  <c r="L8" i="26"/>
  <c r="N307" i="3"/>
  <c r="D15" i="27"/>
  <c r="D16" i="27" s="1"/>
  <c r="N295" i="3"/>
  <c r="D5" i="27"/>
  <c r="B16" i="26"/>
  <c r="L14" i="26"/>
  <c r="J6" i="26"/>
  <c r="C6" i="26"/>
  <c r="N6" i="26" s="1"/>
  <c r="N297" i="3"/>
  <c r="D7" i="27"/>
  <c r="L4" i="27"/>
  <c r="N299" i="3"/>
  <c r="D9" i="27"/>
  <c r="C14" i="27"/>
  <c r="N14" i="27" s="1"/>
  <c r="J14" i="27"/>
  <c r="N298" i="3"/>
  <c r="D8" i="27"/>
  <c r="L9" i="27"/>
  <c r="C4" i="26"/>
  <c r="N4" i="26" s="1"/>
  <c r="J4" i="26"/>
  <c r="L10" i="26"/>
  <c r="N10" i="26" s="1"/>
  <c r="D12" i="26"/>
  <c r="J8" i="26"/>
  <c r="C8" i="26"/>
  <c r="N8" i="26" s="1"/>
  <c r="P526" i="3"/>
  <c r="O527" i="3"/>
  <c r="P527" i="3" s="1"/>
  <c r="K526" i="3"/>
  <c r="J536" i="3"/>
  <c r="J537" i="3" s="1"/>
  <c r="K537" i="3" s="1"/>
  <c r="O537" i="3"/>
  <c r="P537" i="3" s="1"/>
  <c r="P536" i="3"/>
  <c r="H15" i="3"/>
  <c r="O518" i="3"/>
  <c r="P518" i="3" s="1"/>
  <c r="P517" i="3"/>
  <c r="J518" i="3"/>
  <c r="K518" i="3" s="1"/>
  <c r="K517" i="3"/>
  <c r="L13" i="3"/>
  <c r="AP475" i="17"/>
  <c r="AP474" i="17"/>
  <c r="AP419" i="17"/>
  <c r="AR452" i="17"/>
  <c r="AP452" i="17"/>
  <c r="AR453" i="17"/>
  <c r="AP453" i="17"/>
  <c r="AR468" i="17"/>
  <c r="AP468" i="17"/>
  <c r="AP493" i="17"/>
  <c r="AR461" i="17"/>
  <c r="AP461" i="17"/>
  <c r="AR455" i="17"/>
  <c r="AP455" i="17"/>
  <c r="AR456" i="17"/>
  <c r="AP456" i="17"/>
  <c r="AR457" i="17"/>
  <c r="AP457" i="17"/>
  <c r="AR459" i="17"/>
  <c r="AP459" i="17"/>
  <c r="AR460" i="17"/>
  <c r="AP460" i="17"/>
  <c r="AR454" i="17"/>
  <c r="AP454" i="17"/>
  <c r="AR492" i="17"/>
  <c r="AP492" i="17"/>
  <c r="AR490" i="17"/>
  <c r="AP490" i="17"/>
  <c r="AR491" i="17"/>
  <c r="AP491" i="17"/>
  <c r="AR458" i="17"/>
  <c r="AP458" i="17"/>
  <c r="AR447" i="17"/>
  <c r="AP447" i="17"/>
  <c r="U131" i="17"/>
  <c r="U206" i="17"/>
  <c r="U262" i="17"/>
  <c r="U327" i="17"/>
  <c r="U130" i="17"/>
  <c r="U207" i="17"/>
  <c r="U263" i="17"/>
  <c r="U325" i="17"/>
  <c r="U52" i="17"/>
  <c r="U261" i="17"/>
  <c r="U50" i="17"/>
  <c r="U132" i="17"/>
  <c r="U205" i="17"/>
  <c r="U326" i="17"/>
  <c r="U51" i="17"/>
  <c r="E15" i="3"/>
  <c r="E17" i="3"/>
  <c r="G27" i="3"/>
  <c r="C6" i="25" s="1"/>
  <c r="AH419" i="17"/>
  <c r="AI419" i="17" s="1"/>
  <c r="AR419" i="17"/>
  <c r="H17" i="3"/>
  <c r="G24" i="3"/>
  <c r="H35" i="3" s="1"/>
  <c r="D24" i="3"/>
  <c r="D27" i="3"/>
  <c r="L96" i="3"/>
  <c r="AF470" i="17"/>
  <c r="N75" i="17"/>
  <c r="AC410" i="3"/>
  <c r="AC411" i="3"/>
  <c r="N77" i="3"/>
  <c r="N40" i="3"/>
  <c r="L41" i="3"/>
  <c r="L148" i="17"/>
  <c r="N148" i="17" s="1"/>
  <c r="L344" i="17"/>
  <c r="N344" i="17" s="1"/>
  <c r="L280" i="17"/>
  <c r="L284" i="17" s="1"/>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Z448" i="3"/>
  <c r="Z431" i="3"/>
  <c r="Z478" i="3"/>
  <c r="Z425" i="3"/>
  <c r="Z462" i="3"/>
  <c r="Z416" i="3"/>
  <c r="Z476" i="3"/>
  <c r="Z463" i="3"/>
  <c r="Z415" i="3"/>
  <c r="Z426" i="3"/>
  <c r="Z464" i="3"/>
  <c r="Z495" i="3"/>
  <c r="Z450" i="3"/>
  <c r="Z496" i="3"/>
  <c r="Z424" i="3"/>
  <c r="Z417" i="3"/>
  <c r="Z449" i="3"/>
  <c r="Z477" i="3"/>
  <c r="Z494" i="3"/>
  <c r="E32" i="3"/>
  <c r="I13" i="3"/>
  <c r="D5" i="19" s="1"/>
  <c r="H6" i="3"/>
  <c r="Z471" i="3"/>
  <c r="Z413" i="3"/>
  <c r="E64" i="19" s="1"/>
  <c r="I41" i="3"/>
  <c r="H31" i="3"/>
  <c r="I24" i="3"/>
  <c r="H24" i="3" s="1"/>
  <c r="E6" i="3"/>
  <c r="F13" i="3"/>
  <c r="D31" i="3" s="1"/>
  <c r="F54" i="3"/>
  <c r="F72" i="3"/>
  <c r="E31" i="3"/>
  <c r="F41" i="3"/>
  <c r="E13" i="19" s="1"/>
  <c r="F24" i="3"/>
  <c r="AF494" i="3"/>
  <c r="AP494" i="17" s="1"/>
  <c r="AF478" i="3"/>
  <c r="AF496" i="3"/>
  <c r="AF477" i="3"/>
  <c r="AF462" i="3"/>
  <c r="AP462" i="17" s="1"/>
  <c r="AF431" i="3"/>
  <c r="AF449" i="3"/>
  <c r="AF448" i="3"/>
  <c r="AF426" i="3"/>
  <c r="AF495" i="3"/>
  <c r="AP495" i="17" s="1"/>
  <c r="AF476" i="3"/>
  <c r="AF450" i="3"/>
  <c r="AF425" i="3"/>
  <c r="AF417" i="3"/>
  <c r="AF464" i="3"/>
  <c r="AP464" i="17" s="1"/>
  <c r="AF424" i="3"/>
  <c r="AF416" i="3"/>
  <c r="AF415" i="3"/>
  <c r="AF463" i="3"/>
  <c r="AP463" i="17" s="1"/>
  <c r="I83" i="3"/>
  <c r="D15" i="19" s="1"/>
  <c r="K394" i="17"/>
  <c r="C40" i="19"/>
  <c r="H40" i="19" s="1"/>
  <c r="K40" i="19" s="1"/>
  <c r="M180" i="3"/>
  <c r="M177" i="3"/>
  <c r="AC428" i="3"/>
  <c r="AC429" i="3"/>
  <c r="C24" i="19"/>
  <c r="G24" i="19" s="1"/>
  <c r="J24" i="19" s="1"/>
  <c r="C7" i="19"/>
  <c r="H7" i="19" s="1"/>
  <c r="K7" i="19" s="1"/>
  <c r="C41" i="19"/>
  <c r="H41" i="19" s="1"/>
  <c r="K41" i="19" s="1"/>
  <c r="L68" i="17"/>
  <c r="N68" i="17" s="1"/>
  <c r="L224" i="17"/>
  <c r="S224" i="17" s="1"/>
  <c r="F64" i="19"/>
  <c r="C53" i="19"/>
  <c r="H53" i="19" s="1"/>
  <c r="K53" i="19" s="1"/>
  <c r="C54" i="19"/>
  <c r="H54" i="19" s="1"/>
  <c r="K54" i="19" s="1"/>
  <c r="S394" i="17"/>
  <c r="N394" i="17"/>
  <c r="N359" i="17"/>
  <c r="L361" i="17"/>
  <c r="S359" i="17"/>
  <c r="S376" i="17"/>
  <c r="L396" i="17"/>
  <c r="K376" i="17"/>
  <c r="N376" i="17"/>
  <c r="N317"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N75" i="3"/>
  <c r="S122" i="3"/>
  <c r="N122" i="3"/>
  <c r="AF472" i="3"/>
  <c r="S77" i="3"/>
  <c r="AI460" i="3"/>
  <c r="B30" i="2"/>
  <c r="AN447" i="17"/>
  <c r="AO447" i="17" s="1"/>
  <c r="AF414" i="3"/>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M174"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AK412" i="3"/>
  <c r="M12" i="3"/>
  <c r="N6" i="3"/>
  <c r="P13" i="3"/>
  <c r="O27" i="3"/>
  <c r="P21" i="3"/>
  <c r="P23" i="3"/>
  <c r="P22" i="3"/>
  <c r="K173" i="3"/>
  <c r="Z427" i="3"/>
  <c r="AC412" i="3"/>
  <c r="O24" i="3"/>
  <c r="P37" i="3" s="1"/>
  <c r="Q27" i="3"/>
  <c r="P41" i="3" s="1"/>
  <c r="S146" i="17"/>
  <c r="N146" i="17"/>
  <c r="S137" i="17"/>
  <c r="N137" i="17"/>
  <c r="J96" i="17"/>
  <c r="L158" i="17" s="1"/>
  <c r="L82" i="17" s="1"/>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AF441" i="17"/>
  <c r="AR441" i="17" s="1"/>
  <c r="S62" i="17"/>
  <c r="N62" i="17"/>
  <c r="S206" i="17"/>
  <c r="N206" i="17"/>
  <c r="S320" i="17"/>
  <c r="N320" i="17"/>
  <c r="M98" i="17"/>
  <c r="K98" i="17"/>
  <c r="R98" i="17"/>
  <c r="S333" i="17"/>
  <c r="N333" i="17"/>
  <c r="S136" i="17"/>
  <c r="N136" i="17"/>
  <c r="S266" i="17"/>
  <c r="N266" i="17"/>
  <c r="S267" i="17"/>
  <c r="N267" i="17"/>
  <c r="S262" i="17"/>
  <c r="N262" i="17"/>
  <c r="AN490" i="17"/>
  <c r="AO490" i="17" s="1"/>
  <c r="AH490" i="17"/>
  <c r="AI490" i="17" s="1"/>
  <c r="S261" i="17"/>
  <c r="N261" i="17"/>
  <c r="S147" i="17"/>
  <c r="N147" i="17"/>
  <c r="S116" i="17"/>
  <c r="N116" i="17"/>
  <c r="S123" i="17"/>
  <c r="N123" i="17"/>
  <c r="S71" i="17"/>
  <c r="N71" i="17"/>
  <c r="S269" i="17"/>
  <c r="N269" i="17"/>
  <c r="S15" i="17"/>
  <c r="N15" i="17"/>
  <c r="L172" i="17"/>
  <c r="S171" i="17"/>
  <c r="L184" i="17"/>
  <c r="N171" i="17"/>
  <c r="S17" i="17"/>
  <c r="N17" i="17"/>
  <c r="AF430" i="17"/>
  <c r="AR430" i="17" s="1"/>
  <c r="N52" i="17"/>
  <c r="S52" i="17"/>
  <c r="S220" i="17"/>
  <c r="N220" i="17"/>
  <c r="AF433" i="17"/>
  <c r="AR433" i="17" s="1"/>
  <c r="S55" i="17"/>
  <c r="N55" i="17"/>
  <c r="S221" i="17"/>
  <c r="N221" i="17"/>
  <c r="S78" i="17"/>
  <c r="AF469" i="17"/>
  <c r="AR469" i="17" s="1"/>
  <c r="N78" i="17"/>
  <c r="E32" i="24" s="1"/>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S138" i="17"/>
  <c r="N138" i="17"/>
  <c r="J184" i="17"/>
  <c r="R5" i="24" s="1"/>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AF428" i="17"/>
  <c r="AR428" i="17" s="1"/>
  <c r="S214" i="17"/>
  <c r="N214" i="17"/>
  <c r="S51" i="17"/>
  <c r="AF429" i="17"/>
  <c r="AR429" i="17" s="1"/>
  <c r="N51" i="17"/>
  <c r="S256" i="17"/>
  <c r="N256" i="17"/>
  <c r="L96" i="17"/>
  <c r="J111" i="17" s="1"/>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S274" i="17"/>
  <c r="N274" i="17"/>
  <c r="S208" i="17"/>
  <c r="N208" i="17"/>
  <c r="S325" i="17"/>
  <c r="N325" i="17"/>
  <c r="S210" i="17"/>
  <c r="N210" i="17"/>
  <c r="S326" i="17"/>
  <c r="N326" i="17"/>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S131" i="17"/>
  <c r="S56" i="17"/>
  <c r="AF434" i="17"/>
  <c r="AR434" i="17" s="1"/>
  <c r="N56" i="17"/>
  <c r="S132" i="17"/>
  <c r="N132" i="17"/>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21" i="17" s="1"/>
  <c r="N111" i="17"/>
  <c r="S327" i="17"/>
  <c r="N327" i="17"/>
  <c r="S130" i="17"/>
  <c r="N130" i="17"/>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N35" i="3"/>
  <c r="AF412" i="3"/>
  <c r="AF423" i="3"/>
  <c r="N36" i="3"/>
  <c r="AF413" i="3"/>
  <c r="AF428" i="3"/>
  <c r="AF429" i="3"/>
  <c r="AF420" i="3"/>
  <c r="AF422" i="3"/>
  <c r="AF427" i="3"/>
  <c r="AF430" i="3"/>
  <c r="N33" i="3"/>
  <c r="AF410" i="3"/>
  <c r="AF434" i="3"/>
  <c r="AF445" i="3"/>
  <c r="N44" i="3"/>
  <c r="AF442" i="3"/>
  <c r="AF443" i="3"/>
  <c r="N58" i="3"/>
  <c r="AF436" i="3"/>
  <c r="AF441" i="3"/>
  <c r="N43" i="3"/>
  <c r="AF440" i="3"/>
  <c r="S71" i="3"/>
  <c r="AF438" i="3"/>
  <c r="N45" i="3"/>
  <c r="AF444" i="3"/>
  <c r="AF446" i="3"/>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E32" i="25" s="1"/>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Z419" i="3" s="1"/>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M171" i="3"/>
  <c r="K184" i="3"/>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R96" i="3" s="1"/>
  <c r="R97" i="3" s="1"/>
  <c r="K94" i="3"/>
  <c r="J96" i="3"/>
  <c r="L158" i="3" s="1"/>
  <c r="L82" i="3" s="1"/>
  <c r="M94" i="3"/>
  <c r="K95" i="3"/>
  <c r="S95" i="3"/>
  <c r="S96" i="3" s="1"/>
  <c r="S97" i="3" s="1"/>
  <c r="N94" i="3"/>
  <c r="N55" i="3"/>
  <c r="S55" i="3"/>
  <c r="AF469" i="3"/>
  <c r="S59" i="3"/>
  <c r="S58" i="3"/>
  <c r="S56" i="3"/>
  <c r="N56" i="3"/>
  <c r="N57" i="3"/>
  <c r="S57" i="3"/>
  <c r="AF471" i="3"/>
  <c r="S76" i="3"/>
  <c r="N76" i="3"/>
  <c r="S43" i="3"/>
  <c r="S36" i="3"/>
  <c r="S44" i="3"/>
  <c r="S45" i="3"/>
  <c r="L54" i="3"/>
  <c r="S35" i="3"/>
  <c r="S33" i="3"/>
  <c r="S32" i="3"/>
  <c r="N31" i="3"/>
  <c r="S31" i="3"/>
  <c r="S34" i="3"/>
  <c r="R17" i="3"/>
  <c r="M17" i="3"/>
  <c r="N22" i="3"/>
  <c r="S22" i="3"/>
  <c r="S21" i="3"/>
  <c r="L24" i="3"/>
  <c r="J32" i="3" s="1"/>
  <c r="N21" i="3"/>
  <c r="N23" i="3"/>
  <c r="S23" i="3"/>
  <c r="N19" i="3"/>
  <c r="S19" i="3"/>
  <c r="N17" i="3"/>
  <c r="S17" i="3"/>
  <c r="K17" i="3"/>
  <c r="N15" i="3"/>
  <c r="S15" i="3"/>
  <c r="K6" i="3"/>
  <c r="J13" i="3"/>
  <c r="R6" i="3"/>
  <c r="M6" i="3"/>
  <c r="S6" i="3"/>
  <c r="J184" i="3"/>
  <c r="N361" i="3"/>
  <c r="S361" i="3"/>
  <c r="F232" i="3"/>
  <c r="B12" i="27" l="1"/>
  <c r="L16" i="27"/>
  <c r="N12" i="26"/>
  <c r="B18" i="26"/>
  <c r="F20" i="26" s="1"/>
  <c r="J12" i="26"/>
  <c r="J18" i="26" s="1"/>
  <c r="J9" i="27"/>
  <c r="C9" i="27"/>
  <c r="N9" i="27" s="1"/>
  <c r="N16" i="26"/>
  <c r="B16" i="27"/>
  <c r="B18" i="27" s="1"/>
  <c r="F20" i="27" s="1"/>
  <c r="L16" i="26"/>
  <c r="L5" i="27"/>
  <c r="J6" i="27"/>
  <c r="C6" i="27"/>
  <c r="N6" i="27" s="1"/>
  <c r="J8" i="27"/>
  <c r="C8" i="27"/>
  <c r="N8" i="27" s="1"/>
  <c r="C16" i="26"/>
  <c r="J15" i="27"/>
  <c r="J16" i="27" s="1"/>
  <c r="C15" i="27"/>
  <c r="N15" i="27" s="1"/>
  <c r="N16" i="27" s="1"/>
  <c r="C5" i="27"/>
  <c r="N5" i="27" s="1"/>
  <c r="J5" i="27"/>
  <c r="L7" i="27"/>
  <c r="L12" i="26"/>
  <c r="J4" i="27"/>
  <c r="D12" i="27"/>
  <c r="L10" i="27"/>
  <c r="N10" i="27" s="1"/>
  <c r="D18" i="26"/>
  <c r="C12" i="26"/>
  <c r="J7" i="27"/>
  <c r="C7" i="27"/>
  <c r="N7" i="27" s="1"/>
  <c r="AP438" i="17"/>
  <c r="K536" i="3"/>
  <c r="S5" i="24"/>
  <c r="S10" i="24" s="1"/>
  <c r="S12" i="24" s="1"/>
  <c r="H32" i="3"/>
  <c r="R22" i="24"/>
  <c r="R11" i="24"/>
  <c r="T11" i="24" s="1"/>
  <c r="R15" i="24"/>
  <c r="R7" i="24"/>
  <c r="R8" i="24" s="1"/>
  <c r="R20" i="24"/>
  <c r="R10" i="24"/>
  <c r="R184" i="3"/>
  <c r="R5" i="25"/>
  <c r="C16" i="25"/>
  <c r="S5" i="25"/>
  <c r="AP411" i="17"/>
  <c r="AP434" i="17"/>
  <c r="AP409" i="17"/>
  <c r="AP436" i="17"/>
  <c r="AP422" i="17"/>
  <c r="AP408" i="17"/>
  <c r="AP413" i="17"/>
  <c r="C64" i="19"/>
  <c r="G64" i="19" s="1"/>
  <c r="J64" i="19" s="1"/>
  <c r="AP427" i="17"/>
  <c r="AP435" i="17"/>
  <c r="AP410" i="17"/>
  <c r="AP423" i="17"/>
  <c r="AP428" i="17"/>
  <c r="AP412" i="17"/>
  <c r="AP437" i="17"/>
  <c r="AP433" i="17"/>
  <c r="AP420" i="17"/>
  <c r="AP416" i="17"/>
  <c r="AP425" i="17"/>
  <c r="AP424" i="17"/>
  <c r="AP450" i="17"/>
  <c r="AP448" i="17"/>
  <c r="AP477" i="17"/>
  <c r="AP476" i="17"/>
  <c r="AP449" i="17"/>
  <c r="AP439" i="17"/>
  <c r="AP417" i="17"/>
  <c r="AP431" i="17"/>
  <c r="AP478" i="17"/>
  <c r="AP473" i="17"/>
  <c r="AN444" i="3"/>
  <c r="AO444" i="3" s="1"/>
  <c r="AP444" i="17"/>
  <c r="AN440" i="3"/>
  <c r="AO440" i="3" s="1"/>
  <c r="AP440" i="17"/>
  <c r="AN445" i="3"/>
  <c r="AO445" i="3" s="1"/>
  <c r="AP445" i="17"/>
  <c r="AP430" i="17"/>
  <c r="AP429" i="17"/>
  <c r="C66" i="19"/>
  <c r="G66" i="19" s="1"/>
  <c r="J66" i="19" s="1"/>
  <c r="AP414" i="17"/>
  <c r="AN471" i="3"/>
  <c r="AP471" i="17"/>
  <c r="AH446" i="3"/>
  <c r="AI446" i="3" s="1"/>
  <c r="AP446" i="17"/>
  <c r="AN421" i="3"/>
  <c r="AO421" i="3" s="1"/>
  <c r="AP421" i="17"/>
  <c r="AN426" i="3"/>
  <c r="AO426" i="3" s="1"/>
  <c r="AP426" i="17"/>
  <c r="AN472" i="3"/>
  <c r="AP472" i="17"/>
  <c r="AN470" i="3"/>
  <c r="AO470" i="3" s="1"/>
  <c r="AP470" i="17"/>
  <c r="AN496" i="3"/>
  <c r="AO496" i="3" s="1"/>
  <c r="AP496" i="17"/>
  <c r="AH443" i="3"/>
  <c r="AI443" i="3" s="1"/>
  <c r="AP443" i="17"/>
  <c r="AP469" i="17"/>
  <c r="AN441" i="3"/>
  <c r="AO441" i="3" s="1"/>
  <c r="AP441" i="17"/>
  <c r="AH442" i="3"/>
  <c r="AI442" i="3" s="1"/>
  <c r="AP442" i="17"/>
  <c r="AE415" i="3"/>
  <c r="AP415" i="17"/>
  <c r="AC419" i="3"/>
  <c r="AH419" i="3" s="1"/>
  <c r="AI419" i="3" s="1"/>
  <c r="Z432" i="3"/>
  <c r="AN428" i="3"/>
  <c r="AO428" i="3" s="1"/>
  <c r="K193" i="3"/>
  <c r="L186" i="3"/>
  <c r="D9" i="19"/>
  <c r="D12" i="19" s="1"/>
  <c r="AH470" i="17"/>
  <c r="AI470" i="17" s="1"/>
  <c r="AR470" i="17"/>
  <c r="H34" i="3"/>
  <c r="G31" i="3"/>
  <c r="H40" i="3"/>
  <c r="E37" i="3"/>
  <c r="E39" i="3"/>
  <c r="E38" i="3"/>
  <c r="E36" i="3"/>
  <c r="E40" i="3"/>
  <c r="E35" i="3"/>
  <c r="H39" i="3"/>
  <c r="H38" i="3"/>
  <c r="H37" i="3"/>
  <c r="E34" i="3"/>
  <c r="H33" i="3"/>
  <c r="H36" i="3"/>
  <c r="E33" i="3"/>
  <c r="C21" i="19"/>
  <c r="H21" i="19" s="1"/>
  <c r="K21" i="19" s="1"/>
  <c r="L348" i="17"/>
  <c r="L350" i="17" s="1"/>
  <c r="L27" i="3"/>
  <c r="J24" i="3"/>
  <c r="L152" i="17"/>
  <c r="N152" i="17" s="1"/>
  <c r="S148" i="17"/>
  <c r="AH464" i="3"/>
  <c r="AH476" i="3"/>
  <c r="AH449" i="3"/>
  <c r="AH494" i="3"/>
  <c r="AH495" i="3"/>
  <c r="C30" i="19"/>
  <c r="I30" i="19" s="1"/>
  <c r="L30" i="19" s="1"/>
  <c r="AN470" i="17"/>
  <c r="AO470" i="17" s="1"/>
  <c r="AH410" i="3"/>
  <c r="AI410" i="3" s="1"/>
  <c r="S344" i="17"/>
  <c r="S348" i="17" s="1"/>
  <c r="AH431" i="3"/>
  <c r="AH478" i="3"/>
  <c r="AF465" i="3"/>
  <c r="AP465" i="17" s="1"/>
  <c r="AN449" i="3"/>
  <c r="AO449" i="3" s="1"/>
  <c r="AH450" i="3"/>
  <c r="AN494" i="3"/>
  <c r="AO494" i="3" s="1"/>
  <c r="AN476" i="3"/>
  <c r="AO476" i="3" s="1"/>
  <c r="AH448" i="3"/>
  <c r="AH477" i="3"/>
  <c r="AH463" i="3"/>
  <c r="AH496" i="3"/>
  <c r="AH426" i="3"/>
  <c r="E5" i="19"/>
  <c r="E8" i="19" s="1"/>
  <c r="AN478" i="3"/>
  <c r="AN495" i="3"/>
  <c r="AO495" i="3" s="1"/>
  <c r="I27" i="3"/>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9" i="19"/>
  <c r="C12" i="19" s="1"/>
  <c r="N224" i="17"/>
  <c r="L228" i="17"/>
  <c r="S228" i="17" s="1"/>
  <c r="I41" i="19"/>
  <c r="L41" i="19" s="1"/>
  <c r="G53" i="19"/>
  <c r="J53" i="19" s="1"/>
  <c r="G41" i="19"/>
  <c r="J41" i="19" s="1"/>
  <c r="G54" i="19"/>
  <c r="J54" i="19" s="1"/>
  <c r="I54" i="19"/>
  <c r="L54" i="19" s="1"/>
  <c r="I53" i="19"/>
  <c r="L53" i="19" s="1"/>
  <c r="N158" i="17"/>
  <c r="J33" i="24" s="1"/>
  <c r="S158" i="17"/>
  <c r="C13" i="19"/>
  <c r="I13" i="19" s="1"/>
  <c r="L13" i="19" s="1"/>
  <c r="K396" i="17"/>
  <c r="S396" i="17"/>
  <c r="N396" i="17"/>
  <c r="N361" i="17"/>
  <c r="S361" i="17"/>
  <c r="L398" i="17"/>
  <c r="E14" i="19"/>
  <c r="D8" i="19"/>
  <c r="D4" i="19"/>
  <c r="C4" i="19"/>
  <c r="I4" i="19" s="1"/>
  <c r="L4" i="19" s="1"/>
  <c r="C22" i="19"/>
  <c r="I22" i="19" s="1"/>
  <c r="L22" i="19" s="1"/>
  <c r="C5" i="19"/>
  <c r="C8" i="19" s="1"/>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AH470" i="3"/>
  <c r="AI470" i="3" s="1"/>
  <c r="AH414" i="3"/>
  <c r="AI414" i="3" s="1"/>
  <c r="J31" i="3"/>
  <c r="J158" i="3"/>
  <c r="K158" i="3" s="1"/>
  <c r="AH472" i="3"/>
  <c r="AI472" i="3" s="1"/>
  <c r="J111"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Y415" i="3"/>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R418" i="17" s="1"/>
  <c r="AH408" i="17"/>
  <c r="AI408" i="17" s="1"/>
  <c r="L185" i="17"/>
  <c r="L193" i="17"/>
  <c r="O5" i="24" s="1"/>
  <c r="S184" i="17"/>
  <c r="S185" i="17" s="1"/>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S250" i="17" s="1"/>
  <c r="N249" i="17"/>
  <c r="N250" i="17" s="1"/>
  <c r="AN438" i="17"/>
  <c r="AO438" i="17" s="1"/>
  <c r="AH438" i="17"/>
  <c r="AI438" i="17" s="1"/>
  <c r="K96" i="17"/>
  <c r="L107" i="17"/>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H5" i="24" s="1"/>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K13" i="17"/>
  <c r="K23" i="17"/>
  <c r="R23" i="17" s="1"/>
  <c r="K193" i="17"/>
  <c r="M5" i="24" s="1"/>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S250" i="3" s="1"/>
  <c r="K376" i="3"/>
  <c r="S376" i="3"/>
  <c r="N376" i="3"/>
  <c r="N134" i="3"/>
  <c r="N249" i="3"/>
  <c r="N250" i="3" s="1"/>
  <c r="L396" i="3"/>
  <c r="S396" i="3" s="1"/>
  <c r="N394" i="3"/>
  <c r="S394" i="3"/>
  <c r="L185" i="3"/>
  <c r="L193" i="3"/>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U32" i="3" s="1"/>
  <c r="J107" i="3"/>
  <c r="H5" i="25" s="1"/>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AH408" i="3"/>
  <c r="AI408" i="3" s="1"/>
  <c r="AN408" i="3"/>
  <c r="AO408" i="3" s="1"/>
  <c r="AE408" i="3"/>
  <c r="S24" i="3"/>
  <c r="S25" i="3" s="1"/>
  <c r="N24" i="3"/>
  <c r="N25" i="3" s="1"/>
  <c r="M13" i="3"/>
  <c r="R13" i="3"/>
  <c r="R14" i="3" s="1"/>
  <c r="S13" i="3"/>
  <c r="S14" i="3" s="1"/>
  <c r="J27" i="3"/>
  <c r="C5" i="25" s="1"/>
  <c r="K22" i="3"/>
  <c r="R22" i="3" s="1"/>
  <c r="K23" i="3"/>
  <c r="R23" i="3" s="1"/>
  <c r="K21" i="3"/>
  <c r="R21" i="3" s="1"/>
  <c r="K13" i="3"/>
  <c r="N13" i="3"/>
  <c r="J34" i="24" l="1"/>
  <c r="C18" i="26"/>
  <c r="S22" i="24"/>
  <c r="T22" i="24" s="1"/>
  <c r="N18" i="26"/>
  <c r="N12" i="27"/>
  <c r="N18" i="27" s="1"/>
  <c r="L12" i="27"/>
  <c r="L18" i="27" s="1"/>
  <c r="D18" i="27"/>
  <c r="C18" i="27" s="1"/>
  <c r="C12" i="27"/>
  <c r="J12" i="27"/>
  <c r="J18" i="27" s="1"/>
  <c r="C16" i="27"/>
  <c r="L18" i="26"/>
  <c r="S7" i="24"/>
  <c r="S8" i="24" s="1"/>
  <c r="T5" i="24"/>
  <c r="T7" i="24" s="1"/>
  <c r="S20" i="24"/>
  <c r="D5" i="24"/>
  <c r="T10" i="24"/>
  <c r="T12" i="24" s="1"/>
  <c r="R12" i="24"/>
  <c r="R23" i="24"/>
  <c r="M10" i="24"/>
  <c r="M15" i="24"/>
  <c r="M7" i="24"/>
  <c r="M8" i="24" s="1"/>
  <c r="M22" i="24"/>
  <c r="M11" i="24"/>
  <c r="O11" i="24" s="1"/>
  <c r="M20" i="24"/>
  <c r="R17" i="24"/>
  <c r="T15" i="24"/>
  <c r="T17" i="24" s="1"/>
  <c r="H20" i="24"/>
  <c r="H7" i="24"/>
  <c r="H8" i="24" s="1"/>
  <c r="H10" i="24"/>
  <c r="H22" i="24"/>
  <c r="H11" i="24"/>
  <c r="J11" i="24" s="1"/>
  <c r="H15" i="24"/>
  <c r="K121" i="17"/>
  <c r="I5" i="24"/>
  <c r="U306" i="17"/>
  <c r="C5" i="24"/>
  <c r="N5" i="24"/>
  <c r="O7" i="24"/>
  <c r="C20" i="25"/>
  <c r="C15" i="25"/>
  <c r="C17" i="25" s="1"/>
  <c r="C7" i="25"/>
  <c r="C8" i="25" s="1"/>
  <c r="C22" i="25"/>
  <c r="C10" i="25"/>
  <c r="C11" i="25"/>
  <c r="C38" i="19"/>
  <c r="I38" i="19" s="1"/>
  <c r="L38" i="19" s="1"/>
  <c r="M5" i="25"/>
  <c r="D5" i="25"/>
  <c r="S22" i="25"/>
  <c r="S7" i="25"/>
  <c r="S8" i="25" s="1"/>
  <c r="S10" i="25"/>
  <c r="S12" i="25" s="1"/>
  <c r="S20" i="25"/>
  <c r="AC406" i="3"/>
  <c r="AA465" i="3" s="1"/>
  <c r="D6" i="25"/>
  <c r="H15" i="25"/>
  <c r="H7" i="25"/>
  <c r="H8" i="25" s="1"/>
  <c r="H22" i="25"/>
  <c r="H10" i="25"/>
  <c r="H11" i="25"/>
  <c r="J11" i="25" s="1"/>
  <c r="H20" i="25"/>
  <c r="R15" i="25"/>
  <c r="R20" i="25"/>
  <c r="T5" i="25"/>
  <c r="R22" i="25"/>
  <c r="R7" i="25"/>
  <c r="R8" i="25" s="1"/>
  <c r="R10" i="25"/>
  <c r="R11" i="25"/>
  <c r="T11" i="25" s="1"/>
  <c r="N193" i="3"/>
  <c r="N194" i="3" s="1"/>
  <c r="O5" i="25"/>
  <c r="S27" i="17"/>
  <c r="S28" i="17" s="1"/>
  <c r="X18" i="17"/>
  <c r="Y18" i="17" s="1"/>
  <c r="K41" i="3"/>
  <c r="H66" i="19"/>
  <c r="K66" i="19" s="1"/>
  <c r="I66" i="19"/>
  <c r="L66" i="19" s="1"/>
  <c r="AM415" i="3"/>
  <c r="AP432" i="17"/>
  <c r="AG415" i="3"/>
  <c r="C70" i="19"/>
  <c r="I70" i="19" s="1"/>
  <c r="L70" i="19" s="1"/>
  <c r="AP418" i="17"/>
  <c r="AC432" i="3"/>
  <c r="AI469" i="3"/>
  <c r="AH432" i="17"/>
  <c r="AI432" i="17" s="1"/>
  <c r="AR432" i="17"/>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H27" i="3"/>
  <c r="I85" i="3"/>
  <c r="H54" i="3"/>
  <c r="H41" i="3"/>
  <c r="H8" i="19"/>
  <c r="K8" i="19" s="1"/>
  <c r="D14" i="19"/>
  <c r="H9" i="19"/>
  <c r="K9" i="19" s="1"/>
  <c r="I9" i="19"/>
  <c r="L9" i="19" s="1"/>
  <c r="G9" i="19"/>
  <c r="J9" i="19" s="1"/>
  <c r="N228" i="17"/>
  <c r="C26" i="19"/>
  <c r="I26" i="19" s="1"/>
  <c r="L26" i="19" s="1"/>
  <c r="L230" i="17"/>
  <c r="K230" i="17" s="1"/>
  <c r="D6" i="19"/>
  <c r="H13" i="19"/>
  <c r="K13" i="19" s="1"/>
  <c r="G13" i="19"/>
  <c r="J13" i="19" s="1"/>
  <c r="S398" i="17"/>
  <c r="N398" i="17"/>
  <c r="I5" i="19"/>
  <c r="L5" i="19" s="1"/>
  <c r="C10" i="19"/>
  <c r="I10" i="19" s="1"/>
  <c r="L10" i="19" s="1"/>
  <c r="C14" i="19"/>
  <c r="I14" i="19" s="1"/>
  <c r="L14" i="19" s="1"/>
  <c r="H4" i="19"/>
  <c r="K4" i="19" s="1"/>
  <c r="G4" i="19"/>
  <c r="J4" i="19" s="1"/>
  <c r="G8" i="19"/>
  <c r="J8" i="19" s="1"/>
  <c r="G5" i="19"/>
  <c r="J5" i="19" s="1"/>
  <c r="C6" i="19"/>
  <c r="H5" i="19"/>
  <c r="K5" i="19" s="1"/>
  <c r="I8" i="19"/>
  <c r="L8" i="19" s="1"/>
  <c r="C25" i="19"/>
  <c r="I25" i="19" s="1"/>
  <c r="L25" i="19" s="1"/>
  <c r="D10" i="19"/>
  <c r="H22" i="19"/>
  <c r="K22" i="19" s="1"/>
  <c r="C23" i="19"/>
  <c r="I23" i="19" s="1"/>
  <c r="L23" i="19" s="1"/>
  <c r="G22" i="19"/>
  <c r="J22" i="19" s="1"/>
  <c r="E72" i="19"/>
  <c r="I64" i="19"/>
  <c r="L64" i="19" s="1"/>
  <c r="H64" i="19"/>
  <c r="K64" i="19" s="1"/>
  <c r="G12" i="19"/>
  <c r="J12" i="19" s="1"/>
  <c r="I12" i="19"/>
  <c r="L12" i="19" s="1"/>
  <c r="H12" i="19"/>
  <c r="K12" i="19" s="1"/>
  <c r="C72" i="19"/>
  <c r="J82" i="3"/>
  <c r="S158" i="3"/>
  <c r="S162" i="3" s="1"/>
  <c r="N158" i="3"/>
  <c r="J33" i="25" s="1"/>
  <c r="J112" i="3"/>
  <c r="AG414" i="3"/>
  <c r="AM414" i="3"/>
  <c r="K32" i="17"/>
  <c r="K37" i="17"/>
  <c r="K209" i="3"/>
  <c r="K34" i="17"/>
  <c r="K36" i="17"/>
  <c r="K33" i="17"/>
  <c r="L107" i="3"/>
  <c r="I5" i="25" s="1"/>
  <c r="J5" i="25" s="1"/>
  <c r="M24" i="17"/>
  <c r="Z467" i="3"/>
  <c r="K24" i="17"/>
  <c r="K31" i="17"/>
  <c r="AM416" i="3"/>
  <c r="AG416" i="3"/>
  <c r="AG417" i="3"/>
  <c r="AM417" i="3"/>
  <c r="AG417" i="17"/>
  <c r="AM417" i="17"/>
  <c r="AM414" i="17"/>
  <c r="AG414" i="17"/>
  <c r="AM416" i="17"/>
  <c r="AG416" i="17"/>
  <c r="AM415" i="17"/>
  <c r="AG415" i="17"/>
  <c r="AH418" i="3"/>
  <c r="AI418" i="3" s="1"/>
  <c r="N27" i="17"/>
  <c r="N28" i="17" s="1"/>
  <c r="K54" i="17"/>
  <c r="K41" i="17"/>
  <c r="U41" i="17" s="1"/>
  <c r="K72" i="17"/>
  <c r="K134" i="17"/>
  <c r="AN432" i="17"/>
  <c r="AO432" i="17" s="1"/>
  <c r="K104" i="17"/>
  <c r="M104" i="17"/>
  <c r="K152" i="17"/>
  <c r="AG413" i="17"/>
  <c r="AM413" i="17"/>
  <c r="K74" i="17"/>
  <c r="S74" i="17"/>
  <c r="N74" i="17"/>
  <c r="AG410" i="17"/>
  <c r="AM410" i="17"/>
  <c r="R107" i="17"/>
  <c r="R108" i="17" s="1"/>
  <c r="M107" i="17"/>
  <c r="M108" i="17" s="1"/>
  <c r="L313" i="17"/>
  <c r="K350" i="17" s="1"/>
  <c r="S308" i="17"/>
  <c r="S309" i="17" s="1"/>
  <c r="N308" i="17"/>
  <c r="N309" i="17" s="1"/>
  <c r="AG409" i="17"/>
  <c r="AM409" i="17"/>
  <c r="R249" i="17"/>
  <c r="M249" i="17"/>
  <c r="K308" i="17"/>
  <c r="J313" i="17"/>
  <c r="AF405" i="17" s="1"/>
  <c r="AR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193" i="3"/>
  <c r="S194" i="3" s="1"/>
  <c r="L194" i="3"/>
  <c r="M193" i="3" s="1"/>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J34" i="25" l="1"/>
  <c r="C33" i="25"/>
  <c r="C32" i="25"/>
  <c r="D32" i="25" s="1"/>
  <c r="S23" i="24"/>
  <c r="N20" i="26"/>
  <c r="N20" i="27"/>
  <c r="T18" i="24"/>
  <c r="T27" i="24"/>
  <c r="T20" i="24"/>
  <c r="T25" i="24" s="1"/>
  <c r="AA418" i="3"/>
  <c r="AA480" i="3"/>
  <c r="C46" i="19"/>
  <c r="I46" i="19" s="1"/>
  <c r="L46" i="19" s="1"/>
  <c r="D71" i="19"/>
  <c r="H38" i="19"/>
  <c r="K38" i="19" s="1"/>
  <c r="AA451" i="3"/>
  <c r="G38" i="19"/>
  <c r="J38" i="19" s="1"/>
  <c r="D62" i="19"/>
  <c r="H23" i="24"/>
  <c r="M17" i="24"/>
  <c r="O15" i="24"/>
  <c r="O17" i="24" s="1"/>
  <c r="I20" i="24"/>
  <c r="I7" i="24"/>
  <c r="I8" i="24" s="1"/>
  <c r="I10" i="24"/>
  <c r="I12" i="24" s="1"/>
  <c r="I22" i="24"/>
  <c r="J22" i="24" s="1"/>
  <c r="J5" i="24"/>
  <c r="M12" i="24"/>
  <c r="H12" i="24"/>
  <c r="S23" i="25"/>
  <c r="N10" i="24"/>
  <c r="N12" i="24" s="1"/>
  <c r="N22" i="24"/>
  <c r="O22" i="24" s="1"/>
  <c r="O27" i="24" s="1"/>
  <c r="N20" i="24"/>
  <c r="O20" i="24" s="1"/>
  <c r="N7" i="24"/>
  <c r="N8" i="24" s="1"/>
  <c r="J15" i="24"/>
  <c r="J17" i="24" s="1"/>
  <c r="H17" i="24"/>
  <c r="H33" i="24" s="1"/>
  <c r="I33" i="24" s="1"/>
  <c r="C20" i="24"/>
  <c r="E5" i="24"/>
  <c r="C11" i="24"/>
  <c r="E11" i="24" s="1"/>
  <c r="C7" i="24"/>
  <c r="C8" i="24" s="1"/>
  <c r="C22" i="24"/>
  <c r="C15" i="24"/>
  <c r="C10" i="24"/>
  <c r="M23" i="24"/>
  <c r="D20" i="24"/>
  <c r="D10" i="24"/>
  <c r="D12" i="24" s="1"/>
  <c r="D7" i="24"/>
  <c r="D8" i="24" s="1"/>
  <c r="D22" i="24"/>
  <c r="T22" i="25"/>
  <c r="T27" i="25" s="1"/>
  <c r="J7" i="25"/>
  <c r="D15" i="25"/>
  <c r="D16" i="25"/>
  <c r="E16" i="25" s="1"/>
  <c r="D11" i="25"/>
  <c r="E11" i="25" s="1"/>
  <c r="E6" i="25"/>
  <c r="I22" i="25"/>
  <c r="J22" i="25" s="1"/>
  <c r="J27" i="25" s="1"/>
  <c r="I10" i="25"/>
  <c r="I12" i="25" s="1"/>
  <c r="I20" i="25"/>
  <c r="I7" i="25"/>
  <c r="I8" i="25" s="1"/>
  <c r="H23" i="25"/>
  <c r="C12" i="25"/>
  <c r="T7" i="25"/>
  <c r="R23" i="25"/>
  <c r="T20" i="25"/>
  <c r="H17" i="25"/>
  <c r="H33" i="25" s="1"/>
  <c r="I33" i="25" s="1"/>
  <c r="J15" i="25"/>
  <c r="J17" i="25" s="1"/>
  <c r="D7" i="25"/>
  <c r="D8" i="25" s="1"/>
  <c r="D22" i="25"/>
  <c r="E22" i="25" s="1"/>
  <c r="D10" i="25"/>
  <c r="E10" i="25" s="1"/>
  <c r="D20" i="25"/>
  <c r="E20" i="25" s="1"/>
  <c r="E5" i="25"/>
  <c r="R12" i="25"/>
  <c r="T10" i="25"/>
  <c r="T12" i="25" s="1"/>
  <c r="H12" i="25"/>
  <c r="O7" i="25"/>
  <c r="N5" i="25"/>
  <c r="R17" i="25"/>
  <c r="T15" i="25"/>
  <c r="T17" i="25" s="1"/>
  <c r="M10" i="25"/>
  <c r="M11" i="25"/>
  <c r="O11" i="25" s="1"/>
  <c r="M20" i="25"/>
  <c r="M15" i="25"/>
  <c r="M7" i="25"/>
  <c r="M8" i="25" s="1"/>
  <c r="M22" i="25"/>
  <c r="C23" i="25"/>
  <c r="X19" i="17"/>
  <c r="Y19" i="17" s="1"/>
  <c r="AF479" i="3"/>
  <c r="AD479" i="3" s="1"/>
  <c r="K82" i="3"/>
  <c r="H70" i="19"/>
  <c r="K70" i="19" s="1"/>
  <c r="G70" i="19"/>
  <c r="J70" i="19" s="1"/>
  <c r="D72" i="19"/>
  <c r="G72" i="19" s="1"/>
  <c r="J72" i="19" s="1"/>
  <c r="AC467" i="3"/>
  <c r="AA467" i="3" s="1"/>
  <c r="AH432" i="3"/>
  <c r="AI432" i="3" s="1"/>
  <c r="AA432" i="3"/>
  <c r="H39" i="19"/>
  <c r="K39" i="19" s="1"/>
  <c r="S154" i="17"/>
  <c r="L164" i="17"/>
  <c r="S164" i="17" s="1"/>
  <c r="K154" i="17"/>
  <c r="I31" i="19"/>
  <c r="L31" i="19" s="1"/>
  <c r="G31" i="19"/>
  <c r="J31" i="19" s="1"/>
  <c r="G39" i="19"/>
  <c r="J39" i="19" s="1"/>
  <c r="C56" i="19"/>
  <c r="G56" i="19" s="1"/>
  <c r="J56" i="19" s="1"/>
  <c r="G6" i="19"/>
  <c r="J6" i="19" s="1"/>
  <c r="G14" i="19"/>
  <c r="J14" i="19" s="1"/>
  <c r="H14" i="19"/>
  <c r="K14" i="19" s="1"/>
  <c r="C29" i="19"/>
  <c r="G29" i="19" s="1"/>
  <c r="J29" i="19" s="1"/>
  <c r="G26" i="19"/>
  <c r="J26" i="19" s="1"/>
  <c r="C27" i="19"/>
  <c r="H27" i="19" s="1"/>
  <c r="K27" i="19" s="1"/>
  <c r="H26" i="19"/>
  <c r="K26" i="19" s="1"/>
  <c r="S230" i="17"/>
  <c r="N230" i="17"/>
  <c r="L232" i="17"/>
  <c r="N232" i="17" s="1"/>
  <c r="H10" i="19"/>
  <c r="K10" i="19" s="1"/>
  <c r="G10" i="19"/>
  <c r="J10" i="19" s="1"/>
  <c r="G25" i="19"/>
  <c r="J25" i="19" s="1"/>
  <c r="H25" i="19"/>
  <c r="K25" i="19" s="1"/>
  <c r="H6" i="19"/>
  <c r="K6" i="19" s="1"/>
  <c r="I6" i="19"/>
  <c r="L6" i="19" s="1"/>
  <c r="H23" i="19"/>
  <c r="K23" i="19" s="1"/>
  <c r="G23" i="19"/>
  <c r="J23" i="19" s="1"/>
  <c r="F71" i="19"/>
  <c r="F62" i="19"/>
  <c r="C55" i="19"/>
  <c r="I50" i="19"/>
  <c r="L50" i="19" s="1"/>
  <c r="G50" i="19"/>
  <c r="J50" i="19" s="1"/>
  <c r="H32" i="19"/>
  <c r="K32" i="19" s="1"/>
  <c r="I32" i="19"/>
  <c r="L32" i="19" s="1"/>
  <c r="G32" i="19"/>
  <c r="J32" i="19" s="1"/>
  <c r="H72" i="19"/>
  <c r="K72" i="19" s="1"/>
  <c r="L83" i="3"/>
  <c r="C15" i="19" s="1"/>
  <c r="N82" i="3"/>
  <c r="S82" i="3"/>
  <c r="S83" i="3" s="1"/>
  <c r="N107" i="3"/>
  <c r="N108" i="3" s="1"/>
  <c r="K107" i="3"/>
  <c r="K121" i="3"/>
  <c r="S107" i="3"/>
  <c r="S108" i="3" s="1"/>
  <c r="K134" i="3"/>
  <c r="AF406" i="3"/>
  <c r="AF405" i="3"/>
  <c r="K313" i="17"/>
  <c r="M313" i="17"/>
  <c r="R313" i="17"/>
  <c r="AF406" i="17"/>
  <c r="L352" i="17"/>
  <c r="S313" i="17"/>
  <c r="S314" i="17" s="1"/>
  <c r="N313" i="17"/>
  <c r="N314" i="17" s="1"/>
  <c r="K348" i="17"/>
  <c r="K329" i="17"/>
  <c r="R193" i="17"/>
  <c r="M193" i="17"/>
  <c r="AF479" i="17"/>
  <c r="N82" i="17"/>
  <c r="E33" i="24"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E34" i="24" l="1"/>
  <c r="N83" i="3"/>
  <c r="E33" i="25"/>
  <c r="N83" i="17"/>
  <c r="N85" i="17" s="1"/>
  <c r="T29" i="24"/>
  <c r="G46" i="19"/>
  <c r="J46" i="19" s="1"/>
  <c r="D23" i="24"/>
  <c r="T23" i="24"/>
  <c r="T21" i="24"/>
  <c r="T26" i="24" s="1"/>
  <c r="J10" i="24"/>
  <c r="J12" i="24" s="1"/>
  <c r="H46" i="19"/>
  <c r="K46" i="19" s="1"/>
  <c r="E12" i="25"/>
  <c r="C12" i="24"/>
  <c r="E10" i="24"/>
  <c r="E12" i="24" s="1"/>
  <c r="C17" i="24"/>
  <c r="E15" i="24"/>
  <c r="E17" i="24" s="1"/>
  <c r="E22" i="24"/>
  <c r="E27" i="24" s="1"/>
  <c r="N23" i="24"/>
  <c r="I23" i="24"/>
  <c r="O10" i="24"/>
  <c r="O12" i="24" s="1"/>
  <c r="O18" i="24" s="1"/>
  <c r="O21" i="24"/>
  <c r="O26" i="24" s="1"/>
  <c r="O23" i="24"/>
  <c r="O25" i="24"/>
  <c r="O29" i="24" s="1"/>
  <c r="E7" i="24"/>
  <c r="J20" i="24"/>
  <c r="C23" i="24"/>
  <c r="E20" i="24"/>
  <c r="J27" i="24"/>
  <c r="J7" i="24"/>
  <c r="I23" i="25"/>
  <c r="E27" i="25"/>
  <c r="J10" i="25"/>
  <c r="J12" i="25" s="1"/>
  <c r="J18" i="25" s="1"/>
  <c r="E21" i="25"/>
  <c r="E26" i="25" s="1"/>
  <c r="E23" i="25"/>
  <c r="M23" i="25"/>
  <c r="M12" i="25"/>
  <c r="T25" i="25"/>
  <c r="T29" i="25" s="1"/>
  <c r="T21" i="25"/>
  <c r="T26" i="25" s="1"/>
  <c r="T23" i="25"/>
  <c r="D12" i="25"/>
  <c r="E7" i="25"/>
  <c r="E25" i="25"/>
  <c r="J20" i="25"/>
  <c r="D23" i="25"/>
  <c r="E15" i="25"/>
  <c r="E17" i="25" s="1"/>
  <c r="D17" i="25"/>
  <c r="N22" i="25"/>
  <c r="O22" i="25" s="1"/>
  <c r="O27" i="25" s="1"/>
  <c r="N7" i="25"/>
  <c r="N8" i="25" s="1"/>
  <c r="N20" i="25"/>
  <c r="N10" i="25"/>
  <c r="N12" i="25" s="1"/>
  <c r="T18" i="25"/>
  <c r="M17" i="25"/>
  <c r="O15" i="25"/>
  <c r="O17" i="25" s="1"/>
  <c r="AP479" i="17"/>
  <c r="AN479" i="3"/>
  <c r="AO479" i="3" s="1"/>
  <c r="D73" i="19"/>
  <c r="AF480" i="3"/>
  <c r="C67" i="19" s="1"/>
  <c r="AH479" i="3"/>
  <c r="AI479" i="3" s="1"/>
  <c r="AE479" i="3"/>
  <c r="AP406" i="17"/>
  <c r="AC482" i="3"/>
  <c r="D74" i="19" s="1"/>
  <c r="D75" i="19" s="1"/>
  <c r="I56" i="19"/>
  <c r="L56" i="19" s="1"/>
  <c r="AN479" i="17"/>
  <c r="AO479" i="17" s="1"/>
  <c r="AR479" i="17"/>
  <c r="AD467" i="17"/>
  <c r="AR406" i="17"/>
  <c r="N164" i="17"/>
  <c r="H56" i="19"/>
  <c r="K56" i="19" s="1"/>
  <c r="I27" i="19"/>
  <c r="L27" i="19" s="1"/>
  <c r="H29" i="19"/>
  <c r="K29" i="19" s="1"/>
  <c r="I29" i="19"/>
  <c r="L29" i="19" s="1"/>
  <c r="G27" i="19"/>
  <c r="J27" i="19" s="1"/>
  <c r="S232" i="17"/>
  <c r="I15" i="19"/>
  <c r="L15" i="19" s="1"/>
  <c r="H15" i="19"/>
  <c r="K15" i="19" s="1"/>
  <c r="G15" i="19"/>
  <c r="J15" i="19" s="1"/>
  <c r="I55" i="19"/>
  <c r="L55" i="19" s="1"/>
  <c r="G55" i="19"/>
  <c r="J55" i="19" s="1"/>
  <c r="C71" i="19"/>
  <c r="C62" i="19"/>
  <c r="C73" i="19"/>
  <c r="AD465" i="3"/>
  <c r="AD418" i="3"/>
  <c r="AN406" i="3"/>
  <c r="AO406" i="3" s="1"/>
  <c r="AH406" i="3"/>
  <c r="AI406" i="3" s="1"/>
  <c r="AD432" i="3"/>
  <c r="S352" i="17"/>
  <c r="N352" i="17"/>
  <c r="AD418" i="17"/>
  <c r="AN406" i="17"/>
  <c r="AO406" i="17" s="1"/>
  <c r="AH406" i="17"/>
  <c r="AI406" i="17" s="1"/>
  <c r="AD432" i="17"/>
  <c r="AD465" i="17"/>
  <c r="AD451" i="17"/>
  <c r="AH479" i="17"/>
  <c r="AI479" i="17" s="1"/>
  <c r="AF480" i="17"/>
  <c r="C33" i="24" l="1"/>
  <c r="D33" i="24" s="1"/>
  <c r="C32" i="24"/>
  <c r="D32" i="24" s="1"/>
  <c r="D33" i="25"/>
  <c r="E34" i="25"/>
  <c r="J18" i="24"/>
  <c r="J25" i="24"/>
  <c r="J29" i="24" s="1"/>
  <c r="J21" i="24"/>
  <c r="J26" i="24" s="1"/>
  <c r="J23" i="24"/>
  <c r="E18" i="24"/>
  <c r="E23" i="24"/>
  <c r="E21" i="24"/>
  <c r="E26" i="24" s="1"/>
  <c r="E25" i="24"/>
  <c r="E29" i="24" s="1"/>
  <c r="E29" i="25"/>
  <c r="O10" i="25"/>
  <c r="O12" i="25" s="1"/>
  <c r="O18" i="25" s="1"/>
  <c r="N23" i="25"/>
  <c r="O20" i="25"/>
  <c r="J25" i="25"/>
  <c r="J29" i="25" s="1"/>
  <c r="J23" i="25"/>
  <c r="J21" i="25"/>
  <c r="J26" i="25" s="1"/>
  <c r="E18" i="25"/>
  <c r="AP480" i="17"/>
  <c r="AB482" i="3"/>
  <c r="AH480" i="3"/>
  <c r="AI480" i="3" s="1"/>
  <c r="AN480" i="3"/>
  <c r="AO480" i="3" s="1"/>
  <c r="AC488" i="3"/>
  <c r="AC497" i="3" s="1"/>
  <c r="AB497" i="3" s="1"/>
  <c r="AD480" i="3"/>
  <c r="AF482" i="17"/>
  <c r="AR482" i="17" s="1"/>
  <c r="AR480" i="17"/>
  <c r="I71" i="19"/>
  <c r="L71" i="19" s="1"/>
  <c r="G71" i="19"/>
  <c r="J71" i="19" s="1"/>
  <c r="H67" i="19"/>
  <c r="K67" i="19" s="1"/>
  <c r="I67" i="19"/>
  <c r="L67" i="19" s="1"/>
  <c r="G67" i="19"/>
  <c r="J67" i="19" s="1"/>
  <c r="I62" i="19"/>
  <c r="L62" i="19" s="1"/>
  <c r="G62" i="19"/>
  <c r="J62" i="19" s="1"/>
  <c r="G73" i="19"/>
  <c r="J73" i="19" s="1"/>
  <c r="AH480" i="17"/>
  <c r="AI480" i="17" s="1"/>
  <c r="AD480" i="17"/>
  <c r="AN480" i="17"/>
  <c r="AO480" i="17" s="1"/>
  <c r="D303" i="3"/>
  <c r="D308" i="3" s="1"/>
  <c r="O23" i="25" l="1"/>
  <c r="O21" i="25"/>
  <c r="O26" i="25" s="1"/>
  <c r="O25" i="25"/>
  <c r="O29" i="25" s="1"/>
  <c r="AB488" i="3"/>
  <c r="D76" i="19"/>
  <c r="D77" i="19" s="1"/>
  <c r="AN482" i="17"/>
  <c r="AO482" i="17" s="1"/>
  <c r="AE482" i="17"/>
  <c r="AH482" i="17"/>
  <c r="AI482" i="17" s="1"/>
  <c r="AF488" i="17"/>
  <c r="AR488" i="17" s="1"/>
  <c r="D313" i="3"/>
  <c r="E50" i="19" s="1"/>
  <c r="E308" i="3"/>
  <c r="E303" i="3"/>
  <c r="AH488" i="17" l="1"/>
  <c r="AI488" i="17" s="1"/>
  <c r="AE488" i="17"/>
  <c r="AF497" i="17"/>
  <c r="AN488" i="17"/>
  <c r="AO488" i="17" s="1"/>
  <c r="E55" i="19"/>
  <c r="H55" i="19" s="1"/>
  <c r="K55" i="19" s="1"/>
  <c r="H50" i="19"/>
  <c r="K50" i="19" s="1"/>
  <c r="E313" i="3"/>
  <c r="E376" i="3"/>
  <c r="E396" i="3"/>
  <c r="E394" i="3"/>
  <c r="D361" i="3"/>
  <c r="E361" i="3" s="1"/>
  <c r="E359" i="3"/>
  <c r="F361" i="3"/>
  <c r="AR497" i="17" l="1"/>
  <c r="AF500" i="17"/>
  <c r="AE497" i="17"/>
  <c r="E50" i="2"/>
  <c r="E53" i="2" s="1"/>
  <c r="E56" i="2" s="1"/>
  <c r="E65" i="2" s="1"/>
  <c r="AH497" i="17"/>
  <c r="AI497" i="17" s="1"/>
  <c r="AN497" i="17"/>
  <c r="AO497" i="17" s="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E77" i="19" s="1"/>
  <c r="Z499" i="3"/>
  <c r="AC499" i="3" s="1"/>
  <c r="AC500" i="3" s="1"/>
  <c r="Y497" i="3"/>
  <c r="L224" i="3"/>
  <c r="N224" i="3" s="1"/>
  <c r="L344" i="3"/>
  <c r="L348" i="3" s="1"/>
  <c r="AH447" i="3"/>
  <c r="AI447" i="3" s="1"/>
  <c r="L280" i="3"/>
  <c r="S280" i="3" s="1"/>
  <c r="L148" i="3"/>
  <c r="N148" i="3" s="1"/>
  <c r="AF451" i="3"/>
  <c r="AP451" i="17" s="1"/>
  <c r="Z500" i="3" l="1"/>
  <c r="AD451" i="3"/>
  <c r="C65" i="19"/>
  <c r="L228" i="3"/>
  <c r="K228" i="3" s="1"/>
  <c r="AH451" i="3"/>
  <c r="AI451" i="3" s="1"/>
  <c r="AF467" i="3"/>
  <c r="S344" i="3"/>
  <c r="S348" i="3" s="1"/>
  <c r="K348" i="3"/>
  <c r="L350" i="3"/>
  <c r="L152" i="3"/>
  <c r="L72" i="3"/>
  <c r="N344" i="3"/>
  <c r="N348" i="3" s="1"/>
  <c r="S148" i="3"/>
  <c r="L284" i="3"/>
  <c r="N280" i="3"/>
  <c r="N284" i="3" s="1"/>
  <c r="S224" i="3"/>
  <c r="N68" i="3"/>
  <c r="N72" i="3" s="1"/>
  <c r="N85" i="3" s="1"/>
  <c r="AH467" i="3" l="1"/>
  <c r="AI467" i="3" s="1"/>
  <c r="AP467" i="17"/>
  <c r="L230" i="3"/>
  <c r="S230" i="3" s="1"/>
  <c r="N228" i="3"/>
  <c r="H65" i="19"/>
  <c r="K65" i="19" s="1"/>
  <c r="G65" i="19"/>
  <c r="J65" i="19" s="1"/>
  <c r="S228" i="3"/>
  <c r="AD467" i="3"/>
  <c r="AF482" i="3"/>
  <c r="S284" i="3"/>
  <c r="L286" i="3"/>
  <c r="K286" i="3" s="1"/>
  <c r="K284" i="3"/>
  <c r="S152" i="3"/>
  <c r="L154" i="3"/>
  <c r="N152" i="3"/>
  <c r="K152" i="3"/>
  <c r="N350" i="3"/>
  <c r="S350" i="3"/>
  <c r="L352" i="3"/>
  <c r="N352" i="3" s="1"/>
  <c r="K350" i="3"/>
  <c r="L74" i="3"/>
  <c r="K72" i="3"/>
  <c r="C74" i="19" l="1"/>
  <c r="H74" i="19" s="1"/>
  <c r="K74" i="19" s="1"/>
  <c r="AP482" i="17"/>
  <c r="K230" i="3"/>
  <c r="L232" i="3"/>
  <c r="N230" i="3"/>
  <c r="AH482" i="3"/>
  <c r="AI482" i="3" s="1"/>
  <c r="AE482" i="3"/>
  <c r="AF488" i="3"/>
  <c r="S352" i="3"/>
  <c r="K154" i="3"/>
  <c r="L164" i="3"/>
  <c r="N154" i="3"/>
  <c r="S154" i="3"/>
  <c r="S286" i="3"/>
  <c r="N286" i="3"/>
  <c r="L288" i="3"/>
  <c r="L85" i="3"/>
  <c r="K74" i="3"/>
  <c r="N74" i="3"/>
  <c r="C75" i="19" l="1"/>
  <c r="H75" i="19" s="1"/>
  <c r="K75" i="19" s="1"/>
  <c r="G74" i="19"/>
  <c r="J74" i="19" s="1"/>
  <c r="AF497" i="3"/>
  <c r="AF499" i="3" s="1"/>
  <c r="AP488" i="17"/>
  <c r="S232" i="3"/>
  <c r="N232" i="3"/>
  <c r="AE488" i="3"/>
  <c r="AH488" i="3"/>
  <c r="AI488" i="3" s="1"/>
  <c r="N164" i="3"/>
  <c r="S164" i="3"/>
  <c r="S288" i="3"/>
  <c r="N288" i="3"/>
  <c r="G75" i="19" l="1"/>
  <c r="J75" i="19" s="1"/>
  <c r="AP497" i="17"/>
  <c r="AF500" i="3"/>
  <c r="C76" i="19"/>
  <c r="AH497" i="3"/>
  <c r="AI497" i="3" s="1"/>
  <c r="AE497" i="3"/>
  <c r="C77" i="19" l="1"/>
  <c r="G77" i="19" s="1"/>
  <c r="J77" i="19" s="1"/>
  <c r="G76" i="19"/>
  <c r="J76" i="19" s="1"/>
  <c r="H76" i="19"/>
  <c r="K76" i="19" s="1"/>
  <c r="H77" i="19" l="1"/>
  <c r="K77" i="19" s="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0" i="3" l="1"/>
  <c r="F76" i="19"/>
  <c r="I76" i="19" s="1"/>
  <c r="AN497" i="3"/>
  <c r="AO497" i="3" s="1"/>
  <c r="AK497" i="3"/>
  <c r="L76" i="19" l="1"/>
  <c r="F77" i="19"/>
  <c r="I77" i="19" s="1"/>
  <c r="L77" i="19" s="1"/>
  <c r="U436" i="3" l="1"/>
  <c r="U437" i="3"/>
  <c r="U435"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250EA140-69C1-4603-947A-4FF8221FEB01}">
      <text>
        <r>
          <rPr>
            <b/>
            <sz val="9"/>
            <color indexed="81"/>
            <rFont val="Tahoma"/>
            <family val="2"/>
          </rPr>
          <t>(Qtés Réelles Moins Qtés Budget) X Taux Budget.
(Qr-Qb)xTb</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16B6A663-02DE-4DAE-B7A2-C62A2238711D}">
      <text>
        <r>
          <rPr>
            <b/>
            <sz val="9"/>
            <color indexed="81"/>
            <rFont val="Tahoma"/>
            <family val="2"/>
          </rPr>
          <t>(Qtés Réelles Moins Qtés Budget) X Taux Budget.
(Qr-Qb)xTb</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A00-000001000000}">
      <text>
        <r>
          <rPr>
            <sz val="11"/>
            <color theme="1"/>
            <rFont val="Arial"/>
            <family val="2"/>
          </rPr>
          <t>SI #N/A compte non intégré = erreur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C00-000001000000}">
      <text>
        <r>
          <rPr>
            <sz val="11"/>
            <color theme="1"/>
            <rFont val="Arial"/>
            <family val="2"/>
          </rPr>
          <t>SI #N/A compte non intégré = erreur</t>
        </r>
      </text>
    </comment>
  </commentList>
</comments>
</file>

<file path=xl/sharedStrings.xml><?xml version="1.0" encoding="utf-8"?>
<sst xmlns="http://schemas.openxmlformats.org/spreadsheetml/2006/main" count="15560" uniqueCount="3624">
  <si>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</si>
  <si>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</si>
  <si>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</si>
  <si>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</si>
  <si>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</si>
  <si>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</si>
  <si>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</si>
  <si>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</si>
  <si>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</si>
  <si>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</si>
  <si>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</si>
  <si>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</si>
  <si>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</si>
  <si>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</si>
  <si>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</si>
  <si>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</si>
  <si>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</si>
  <si>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</si>
  <si>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</si>
  <si>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</si>
  <si>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</si>
  <si>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</si>
  <si>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</si>
  <si>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</si>
  <si>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</si>
  <si>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</si>
  <si>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</si>
  <si>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</si>
  <si>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</si>
  <si>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</si>
  <si>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</si>
  <si>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</si>
  <si>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</si>
  <si>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</si>
  <si>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</si>
  <si>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</si>
  <si>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</si>
  <si>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</si>
  <si>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</si>
  <si>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</si>
  <si>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</si>
  <si>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</si>
  <si>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</si>
  <si>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</si>
  <si>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</si>
  <si>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</si>
  <si>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</si>
  <si>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</si>
  <si>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</si>
  <si>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</si>
  <si>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</si>
  <si>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</si>
  <si>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</si>
  <si>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</si>
  <si>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</si>
  <si>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</si>
  <si>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</si>
  <si>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</si>
  <si>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</si>
  <si>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</si>
  <si>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</si>
  <si>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</si>
  <si>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</si>
  <si>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</si>
  <si>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</si>
  <si>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</si>
  <si>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</si>
  <si>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</si>
  <si>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</si>
  <si>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</si>
  <si>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</si>
  <si>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</si>
  <si>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</si>
  <si>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</si>
  <si>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</si>
  <si>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</si>
  <si>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</si>
  <si>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</si>
  <si>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</si>
  <si>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</si>
  <si>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</si>
  <si>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</si>
  <si>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</si>
  <si>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</si>
  <si>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</si>
  <si>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</si>
  <si>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</si>
  <si>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</si>
  <si>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</si>
  <si>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</si>
  <si>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</si>
  <si>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</si>
  <si>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</si>
  <si>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</si>
  <si>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</si>
  <si>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</si>
  <si>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</si>
  <si>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</si>
  <si>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</si>
  <si>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</si>
  <si>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</si>
  <si>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</si>
  <si>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</si>
  <si>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</si>
  <si>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</si>
  <si>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</si>
  <si>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</si>
  <si>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</si>
  <si>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</si>
  <si>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</si>
  <si>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</si>
  <si>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</si>
  <si>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</si>
  <si>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</si>
  <si>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</si>
  <si>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</si>
  <si>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</si>
  <si>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</si>
  <si>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</si>
  <si>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</si>
  <si>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</si>
  <si>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</si>
  <si>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</si>
  <si>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</si>
  <si>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</si>
  <si>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</si>
  <si>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</si>
  <si>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</si>
  <si>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</si>
  <si>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</si>
  <si>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</si>
  <si>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</si>
  <si>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</si>
  <si>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</si>
  <si>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</si>
  <si>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</si>
  <si>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</si>
  <si>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</si>
  <si>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</si>
  <si>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</si>
  <si>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</si>
  <si>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</si>
  <si>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</si>
  <si>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</si>
  <si>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</si>
  <si>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</si>
  <si>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</si>
  <si>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</si>
  <si>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</si>
  <si>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</si>
  <si>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</si>
  <si>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</si>
  <si>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</si>
  <si>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</si>
  <si>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</si>
  <si>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</si>
  <si>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</si>
  <si>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</si>
  <si>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</si>
  <si>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</si>
  <si>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</si>
  <si>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</si>
  <si>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</si>
  <si>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</si>
  <si>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</si>
  <si>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</si>
  <si>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</si>
  <si>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</si>
  <si>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</si>
  <si>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</si>
  <si>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</si>
  <si>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</si>
  <si>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</si>
  <si>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</si>
  <si>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</si>
  <si>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</si>
  <si>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</si>
  <si>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</si>
  <si>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</si>
  <si>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</si>
  <si>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</si>
  <si>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</si>
  <si>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</si>
  <si>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</si>
  <si>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</si>
  <si>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</si>
  <si>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</si>
  <si>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</si>
  <si>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</si>
  <si>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</si>
  <si>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</si>
  <si>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</si>
  <si>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</si>
  <si>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</si>
  <si>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</si>
  <si>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</si>
  <si>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</si>
  <si>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</si>
  <si>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</si>
  <si>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</si>
  <si>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</si>
  <si>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</si>
  <si>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</si>
  <si>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</si>
  <si>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</si>
  <si>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</si>
  <si>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</si>
  <si>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</si>
  <si>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</si>
  <si>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</si>
  <si>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</si>
  <si>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</si>
  <si>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</si>
  <si>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</si>
  <si>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</si>
  <si>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</si>
  <si>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</si>
  <si>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</si>
  <si>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</si>
  <si>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</si>
  <si>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</si>
  <si>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</si>
  <si>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</si>
  <si>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</si>
  <si>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</si>
  <si>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</si>
  <si>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</si>
  <si>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</si>
  <si>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</si>
  <si>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</si>
  <si>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</si>
  <si>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</si>
  <si>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</si>
  <si>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</si>
  <si>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</si>
  <si>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</si>
  <si>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</si>
  <si>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</si>
  <si>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</si>
  <si>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</si>
  <si>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</si>
  <si>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</si>
  <si>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</si>
  <si>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</si>
  <si>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</si>
  <si>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</si>
  <si>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</si>
  <si>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</si>
  <si>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</si>
  <si>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</si>
  <si>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</si>
  <si>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</si>
  <si>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</si>
  <si>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</si>
  <si>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</si>
  <si>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</si>
  <si>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</si>
  <si>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</si>
  <si>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</si>
  <si>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</si>
  <si>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</si>
  <si>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</si>
  <si>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</si>
  <si>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</si>
  <si>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</si>
  <si>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</si>
  <si>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</si>
  <si>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</si>
  <si>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</si>
  <si>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</si>
  <si>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</si>
  <si>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</si>
  <si>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</si>
  <si>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</si>
  <si>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</si>
  <si>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</si>
  <si>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</si>
  <si>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</si>
  <si>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</si>
  <si>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</si>
  <si>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</si>
  <si>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</si>
  <si>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</si>
  <si>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</si>
  <si>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</si>
  <si>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</si>
  <si>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</si>
  <si>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</si>
  <si>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</si>
  <si>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</si>
  <si>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</si>
  <si>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</si>
  <si>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</si>
  <si>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</si>
  <si>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</si>
  <si>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</si>
  <si>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</si>
  <si>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</si>
  <si>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</si>
  <si>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</si>
  <si>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</si>
  <si>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</si>
  <si>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</si>
  <si>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</si>
  <si>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</si>
  <si>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</si>
  <si>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</si>
  <si>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</si>
  <si>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</si>
  <si>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</si>
  <si>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</si>
  <si>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</si>
  <si>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</si>
  <si>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</si>
  <si>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</si>
  <si>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</si>
  <si>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</si>
  <si>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</si>
  <si>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</si>
  <si>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</si>
  <si>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</si>
  <si>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</si>
  <si>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</si>
  <si>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</si>
  <si>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</si>
  <si>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</si>
  <si>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</si>
  <si>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</si>
  <si>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</si>
  <si>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</si>
  <si>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</si>
  <si>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</si>
  <si>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</si>
  <si>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</si>
  <si>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</si>
  <si>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</si>
  <si>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</si>
  <si>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</si>
  <si>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</si>
  <si>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</si>
  <si>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</si>
  <si>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</si>
  <si>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</si>
  <si>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</si>
  <si>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</si>
  <si>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</si>
  <si>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</si>
  <si>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</si>
  <si>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</si>
  <si>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</si>
  <si>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</si>
  <si>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</si>
  <si>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</si>
  <si>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</si>
  <si>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</si>
  <si>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</si>
  <si>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</si>
  <si>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</si>
  <si>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</si>
  <si>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</si>
  <si>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</si>
  <si>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</si>
  <si>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</si>
  <si>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</si>
  <si>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</si>
  <si>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</si>
  <si>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</si>
  <si>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</si>
  <si>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</si>
  <si>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</si>
  <si>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</si>
  <si>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</si>
  <si>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</si>
  <si>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</si>
  <si>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</si>
  <si>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</si>
  <si>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</si>
  <si>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</si>
  <si>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</si>
  <si>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</si>
  <si>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</si>
  <si>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</si>
  <si>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</si>
  <si>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</si>
  <si>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</si>
  <si>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</si>
  <si>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</si>
  <si>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</si>
  <si>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</si>
  <si>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</si>
  <si>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</si>
  <si>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</si>
  <si>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</si>
  <si>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</si>
  <si>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</si>
  <si>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</si>
  <si>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</si>
  <si>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</si>
  <si>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</si>
  <si>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</si>
  <si>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</si>
  <si>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</si>
  <si>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</si>
  <si>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</si>
  <si>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</si>
  <si>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</si>
  <si>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</si>
  <si>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</si>
  <si>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</si>
  <si>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</si>
  <si>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</si>
  <si>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</si>
  <si>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</si>
  <si>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</si>
  <si>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</si>
  <si>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</si>
  <si>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</si>
  <si>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</si>
  <si>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</si>
  <si>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</si>
  <si>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</si>
  <si>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</si>
  <si>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</si>
  <si>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</si>
  <si>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</si>
  <si>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</si>
  <si>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</si>
  <si>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</si>
  <si>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</si>
  <si>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</si>
  <si>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</si>
  <si>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</si>
  <si>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</si>
  <si>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</si>
  <si>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</si>
  <si>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</si>
  <si>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</si>
  <si>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</si>
  <si>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</si>
  <si>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</si>
  <si>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</si>
  <si>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</si>
  <si>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</si>
  <si>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</si>
  <si>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</si>
  <si>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</si>
  <si>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</si>
  <si>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</si>
  <si>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</si>
  <si>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</si>
  <si>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</si>
  <si>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</si>
  <si>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</si>
  <si>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</si>
  <si>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</si>
  <si>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</si>
  <si>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</si>
  <si>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</si>
  <si>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</si>
  <si>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</si>
  <si>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</si>
  <si>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</si>
  <si>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</si>
  <si>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</si>
  <si>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</si>
  <si>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</si>
  <si>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</si>
  <si>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</si>
  <si>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</si>
  <si>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</si>
  <si>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</si>
  <si>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</si>
  <si>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</si>
  <si>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</si>
  <si>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</si>
  <si>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</si>
  <si>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</si>
  <si>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</si>
  <si>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</si>
  <si>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</si>
  <si>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</si>
  <si>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</si>
  <si>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</si>
  <si>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</si>
  <si>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</si>
  <si>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</si>
  <si>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</si>
  <si>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</si>
  <si>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</si>
  <si>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</si>
  <si>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</si>
  <si>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</si>
  <si>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</si>
  <si>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</si>
  <si>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</si>
  <si>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</si>
  <si>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</si>
  <si>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</si>
  <si>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</si>
  <si>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</si>
  <si>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</si>
  <si>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</si>
  <si>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</si>
  <si>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</si>
  <si>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</si>
  <si>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</si>
  <si>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</si>
  <si>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</si>
  <si>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</si>
  <si>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</si>
  <si>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</si>
  <si>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</si>
  <si>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</si>
  <si>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</si>
  <si>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</si>
  <si>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</si>
  <si>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</si>
  <si>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</si>
  <si>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</si>
  <si>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</si>
  <si>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</si>
  <si>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</si>
  <si>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</si>
  <si>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</si>
  <si>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</si>
  <si>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</si>
  <si>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</si>
  <si>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</si>
  <si>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</si>
  <si>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</si>
  <si>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</si>
  <si>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</si>
  <si>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</si>
  <si>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</si>
  <si>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</si>
  <si>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</si>
  <si>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</si>
  <si>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</si>
  <si>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</si>
  <si>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</si>
  <si>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</si>
  <si>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</si>
  <si>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</si>
  <si>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</si>
  <si>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</si>
  <si>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</si>
  <si>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</si>
  <si>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</si>
  <si>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</si>
  <si>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</si>
  <si>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</si>
  <si>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</si>
  <si>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</si>
  <si>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</si>
  <si>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</si>
  <si>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</si>
  <si>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</si>
  <si>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</si>
  <si>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</si>
  <si>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</si>
  <si>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</si>
  <si>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</si>
  <si>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</si>
  <si>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</si>
  <si>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</si>
  <si>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</si>
  <si>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</si>
  <si>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</si>
  <si>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</si>
  <si>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</si>
  <si>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</si>
  <si>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</si>
  <si>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</si>
  <si>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</si>
  <si>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</si>
  <si>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</si>
  <si>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</si>
  <si>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</si>
  <si>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</si>
  <si>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</si>
  <si>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</si>
  <si>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</si>
  <si>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</si>
  <si>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</si>
  <si>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</si>
  <si>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</si>
  <si>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</si>
  <si>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</si>
  <si>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</si>
  <si>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</si>
  <si>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</si>
  <si>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</si>
  <si>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</si>
  <si>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</si>
  <si>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</si>
  <si>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</si>
  <si>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</si>
  <si>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</si>
  <si>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</si>
  <si>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</si>
  <si>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</si>
  <si>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</si>
  <si>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</si>
  <si>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</si>
  <si>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</si>
  <si>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</si>
  <si>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</si>
  <si>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</si>
  <si>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</si>
  <si>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</si>
  <si>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</si>
  <si>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</si>
  <si>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</si>
  <si>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</si>
  <si>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</si>
  <si>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</si>
  <si>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</si>
  <si>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</si>
  <si>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</si>
  <si>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</si>
  <si>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</si>
  <si>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</si>
  <si>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</si>
  <si>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</si>
  <si>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</si>
  <si>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</si>
  <si>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</si>
  <si>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</si>
  <si>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</si>
  <si>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</si>
  <si>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</si>
  <si>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</si>
  <si>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</si>
  <si>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</si>
  <si>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</si>
  <si>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</si>
  <si>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</si>
  <si>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</si>
  <si>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</si>
  <si>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</si>
  <si>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</si>
  <si>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</si>
  <si>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</si>
  <si>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</si>
  <si>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</si>
  <si>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</si>
  <si>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</si>
  <si>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</si>
  <si>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</si>
  <si>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</si>
  <si>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</si>
  <si>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</si>
  <si>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</si>
  <si>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</si>
  <si>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</si>
  <si>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</si>
  <si>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</si>
  <si>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</si>
  <si>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</si>
  <si>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</si>
  <si>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</si>
  <si>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</si>
  <si>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</si>
  <si>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</si>
  <si>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</si>
  <si>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</si>
  <si>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</si>
  <si>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</si>
  <si>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</si>
  <si>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</si>
  <si>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</si>
  <si>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</si>
  <si>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</si>
  <si>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</si>
  <si>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</si>
  <si>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</si>
  <si>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</si>
  <si>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</si>
  <si>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</si>
  <si>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</si>
  <si>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</si>
  <si>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</si>
  <si>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</si>
  <si>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</si>
  <si>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</si>
  <si>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</si>
  <si>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</si>
  <si>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</si>
  <si>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</si>
  <si>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</si>
  <si>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</si>
  <si>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</si>
  <si>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</si>
  <si>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</si>
  <si>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</si>
  <si>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</si>
  <si>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</si>
  <si>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</si>
  <si>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</si>
  <si>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</si>
  <si>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</si>
  <si>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</si>
  <si>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</si>
  <si>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</si>
  <si>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</si>
  <si>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</si>
  <si>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</si>
  <si>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</si>
  <si>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</si>
  <si>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</si>
  <si>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</si>
  <si>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</si>
  <si>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</si>
  <si>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</si>
  <si>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</si>
  <si>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</si>
  <si>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</si>
  <si>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</si>
  <si>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</si>
  <si>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</si>
  <si>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</si>
  <si>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</si>
  <si>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</si>
  <si>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</si>
  <si>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</si>
  <si>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</si>
  <si>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</si>
  <si>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</si>
  <si>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</si>
  <si>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</si>
  <si>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</si>
  <si>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</si>
  <si>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</si>
  <si>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</si>
  <si>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</si>
  <si>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</si>
  <si>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</si>
  <si>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</si>
  <si>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</si>
  <si>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</si>
  <si>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</si>
  <si>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</si>
  <si>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</si>
  <si>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</si>
  <si>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</si>
  <si>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</si>
  <si>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</si>
  <si>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</si>
  <si>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</si>
  <si>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</si>
  <si>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</si>
  <si>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</si>
  <si>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</si>
  <si>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</si>
  <si>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</si>
  <si>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</si>
  <si>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</si>
  <si>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</si>
  <si>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</si>
  <si>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</si>
  <si>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</si>
  <si>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</si>
  <si>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</si>
  <si>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</si>
  <si>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</si>
  <si>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</si>
  <si>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</si>
  <si>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</si>
  <si>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</si>
  <si>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</si>
  <si>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</si>
  <si>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</si>
  <si>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</si>
  <si>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</si>
  <si>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</si>
  <si>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</si>
  <si>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</si>
  <si>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</si>
  <si>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</si>
  <si>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</si>
  <si>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</si>
  <si>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</si>
  <si>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</si>
  <si>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</si>
  <si>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</si>
  <si>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</si>
  <si>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</si>
  <si>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</si>
  <si>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</si>
  <si>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</si>
  <si>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</si>
  <si>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</si>
  <si>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</si>
  <si>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</si>
  <si>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</si>
  <si>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</si>
  <si>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</si>
  <si>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</si>
  <si>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</si>
  <si>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</si>
  <si>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</si>
  <si>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</si>
  <si>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</si>
  <si>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</si>
  <si>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</si>
  <si>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</si>
  <si>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</si>
  <si>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</si>
  <si>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</si>
  <si>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</si>
  <si>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</si>
  <si>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</si>
  <si>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</si>
  <si>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</si>
  <si>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</si>
  <si>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</si>
  <si>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</si>
  <si>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</si>
  <si>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</si>
  <si>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</si>
  <si>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</si>
  <si>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</si>
  <si>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</si>
  <si>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</si>
  <si>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</si>
  <si>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</si>
  <si>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</si>
  <si>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</si>
  <si>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</si>
  <si>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</si>
  <si>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</si>
  <si>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</si>
  <si>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</si>
  <si>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</si>
  <si>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</si>
  <si>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</si>
  <si>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</si>
  <si>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</si>
  <si>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</si>
  <si>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</si>
  <si>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</si>
  <si>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</si>
  <si>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</si>
  <si>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</si>
  <si>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</si>
  <si>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</si>
  <si>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</si>
  <si>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</si>
  <si>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</si>
  <si>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</si>
  <si>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</si>
  <si>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</si>
  <si>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</si>
  <si>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</si>
  <si>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</si>
  <si>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</si>
  <si>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</si>
  <si>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</si>
  <si>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</si>
  <si>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</si>
  <si>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</si>
  <si>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</si>
  <si>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</si>
  <si>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</si>
  <si>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</si>
  <si>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</si>
  <si>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</si>
  <si>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</si>
  <si>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</si>
  <si>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</si>
  <si>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</si>
  <si>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</si>
  <si>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</si>
  <si>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</si>
  <si>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</si>
  <si>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</si>
  <si>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</si>
  <si>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</si>
  <si>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</si>
  <si>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</si>
  <si>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</si>
  <si>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</si>
  <si>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</si>
  <si>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</si>
  <si>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</si>
  <si>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</si>
  <si>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</si>
  <si>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</si>
  <si>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</si>
  <si>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</si>
  <si>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</si>
  <si>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</si>
  <si>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</si>
  <si>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</si>
  <si>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</si>
  <si>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</si>
  <si>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</si>
  <si>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</si>
  <si>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</si>
  <si>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</si>
  <si>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</si>
  <si>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</si>
  <si>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</si>
  <si>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</si>
  <si>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</si>
  <si>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</si>
  <si>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</si>
  <si>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</si>
  <si>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</si>
  <si>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</si>
  <si>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</si>
  <si>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</si>
  <si>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</si>
  <si>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</si>
  <si>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</si>
  <si>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</si>
  <si>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</si>
  <si>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</si>
  <si>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</si>
  <si>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</si>
  <si>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</si>
  <si>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</si>
  <si>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</si>
  <si>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</si>
  <si>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</si>
  <si>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</si>
  <si>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</si>
  <si>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</si>
  <si>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</si>
  <si>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</si>
  <si>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</si>
  <si>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</si>
  <si>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</si>
  <si>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</si>
  <si>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</si>
  <si>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</si>
  <si>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</si>
  <si>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</si>
  <si>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</si>
  <si>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</si>
  <si>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</si>
  <si>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</si>
  <si>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</si>
  <si>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</si>
  <si>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</si>
  <si>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</si>
  <si>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</si>
  <si>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</si>
  <si>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</si>
  <si>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</si>
  <si>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</si>
  <si>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</si>
  <si>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</si>
  <si>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</si>
  <si>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</si>
  <si>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</si>
  <si>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</si>
  <si>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</si>
  <si>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</si>
  <si>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</si>
  <si>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</si>
  <si>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</si>
  <si>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</si>
  <si>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</si>
  <si>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</si>
  <si>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</si>
  <si>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</si>
  <si>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</si>
  <si>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</si>
  <si>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</si>
  <si>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</si>
  <si>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</si>
  <si>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</si>
  <si>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</si>
  <si>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</si>
  <si>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</si>
  <si>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</si>
  <si>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</si>
  <si>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</si>
  <si>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</si>
  <si>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</si>
  <si>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</si>
  <si>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</si>
  <si>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</si>
  <si>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</si>
  <si>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</si>
  <si>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</si>
  <si>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</si>
  <si>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</si>
  <si>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</si>
  <si>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</si>
  <si>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</si>
  <si>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</si>
  <si>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</si>
  <si>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</si>
  <si>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</si>
  <si>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</si>
  <si>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</si>
  <si>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</si>
  <si>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</si>
  <si>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</si>
  <si>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</si>
  <si>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</si>
  <si>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</si>
  <si>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</si>
  <si>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</si>
  <si>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</si>
  <si>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</si>
  <si>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</si>
  <si>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</si>
  <si>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</si>
  <si>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</si>
  <si>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</si>
  <si>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</si>
  <si>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</si>
  <si>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</si>
  <si>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</si>
  <si>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</si>
  <si>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</si>
  <si>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</si>
  <si>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</si>
  <si>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</si>
  <si>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</si>
  <si>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</si>
  <si>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</si>
  <si>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</si>
  <si>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</si>
  <si>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</si>
  <si>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</si>
  <si>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</si>
  <si>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</si>
  <si>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</si>
  <si>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</si>
  <si>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</si>
  <si>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</si>
  <si>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</si>
  <si>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</si>
  <si>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</si>
  <si>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</si>
  <si>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</si>
  <si>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</si>
  <si>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</si>
  <si>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</si>
  <si>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</si>
  <si>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</si>
  <si>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</si>
  <si>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</si>
  <si>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</si>
  <si>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</si>
  <si>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</si>
  <si>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</si>
  <si>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</si>
  <si>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</si>
  <si>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</si>
  <si>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</si>
  <si>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</si>
  <si>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</si>
  <si>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</si>
  <si>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</si>
  <si>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</si>
  <si>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</si>
  <si>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</si>
  <si>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</si>
  <si>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</si>
  <si>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</si>
  <si>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</si>
  <si>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</si>
  <si>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</si>
  <si>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</si>
  <si>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</si>
  <si>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</si>
  <si>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</si>
  <si>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</si>
  <si>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</si>
  <si>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</si>
  <si>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</si>
  <si>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</si>
  <si>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</si>
  <si>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</si>
  <si>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</si>
  <si>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</si>
  <si>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</si>
  <si>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</si>
  <si>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</si>
  <si>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</si>
  <si>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</si>
  <si>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</si>
  <si>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</si>
  <si>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</si>
  <si>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</si>
  <si>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</si>
  <si>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</si>
  <si>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</si>
  <si>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</si>
  <si>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</si>
  <si>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</si>
  <si>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</si>
  <si>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</si>
  <si>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</si>
  <si>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</si>
  <si>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</si>
  <si>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</si>
  <si>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</si>
  <si>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</si>
  <si>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</si>
  <si>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</si>
  <si>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</si>
  <si>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</si>
  <si>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</si>
  <si>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</si>
  <si>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</si>
  <si>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</si>
  <si>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</si>
  <si>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</si>
  <si>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</si>
  <si>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</si>
  <si>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</si>
  <si>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</si>
  <si>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</si>
  <si>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</si>
  <si>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</si>
  <si>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</si>
  <si>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</si>
  <si>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</si>
  <si>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</si>
  <si>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</si>
  <si>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</si>
  <si>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</si>
  <si>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</si>
  <si>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</si>
  <si>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</si>
  <si>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</si>
  <si>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</si>
  <si>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</si>
  <si>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</si>
  <si>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</si>
  <si>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</si>
  <si>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</si>
  <si>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</si>
  <si>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</si>
  <si>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</si>
  <si>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</si>
  <si>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</si>
  <si>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</si>
  <si>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</si>
  <si>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</si>
  <si>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</si>
  <si>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</si>
  <si>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</si>
  <si>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</si>
  <si>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</si>
  <si>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</si>
  <si>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</si>
  <si>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</si>
  <si>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</si>
  <si>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</si>
  <si>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</si>
  <si>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</si>
  <si>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</si>
  <si>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</si>
  <si>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</si>
  <si>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</si>
  <si>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</si>
  <si>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</si>
  <si>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</si>
  <si>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</si>
  <si>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</si>
  <si>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</si>
  <si>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</si>
  <si>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</si>
  <si>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</si>
  <si>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</si>
  <si>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</si>
  <si>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</si>
  <si>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</si>
  <si>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</si>
  <si>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</si>
  <si>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</si>
  <si>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</si>
  <si>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</si>
  <si>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</si>
  <si>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</si>
  <si>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</si>
  <si>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</si>
  <si>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</si>
  <si>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</si>
  <si>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</si>
  <si>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</si>
  <si>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</si>
  <si>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</si>
  <si>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</si>
  <si>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</si>
  <si>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</si>
  <si>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</si>
  <si>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</si>
  <si>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</si>
  <si>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</si>
  <si>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</si>
  <si>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</si>
  <si>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</si>
  <si>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</si>
  <si>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</si>
  <si>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</si>
  <si>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</si>
  <si>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</si>
  <si>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</si>
  <si>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</si>
  <si>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</si>
  <si>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</si>
  <si>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</si>
  <si>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</si>
  <si>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</si>
  <si>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</si>
  <si>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</si>
  <si>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</si>
  <si>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</si>
  <si>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</si>
  <si>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</si>
  <si>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</si>
  <si>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</si>
  <si>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</si>
  <si>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</si>
  <si>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</si>
  <si>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</si>
  <si>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</si>
  <si>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</si>
  <si>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</si>
  <si>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</si>
  <si>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</si>
  <si>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</si>
  <si>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</si>
  <si>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</si>
  <si>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</si>
  <si>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</si>
  <si>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</si>
  <si>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</si>
  <si>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</si>
  <si>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</si>
  <si>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</si>
  <si>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</si>
  <si>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</si>
  <si>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</si>
  <si>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</si>
  <si>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</si>
  <si>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</si>
  <si>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</si>
  <si>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</si>
  <si>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</si>
  <si>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</si>
  <si>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</si>
  <si>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</si>
  <si>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</si>
  <si>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</si>
  <si>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</si>
  <si>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</si>
  <si>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</si>
  <si>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</si>
  <si>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</si>
  <si>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</si>
  <si>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</si>
  <si>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</si>
  <si>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</si>
  <si>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</si>
  <si>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</si>
  <si>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</si>
  <si>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</si>
  <si>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</si>
  <si>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</si>
  <si>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</si>
  <si>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</si>
  <si>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</si>
  <si>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</si>
  <si>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</si>
  <si>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</si>
  <si>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</si>
  <si>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</si>
  <si>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</si>
  <si>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</si>
  <si>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</si>
  <si>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</si>
  <si>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</si>
  <si>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</si>
  <si>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</si>
  <si>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</si>
  <si>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</si>
  <si>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</si>
  <si>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</si>
  <si>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</si>
  <si>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</si>
  <si>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</si>
  <si>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</si>
  <si>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</si>
  <si>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</si>
  <si>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</si>
  <si>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</si>
  <si>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</si>
  <si>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</si>
  <si>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</si>
  <si>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</si>
  <si>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</si>
  <si>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</si>
  <si>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</si>
  <si>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</si>
  <si>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</si>
  <si>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</si>
  <si>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</si>
  <si>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</si>
  <si>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</si>
  <si>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</si>
  <si>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</si>
  <si>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</si>
  <si>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</si>
  <si>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</si>
  <si>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</si>
  <si>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</si>
  <si>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</si>
  <si>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</si>
  <si>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</si>
  <si>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</si>
  <si>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</si>
  <si>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</si>
  <si>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</si>
  <si>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</si>
  <si>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</si>
  <si>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</si>
  <si>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</si>
  <si>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</si>
  <si>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</si>
  <si>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</si>
  <si>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</si>
  <si>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</si>
  <si>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</si>
  <si>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</si>
  <si>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</si>
  <si>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</si>
  <si>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</si>
  <si>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</si>
  <si>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</si>
  <si>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</si>
  <si>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</si>
  <si>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</si>
  <si>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</si>
  <si>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</si>
  <si>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</si>
  <si>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</si>
  <si>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</si>
  <si>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</si>
  <si>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</si>
  <si>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</si>
  <si>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</si>
  <si>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</si>
  <si>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</si>
  <si>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</si>
  <si>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</si>
  <si>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</si>
  <si>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</si>
  <si>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</si>
  <si>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</si>
  <si>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</si>
  <si>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</si>
  <si>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</si>
  <si>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</si>
  <si>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</si>
  <si>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</si>
  <si>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</si>
  <si>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</si>
  <si>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</si>
  <si>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</si>
  <si>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</si>
  <si>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</si>
  <si>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</si>
  <si>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</si>
  <si>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</si>
  <si>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</si>
  <si>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</si>
  <si>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</si>
  <si>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</si>
  <si>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</si>
  <si>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</si>
  <si>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</si>
  <si>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</si>
  <si>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</si>
  <si>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</si>
  <si>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</si>
  <si>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</si>
  <si>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</si>
  <si>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</si>
  <si>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</si>
  <si>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</si>
  <si>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</si>
  <si>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</si>
  <si>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</si>
  <si>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</si>
  <si>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</si>
  <si>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</si>
  <si>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</si>
  <si>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</si>
  <si>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</si>
  <si>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</si>
  <si>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</si>
  <si>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</si>
  <si>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</si>
  <si>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</si>
  <si>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</si>
  <si>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</si>
  <si>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</si>
  <si>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</si>
  <si>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</si>
  <si>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</si>
  <si>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</si>
  <si>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</si>
  <si>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</si>
  <si>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</si>
  <si>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</si>
  <si>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</si>
  <si>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</si>
  <si>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</si>
  <si>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</si>
  <si>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</si>
  <si>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</si>
  <si>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</si>
  <si>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</si>
  <si>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</si>
  <si>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</si>
  <si>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</si>
  <si>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</si>
  <si>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</si>
  <si>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</si>
  <si>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</si>
  <si>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</si>
  <si>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</si>
  <si>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</si>
  <si>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</si>
  <si>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</si>
  <si>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</si>
  <si>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</si>
  <si>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</si>
  <si>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</si>
  <si>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</si>
  <si>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</si>
  <si>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</si>
  <si>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</si>
  <si>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</si>
  <si>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</si>
  <si>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</si>
  <si>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</si>
  <si>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</si>
  <si>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</si>
  <si>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</si>
  <si>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</si>
  <si>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</si>
  <si>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</si>
  <si>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</si>
  <si>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</si>
  <si>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</si>
  <si>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</si>
  <si>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</si>
  <si>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</si>
  <si>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</si>
  <si>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</si>
  <si>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</si>
  <si>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</si>
  <si>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</si>
  <si>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</si>
  <si>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</si>
  <si>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</si>
  <si>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</si>
  <si>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</si>
  <si>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</si>
  <si>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</si>
  <si>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</si>
  <si>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</si>
  <si>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</si>
  <si>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</si>
  <si>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</si>
  <si>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</si>
  <si>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</si>
  <si>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</si>
  <si>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</si>
  <si>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</si>
  <si>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</si>
  <si>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</si>
  <si>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</si>
  <si>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</si>
  <si>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</si>
  <si>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</si>
  <si>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</si>
  <si>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</si>
  <si>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</si>
  <si>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</si>
  <si>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</si>
  <si>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</si>
  <si>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</si>
  <si>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</si>
  <si>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</si>
  <si>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</si>
  <si>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</si>
  <si>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</si>
  <si>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</si>
  <si>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</si>
  <si>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</si>
  <si>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</si>
  <si>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</si>
  <si>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</si>
  <si>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</si>
  <si>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</si>
  <si>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</si>
  <si>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</si>
  <si>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</si>
  <si>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</si>
  <si>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</si>
  <si>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</si>
  <si>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</si>
  <si>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</si>
  <si>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</si>
  <si>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</si>
  <si>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</si>
  <si>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</si>
  <si>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</si>
  <si>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</si>
  <si>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</si>
  <si>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</si>
  <si>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</si>
  <si>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</si>
  <si>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</si>
  <si>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</si>
  <si>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</si>
  <si>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</si>
  <si>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</si>
  <si>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</si>
  <si>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</si>
  <si>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</si>
  <si>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</si>
  <si>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</si>
  <si>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</si>
  <si>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</si>
  <si>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</si>
  <si>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</si>
  <si>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</si>
  <si>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</si>
  <si>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</si>
  <si>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</si>
  <si>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</si>
  <si>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</si>
  <si>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</si>
  <si>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</si>
  <si>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</si>
  <si>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</si>
  <si>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</si>
  <si>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</si>
  <si>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</si>
  <si>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</si>
  <si>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</si>
  <si>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</si>
  <si>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</si>
  <si>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</si>
  <si>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</si>
  <si>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</si>
  <si>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</si>
  <si>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</si>
  <si>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</si>
  <si>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</si>
  <si>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</si>
  <si>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</si>
  <si>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</si>
  <si>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</si>
  <si>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</si>
  <si>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</si>
  <si>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</si>
  <si>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</si>
  <si>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</si>
  <si>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</si>
  <si>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</si>
  <si>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</si>
  <si>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</si>
  <si>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</si>
  <si>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</si>
  <si>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</si>
  <si>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</si>
  <si>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</si>
  <si>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</si>
  <si>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</si>
  <si>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</si>
  <si>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</si>
  <si>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</si>
  <si>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</si>
  <si>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</si>
  <si>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</si>
  <si>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</si>
  <si>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</si>
  <si>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</si>
  <si>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</si>
  <si>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</si>
  <si>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</si>
  <si>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</si>
  <si>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</si>
  <si>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</si>
  <si>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</si>
  <si>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</si>
  <si>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</si>
  <si>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</si>
  <si>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</si>
  <si>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</si>
  <si>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</si>
  <si>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</si>
  <si>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</si>
  <si>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</si>
  <si>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</si>
  <si>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</si>
  <si>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</si>
  <si>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</si>
  <si>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</si>
  <si>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</si>
  <si>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</si>
  <si>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</si>
  <si>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</si>
  <si>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</si>
  <si>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</si>
  <si>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</si>
  <si>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</si>
  <si>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</si>
  <si>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</si>
  <si>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</si>
  <si>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</si>
  <si>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</si>
  <si>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</si>
  <si>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</si>
  <si>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</si>
  <si>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</si>
  <si>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</si>
  <si>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</si>
  <si>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</si>
  <si>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</si>
  <si>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</si>
  <si>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</si>
  <si>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</si>
  <si>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</si>
  <si>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</si>
  <si>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</si>
  <si>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</si>
  <si>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</si>
  <si>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</si>
  <si>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</si>
  <si>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</si>
  <si>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</si>
  <si>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</si>
  <si>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</si>
  <si>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</si>
  <si>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</si>
  <si>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</si>
  <si>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</si>
  <si>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</si>
  <si>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</si>
  <si>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</si>
  <si>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</si>
  <si>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</si>
  <si>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</si>
  <si>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</si>
  <si>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</si>
  <si>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</si>
  <si>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</si>
  <si>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</si>
  <si>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</si>
  <si>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</si>
  <si>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</si>
  <si>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</si>
  <si>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</si>
  <si>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</si>
  <si>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</si>
  <si>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</si>
  <si>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</si>
  <si>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</si>
  <si>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</si>
  <si>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</si>
  <si>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</si>
  <si>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</si>
  <si>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</si>
  <si>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</si>
  <si>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</si>
  <si>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</si>
  <si>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</si>
  <si>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</si>
  <si>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</si>
  <si>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</si>
  <si>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</si>
  <si>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</si>
  <si>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</si>
  <si>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</si>
  <si>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</si>
  <si>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</si>
  <si>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</si>
  <si>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</si>
  <si>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</si>
  <si>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</si>
  <si>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</si>
  <si>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</si>
  <si>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</si>
  <si>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</si>
  <si>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</si>
  <si>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</si>
  <si>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</si>
  <si>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</si>
  <si>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</si>
  <si>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</si>
  <si>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</si>
  <si>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</si>
  <si>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</si>
  <si>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</si>
  <si>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</si>
  <si>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</si>
  <si>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</si>
  <si>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</si>
  <si>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</si>
  <si>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</si>
  <si>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</si>
  <si>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</si>
  <si>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</si>
  <si>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</si>
  <si>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</si>
  <si>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</si>
  <si>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</si>
  <si>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</si>
  <si>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</si>
  <si>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</si>
  <si>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</si>
  <si>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</si>
  <si>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</si>
  <si>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</si>
  <si>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</si>
  <si>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</si>
  <si>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</si>
  <si>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</si>
  <si>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</si>
  <si>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</si>
  <si>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</si>
  <si>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</si>
  <si>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</si>
  <si>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</si>
  <si>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</si>
  <si>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</si>
  <si>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</si>
  <si>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</si>
  <si>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</si>
  <si>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</si>
  <si>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</si>
  <si>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</si>
  <si>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</si>
  <si>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</si>
  <si>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</si>
  <si>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</si>
  <si>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</si>
  <si>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</si>
  <si>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</si>
  <si>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</si>
  <si>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</si>
  <si>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</si>
  <si>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</si>
  <si>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</si>
  <si>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</si>
  <si>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</si>
  <si>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</si>
  <si>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</si>
  <si>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</si>
  <si>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</si>
  <si>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</si>
  <si>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</si>
  <si>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</si>
  <si>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</si>
  <si>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</si>
  <si>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</si>
  <si>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</si>
  <si>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</si>
  <si>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</si>
  <si>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</si>
  <si>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</si>
  <si>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</si>
  <si>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</si>
  <si>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</si>
  <si>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</si>
  <si>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</si>
  <si>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</si>
  <si>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</si>
  <si>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</si>
  <si>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</si>
  <si>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</si>
  <si>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</si>
  <si>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</si>
  <si>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</si>
  <si>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</si>
  <si>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</si>
  <si>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</si>
  <si>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</si>
  <si>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</si>
  <si>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</si>
  <si>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</si>
  <si>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</si>
  <si>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</si>
  <si>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</si>
  <si>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</si>
  <si>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</si>
  <si>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</si>
  <si>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</si>
  <si>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</si>
  <si>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</si>
  <si>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</si>
  <si>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</si>
  <si>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</si>
  <si>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</si>
  <si>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</si>
  <si>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</si>
  <si>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</si>
  <si>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</si>
  <si>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</si>
  <si>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</si>
  <si>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</si>
  <si>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</si>
  <si>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</si>
  <si>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</si>
  <si>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</si>
  <si>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</si>
  <si>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</si>
  <si>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</si>
  <si>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</si>
  <si>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</si>
  <si>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</si>
  <si>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</si>
  <si>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</si>
  <si>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</si>
  <si>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</si>
  <si>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</si>
  <si>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</si>
  <si>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</si>
  <si>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</si>
  <si>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</si>
  <si>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</si>
  <si>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</si>
  <si>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</si>
  <si>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</si>
  <si>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</si>
  <si>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</si>
  <si>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</si>
  <si>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</si>
  <si>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</si>
  <si>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</si>
  <si>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</si>
  <si>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</si>
  <si>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</si>
  <si>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</si>
  <si>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</si>
  <si>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</si>
  <si>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</si>
  <si>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</si>
  <si>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</si>
  <si>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</si>
  <si>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</si>
  <si>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</si>
  <si>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</si>
  <si>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</si>
  <si>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</si>
  <si>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</si>
  <si>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</si>
  <si>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</si>
  <si>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</si>
  <si>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</si>
  <si>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</si>
  <si>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</si>
  <si>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</si>
  <si>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</si>
  <si>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</si>
  <si>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</si>
  <si>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</si>
  <si>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</si>
  <si>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</si>
  <si>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</si>
  <si>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</si>
  <si>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</si>
  <si>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</si>
  <si>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</si>
  <si>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</si>
  <si>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</si>
  <si>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</si>
  <si>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</si>
  <si>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</si>
  <si>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</si>
  <si>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</si>
  <si>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</si>
  <si>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</si>
  <si>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</si>
  <si>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</si>
  <si>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</si>
  <si>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</si>
  <si>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</si>
  <si>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</si>
  <si>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</si>
  <si>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</si>
  <si>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</si>
  <si>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</si>
  <si>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</si>
  <si>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</si>
  <si>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</si>
  <si>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</si>
  <si>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</si>
  <si>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</si>
  <si>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</si>
  <si>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</si>
  <si>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</si>
  <si>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</si>
  <si>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</si>
  <si>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</si>
  <si>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</si>
  <si>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</si>
  <si>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</si>
  <si>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</si>
  <si>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</si>
  <si>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</si>
  <si>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</si>
  <si>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</si>
  <si>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</si>
  <si>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</si>
  <si>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</si>
  <si>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</si>
  <si>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</si>
  <si>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</si>
  <si>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</si>
  <si>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</si>
  <si>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</si>
  <si>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</si>
  <si>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</si>
  <si>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</si>
  <si>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</si>
  <si>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</si>
  <si>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</si>
  <si>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</si>
  <si>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</si>
  <si>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</si>
  <si>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</si>
  <si>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</si>
  <si>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</si>
  <si>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</si>
  <si>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</si>
  <si>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</si>
  <si>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</si>
  <si>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</si>
  <si>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</si>
  <si>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</si>
  <si>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</si>
  <si>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</si>
  <si>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</si>
  <si>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</si>
  <si>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</si>
  <si>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</si>
  <si>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</si>
  <si>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</si>
  <si>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</si>
  <si>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</si>
  <si>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</si>
  <si>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</si>
  <si>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</si>
  <si>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</si>
  <si>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</si>
  <si>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</si>
  <si>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</si>
  <si>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</si>
  <si>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</si>
  <si>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</si>
  <si>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</si>
  <si>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</si>
  <si>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</si>
  <si>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</si>
  <si>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</si>
  <si>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</si>
  <si>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</si>
  <si>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</si>
  <si>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</si>
  <si>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</si>
  <si>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</si>
  <si>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</si>
  <si>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</si>
  <si>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</si>
  <si>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</si>
  <si>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</si>
  <si>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</si>
  <si>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</si>
  <si>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</si>
  <si>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</si>
  <si>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</si>
  <si>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</si>
  <si>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</si>
  <si>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</si>
  <si>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</si>
  <si>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</si>
  <si>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</si>
  <si>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</si>
  <si>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</si>
  <si>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</si>
  <si>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</si>
  <si>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</si>
  <si>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</si>
  <si>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</si>
  <si>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</si>
  <si>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</si>
  <si>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</si>
  <si>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</si>
  <si>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</si>
  <si>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</si>
  <si>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</si>
  <si>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</si>
  <si>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</si>
  <si>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</si>
  <si>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</si>
  <si>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</si>
  <si>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</si>
  <si>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</si>
  <si>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</si>
  <si>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</si>
  <si>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</si>
  <si>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</si>
  <si>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</si>
  <si>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</si>
  <si>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</si>
  <si>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</si>
  <si>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</si>
  <si>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</si>
  <si>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</si>
  <si>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</si>
  <si>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</si>
  <si>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</si>
  <si>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</si>
  <si>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</si>
  <si>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</si>
  <si>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</si>
  <si>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</si>
  <si>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</si>
  <si>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</si>
  <si>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</si>
  <si>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</si>
  <si>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</si>
  <si>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</si>
  <si>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</si>
  <si>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</si>
  <si>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</si>
  <si>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</si>
  <si>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</si>
  <si>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</si>
  <si>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</si>
  <si>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</si>
  <si>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</si>
  <si>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</si>
  <si>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</si>
  <si>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</si>
  <si>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</si>
  <si>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</si>
  <si>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</si>
  <si>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</si>
  <si>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</si>
  <si>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</si>
  <si>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</si>
  <si>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</si>
  <si>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</si>
  <si>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</si>
  <si>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</si>
  <si>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</si>
  <si>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</si>
  <si>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</si>
  <si>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</si>
  <si>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</si>
  <si>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</si>
  <si>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</si>
  <si>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</si>
  <si>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</si>
  <si>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</si>
  <si>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</si>
  <si>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</si>
  <si>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</si>
  <si>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</si>
  <si>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</si>
  <si>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</si>
  <si>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</si>
  <si>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</si>
  <si>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</si>
  <si>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</si>
  <si>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</si>
  <si>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</si>
  <si>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</si>
  <si>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</si>
  <si>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</si>
  <si>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</si>
  <si>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</si>
  <si>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</si>
  <si>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</si>
  <si>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</si>
  <si>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</si>
  <si>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</si>
  <si>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</si>
  <si>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</si>
  <si>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</si>
  <si>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</si>
  <si>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</si>
  <si>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</si>
  <si>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</si>
  <si>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</si>
  <si>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</si>
  <si>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</si>
  <si>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</si>
  <si>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</si>
  <si>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</si>
  <si>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</si>
  <si>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</si>
  <si>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</si>
  <si>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</si>
  <si>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</si>
  <si>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</si>
  <si>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</si>
  <si>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</si>
  <si>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</si>
  <si>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</si>
  <si>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</si>
  <si>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</si>
  <si>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</si>
  <si>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</si>
  <si>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</si>
  <si>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</si>
  <si>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</si>
  <si>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</si>
  <si>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</si>
  <si>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</si>
  <si>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</si>
  <si>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</si>
  <si>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</si>
  <si>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</si>
  <si>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</si>
  <si>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</si>
  <si>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</si>
  <si>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</si>
  <si>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</si>
  <si>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</si>
  <si>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</si>
  <si>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</si>
  <si>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</si>
  <si>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</si>
  <si>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</si>
  <si>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</si>
  <si>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</si>
  <si>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</si>
  <si>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</si>
  <si>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</si>
  <si>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</si>
  <si>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</si>
  <si>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</si>
  <si>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</si>
  <si>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</si>
  <si>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</si>
  <si>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</si>
  <si>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</si>
  <si>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</si>
  <si>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</si>
  <si>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</si>
  <si>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</si>
  <si>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</si>
  <si>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</si>
  <si>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</si>
  <si>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</si>
  <si>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</si>
  <si>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</si>
  <si>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</si>
  <si>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</si>
  <si>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</si>
  <si>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</si>
  <si>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</si>
  <si>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</si>
  <si>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</si>
  <si>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</si>
  <si>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</si>
  <si>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</si>
  <si>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</si>
  <si>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</si>
  <si>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</si>
  <si>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</si>
  <si>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</si>
  <si>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</si>
  <si>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</si>
  <si>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</si>
  <si>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</si>
  <si>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</si>
  <si>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</si>
  <si>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</si>
  <si>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</si>
  <si>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</si>
  <si>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</si>
  <si>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</si>
  <si>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</si>
  <si>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</si>
  <si>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</si>
  <si>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</si>
  <si>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</si>
  <si>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</si>
  <si>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</si>
  <si>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</si>
  <si>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</si>
  <si>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</si>
  <si>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</si>
  <si>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</si>
  <si>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</si>
  <si>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</si>
  <si>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</si>
  <si>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</si>
  <si>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</si>
  <si>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</si>
  <si>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</si>
  <si>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</si>
  <si>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</si>
  <si>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</si>
  <si>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</si>
  <si>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</si>
  <si>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</si>
  <si>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</si>
  <si>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</si>
  <si>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</si>
  <si>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</si>
  <si>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</si>
  <si>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</si>
  <si>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</si>
  <si>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</si>
  <si>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</si>
  <si>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</si>
  <si>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</si>
  <si>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</si>
  <si>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</si>
  <si>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</si>
  <si>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</si>
  <si>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</si>
  <si>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</si>
  <si>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</si>
  <si>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</si>
  <si>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</si>
  <si>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</si>
  <si>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</si>
  <si>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</si>
  <si>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</si>
  <si>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</si>
  <si>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</si>
  <si>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</si>
  <si>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</si>
  <si>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</si>
  <si>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</si>
  <si>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</si>
  <si>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</si>
  <si>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</si>
  <si>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</si>
  <si>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</si>
  <si>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</si>
  <si>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</si>
  <si>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</si>
  <si>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</si>
  <si>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</si>
  <si>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</si>
  <si>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</si>
  <si>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</si>
  <si>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</si>
  <si>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</si>
  <si>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</si>
  <si>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</si>
  <si>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</si>
  <si>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</si>
  <si>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</si>
  <si>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</si>
  <si>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</si>
  <si>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</si>
  <si>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OCCASION VW + 60 JRS</t>
  </si>
  <si>
    <t>360</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</si>
  <si>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</si>
  <si>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</si>
  <si>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</si>
  <si>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</si>
  <si>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</si>
  <si>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</si>
  <si>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</si>
  <si>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</si>
  <si>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</si>
  <si>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</si>
  <si>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</si>
  <si>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</si>
  <si>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</si>
  <si>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</si>
  <si>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</si>
  <si>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</si>
  <si>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</si>
  <si>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</si>
  <si>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</si>
  <si>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</si>
  <si>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</si>
  <si>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</si>
  <si>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</si>
  <si>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</si>
  <si>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</si>
  <si>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</si>
  <si>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</si>
  <si>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</si>
  <si>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</si>
  <si>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</si>
  <si>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</si>
  <si>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</si>
  <si>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</si>
  <si>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</si>
  <si>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</si>
  <si>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</si>
  <si>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</si>
  <si>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</si>
  <si>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</si>
  <si>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</si>
  <si>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</si>
  <si>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</si>
  <si>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</si>
  <si>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</si>
  <si>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</si>
  <si>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</si>
  <si>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</si>
  <si>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</si>
  <si>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</si>
  <si>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</si>
  <si>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</si>
  <si>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</si>
  <si>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</si>
  <si>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</si>
  <si>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</si>
  <si>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</si>
  <si>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</si>
  <si>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</si>
  <si>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</si>
  <si>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</si>
  <si>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</si>
  <si>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</si>
  <si>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</si>
  <si>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</si>
  <si>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</si>
  <si>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</si>
  <si>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</si>
  <si>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</si>
  <si>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</si>
  <si>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</si>
  <si>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</si>
  <si>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</si>
  <si>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</si>
  <si>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</si>
  <si>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</si>
  <si>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</si>
  <si>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</si>
  <si>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</si>
  <si>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</si>
  <si>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</si>
  <si>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</si>
  <si>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</si>
  <si>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</si>
  <si>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</si>
  <si>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</si>
  <si>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</si>
  <si>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</si>
  <si>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</si>
  <si>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</si>
  <si>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</si>
  <si>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</si>
  <si>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</si>
  <si>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</si>
  <si>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</si>
  <si>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</si>
  <si>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</si>
  <si>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</si>
  <si>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</si>
  <si>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</si>
  <si>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</si>
  <si>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</si>
  <si>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</si>
  <si>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</si>
  <si>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</si>
  <si>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</si>
  <si>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</si>
  <si>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</si>
  <si>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</si>
  <si>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</si>
  <si>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</si>
  <si>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</si>
  <si>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</si>
  <si>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</si>
  <si>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</si>
  <si>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</si>
  <si>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</si>
  <si>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</si>
  <si>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</si>
  <si>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</si>
  <si>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</si>
  <si>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</si>
  <si>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</si>
  <si>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</si>
  <si>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</si>
  <si>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</si>
  <si>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</si>
  <si>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</si>
  <si>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</si>
  <si>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</si>
  <si>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</si>
  <si>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</si>
  <si>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</si>
  <si>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</si>
  <si>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</si>
  <si>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</si>
  <si>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</si>
  <si>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</si>
  <si>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</si>
  <si>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</si>
  <si>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</si>
  <si>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</si>
  <si>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</si>
  <si>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</si>
  <si>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</si>
  <si>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</si>
  <si>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</si>
  <si>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</si>
  <si>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</si>
  <si>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</si>
  <si>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</si>
  <si>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</si>
  <si>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</si>
  <si>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</si>
  <si>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</si>
  <si>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</si>
  <si>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</si>
  <si>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</si>
  <si>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</si>
  <si>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</si>
  <si>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</si>
  <si>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</si>
  <si>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</si>
  <si>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</si>
  <si>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</si>
  <si>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</si>
  <si>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</si>
  <si>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</si>
  <si>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</si>
  <si>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</si>
  <si>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</si>
  <si>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</si>
  <si>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</si>
  <si>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</si>
  <si>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</si>
  <si>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</si>
  <si>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</si>
  <si>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</si>
  <si>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</si>
  <si>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</si>
  <si>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</si>
  <si>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</si>
  <si>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</si>
  <si>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</si>
  <si>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</si>
  <si>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</si>
  <si>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</si>
  <si>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</si>
  <si>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</si>
  <si>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</si>
  <si>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</si>
  <si>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</si>
  <si>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</si>
  <si>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</si>
  <si>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</si>
  <si>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</si>
  <si>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</si>
  <si>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</si>
  <si>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</si>
  <si>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</si>
  <si>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</si>
  <si>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</si>
  <si>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</si>
  <si>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</si>
  <si>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</si>
  <si>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</si>
  <si>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</si>
  <si>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</si>
  <si>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</si>
  <si>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</si>
  <si>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</si>
  <si>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</si>
  <si>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</si>
  <si>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</si>
  <si>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</si>
  <si>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</si>
  <si>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</si>
  <si>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</si>
  <si>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</si>
  <si>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</si>
  <si>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</si>
  <si>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</si>
  <si>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</si>
  <si>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</si>
  <si>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</si>
  <si>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</si>
  <si>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</si>
  <si>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</si>
  <si>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</si>
  <si>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</si>
  <si>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</si>
  <si>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</si>
  <si>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</si>
  <si>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</si>
  <si>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</si>
  <si>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</si>
  <si>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</si>
  <si>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</si>
  <si>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</si>
  <si>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</si>
  <si>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</si>
  <si>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</si>
  <si>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</si>
  <si>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</si>
  <si>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</si>
  <si>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</si>
  <si>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</si>
  <si>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</si>
  <si>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</si>
  <si>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</si>
  <si>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</si>
  <si>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</si>
  <si>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</si>
  <si>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</si>
  <si>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</si>
  <si>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</si>
  <si>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</si>
  <si>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</si>
  <si>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</si>
  <si>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</si>
  <si>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</si>
  <si>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</si>
  <si>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</si>
  <si>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</si>
  <si>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</si>
  <si>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</si>
  <si>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</si>
  <si>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</si>
  <si>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</si>
  <si>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</si>
  <si>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</si>
  <si>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</si>
  <si>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</si>
  <si>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</si>
  <si>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</si>
  <si>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</si>
  <si>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</si>
  <si>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</si>
  <si>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</si>
  <si>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</si>
  <si>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</si>
  <si>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</si>
  <si>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</si>
  <si>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</si>
  <si>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</si>
  <si>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</si>
  <si>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</si>
  <si>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</si>
  <si>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</si>
  <si>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</si>
  <si>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</si>
  <si>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</si>
  <si>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</si>
  <si>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</si>
  <si>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</si>
  <si>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</si>
  <si>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</si>
  <si>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</si>
  <si>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</si>
  <si>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</si>
  <si>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</si>
  <si>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</si>
  <si>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</si>
  <si>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</si>
  <si>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</si>
  <si>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</si>
  <si>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</si>
  <si>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</si>
  <si>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</si>
  <si>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</si>
  <si>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</si>
  <si>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</si>
  <si>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</si>
  <si>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</si>
  <si>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</si>
  <si>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</si>
  <si>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</si>
  <si>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</si>
  <si>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</si>
  <si>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</si>
  <si>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</si>
  <si>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</si>
  <si>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</si>
  <si>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</si>
  <si>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</si>
  <si>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</si>
  <si>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</si>
  <si>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</si>
  <si>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</si>
  <si>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</si>
  <si>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</si>
  <si>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</si>
  <si>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</si>
  <si>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</si>
  <si>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</si>
  <si>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</si>
  <si>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</si>
  <si>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</si>
  <si>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</si>
  <si>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</si>
  <si>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</si>
  <si>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</si>
  <si>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</si>
  <si>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</si>
  <si>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</si>
  <si>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</si>
  <si>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</si>
  <si>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</si>
  <si>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</si>
  <si>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</si>
  <si>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</si>
  <si>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</si>
  <si>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</si>
  <si>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</si>
  <si>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</si>
  <si>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</si>
  <si>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</si>
  <si>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</si>
  <si>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</si>
  <si>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</si>
  <si>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</si>
  <si>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</si>
  <si>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</si>
  <si>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</si>
  <si>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</si>
  <si>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</si>
  <si>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</si>
  <si>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</si>
  <si>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</si>
  <si>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</si>
  <si>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</si>
  <si>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</si>
  <si>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</si>
  <si>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</si>
  <si>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</si>
  <si>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</si>
  <si>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</si>
  <si>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</si>
  <si>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</si>
  <si>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</si>
  <si>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</si>
  <si>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</si>
  <si>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</si>
  <si>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</si>
  <si>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</si>
  <si>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</si>
  <si>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</si>
  <si>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</si>
  <si>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</si>
  <si>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</si>
  <si>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</si>
  <si>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</si>
  <si>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</si>
  <si>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</si>
  <si>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</si>
  <si>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</si>
  <si>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</si>
  <si>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</si>
  <si>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</si>
  <si>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</si>
  <si>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</si>
  <si>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</si>
  <si>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</si>
  <si>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</si>
  <si>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</si>
  <si>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</si>
  <si>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</si>
  <si>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</si>
  <si>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</si>
  <si>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</si>
  <si>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</si>
  <si>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</si>
  <si>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</si>
  <si>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</si>
  <si>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</si>
  <si>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</si>
  <si>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</si>
  <si>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</si>
  <si>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</si>
  <si>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</si>
  <si>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</si>
  <si>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</si>
  <si>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</si>
  <si>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</si>
  <si>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</si>
  <si>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</si>
  <si>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</si>
  <si>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</si>
  <si>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</si>
  <si>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</si>
  <si>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</si>
  <si>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</si>
  <si>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</si>
  <si>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</si>
  <si>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</si>
  <si>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</si>
  <si>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</si>
  <si>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</si>
  <si>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</si>
  <si>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</si>
  <si>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</si>
  <si>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</si>
  <si>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</si>
  <si>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</si>
  <si>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</si>
  <si>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</si>
  <si>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</si>
  <si>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</si>
  <si>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</si>
  <si>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</si>
  <si>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</si>
  <si>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</si>
  <si>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</si>
  <si>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</si>
  <si>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</si>
  <si>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</si>
  <si>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</si>
  <si>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</si>
  <si>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</si>
  <si>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</si>
  <si>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</si>
  <si>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</si>
  <si>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</si>
  <si>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</si>
  <si>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</si>
  <si>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</si>
  <si>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</si>
  <si>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</si>
  <si>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</si>
  <si>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</si>
  <si>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</si>
  <si>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</si>
  <si>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</si>
  <si>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</si>
  <si>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</si>
  <si>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</si>
  <si>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</si>
  <si>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</si>
  <si>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</si>
  <si>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</si>
  <si>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</si>
  <si>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</si>
  <si>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</si>
  <si>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</si>
  <si>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</si>
  <si>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</si>
  <si>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</si>
  <si>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</si>
  <si>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</si>
  <si>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</si>
  <si>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</si>
  <si>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</si>
  <si>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</si>
  <si>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</si>
  <si>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</si>
  <si>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</si>
  <si>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</si>
  <si>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</si>
  <si>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</si>
  <si>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</si>
  <si>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</si>
  <si>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</si>
  <si>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</si>
  <si>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</si>
  <si>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</si>
  <si>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</si>
  <si>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</si>
  <si>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</si>
  <si>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</si>
  <si>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</si>
  <si>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</si>
  <si>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</si>
  <si>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</si>
  <si>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</si>
  <si>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</si>
  <si>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</si>
  <si>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</si>
  <si>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</si>
  <si>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</si>
  <si>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</si>
  <si>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</si>
  <si>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</si>
  <si>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</si>
  <si>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</si>
  <si>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</si>
  <si>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</si>
  <si>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</si>
  <si>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</si>
  <si>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</si>
  <si>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</si>
  <si>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</si>
  <si>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</si>
  <si>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</si>
  <si>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</si>
  <si>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</si>
  <si>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</si>
  <si>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</si>
  <si>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</si>
  <si>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</si>
  <si>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</si>
  <si>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</si>
  <si>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</si>
  <si>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</si>
  <si>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</si>
  <si>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</si>
  <si>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</si>
  <si>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</si>
  <si>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</si>
  <si>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</si>
  <si>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</si>
  <si>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</si>
  <si>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</si>
  <si>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</si>
  <si>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</si>
  <si>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</si>
  <si>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</si>
  <si>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</si>
  <si>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</si>
  <si>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</si>
  <si>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</si>
  <si>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</si>
  <si>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</si>
  <si>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</si>
  <si>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</si>
  <si>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</si>
  <si>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</si>
  <si>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</si>
  <si>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</si>
  <si>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</si>
  <si>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</si>
  <si>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</si>
  <si>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</si>
  <si>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</si>
  <si>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</si>
  <si>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</si>
  <si>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</si>
  <si>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</si>
  <si>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</si>
  <si>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</si>
  <si>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</si>
  <si>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</si>
  <si>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</si>
  <si>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</si>
  <si>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</si>
  <si>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</si>
  <si>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</si>
  <si>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</si>
  <si>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</si>
  <si>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</si>
  <si>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</si>
  <si>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</si>
  <si>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</si>
  <si>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</si>
  <si>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</si>
  <si>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NEUF</t>
  </si>
  <si>
    <t>USAGE</t>
  </si>
  <si>
    <t>SERVICE</t>
  </si>
  <si>
    <t>CARROSSERIE</t>
  </si>
  <si>
    <t>PIECES</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</si>
  <si>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</si>
  <si>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</si>
  <si>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</si>
  <si>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</si>
  <si>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</si>
  <si>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</si>
  <si>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</si>
  <si>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</si>
  <si>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</si>
  <si>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</si>
  <si>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</si>
  <si>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</si>
  <si>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</si>
  <si>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</si>
  <si>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</si>
  <si>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 DE VTE - ATLAS CROSS SPORT</t>
  </si>
  <si>
    <t>4121@</t>
  </si>
  <si>
    <t>C/V - ATLAS CROSS SPORT</t>
  </si>
  <si>
    <t># DE INV.VEH.USAGE AUDI</t>
  </si>
  <si>
    <t>1418@</t>
  </si>
  <si>
    <t>1418</t>
  </si>
  <si>
    <t>Caroline en maladie</t>
  </si>
  <si>
    <t xml:space="preserve">erreur pneu 2019 vendu mais cleint ont appelé apres pour avoir mais $10k vente de pneu en réserve - </t>
  </si>
  <si>
    <t>pneu/veh aad</t>
  </si>
  <si>
    <t>bonification vendeur</t>
  </si>
  <si>
    <t>VTE - RACHAT BAIL AUDI</t>
  </si>
  <si>
    <t>VTES -TAOS</t>
  </si>
  <si>
    <t>4117</t>
  </si>
  <si>
    <t>TAOS</t>
  </si>
  <si>
    <t>4118@</t>
  </si>
  <si>
    <t>C/V - TAOS</t>
  </si>
  <si>
    <t>VTE - TAOS</t>
  </si>
  <si>
    <t># DE VTE - TAOS</t>
  </si>
  <si>
    <t>ATLAS</t>
  </si>
  <si>
    <t>TIGUAN</t>
  </si>
  <si>
    <t>Compte de depense a payer</t>
  </si>
  <si>
    <t>250</t>
  </si>
  <si>
    <t>#Contrôle</t>
  </si>
  <si>
    <t>$ Inventaire</t>
  </si>
  <si>
    <t>$ Financé</t>
  </si>
  <si>
    <t>NIV</t>
  </si>
  <si>
    <t>Jours en stock</t>
  </si>
  <si>
    <t>CTRL</t>
  </si>
  <si>
    <t>Amount</t>
  </si>
  <si>
    <t>Financé</t>
  </si>
  <si>
    <t>Marque</t>
  </si>
  <si>
    <t>Modèle</t>
  </si>
  <si>
    <t>VTE - AUTRE PIECE/ACC/CARR B.R. INTERNE</t>
  </si>
  <si>
    <t># DE VTE - P&amp;A B.T. INTERNE AUDI</t>
  </si>
  <si>
    <t>4715@</t>
  </si>
  <si>
    <t>C/V - AUTRE PIECE/ACC/CARR B.R. INTERNE</t>
  </si>
  <si>
    <t>GOLF</t>
  </si>
  <si>
    <t>JETTA</t>
  </si>
  <si>
    <t>1V2BC2CAXMC221804</t>
  </si>
  <si>
    <t>4906P</t>
  </si>
  <si>
    <t>1GYEE437690117273</t>
  </si>
  <si>
    <t>GOLF GTI</t>
  </si>
  <si>
    <t>JETTA SEDAN</t>
  </si>
  <si>
    <t>GOLF ALLTRACK</t>
  </si>
  <si>
    <t>2021</t>
  </si>
  <si>
    <t>2022</t>
  </si>
  <si>
    <t>RECEVABLES INTERCO</t>
  </si>
  <si>
    <t>COMPTES FOURNISSEURS INTERCO</t>
  </si>
  <si>
    <t>FPA PAYABLES</t>
  </si>
  <si>
    <t>COMPTE FOURNISSEURS INTERCO</t>
  </si>
  <si>
    <t>2009</t>
  </si>
  <si>
    <t>2018</t>
  </si>
  <si>
    <t>2019</t>
  </si>
  <si>
    <t>2017</t>
  </si>
  <si>
    <t>2016</t>
  </si>
  <si>
    <t>2020</t>
  </si>
  <si>
    <t>4951PA</t>
  </si>
  <si>
    <t>3VWH17AU2JM754068</t>
  </si>
  <si>
    <t>2015</t>
  </si>
  <si>
    <t>ajsu</t>
  </si>
  <si>
    <t>5057P</t>
  </si>
  <si>
    <t>3VV1B7AX7JM041101</t>
  </si>
  <si>
    <t>220026A</t>
  </si>
  <si>
    <t>3VV0B7AX1JM057807</t>
  </si>
  <si>
    <t>RECEVABLES INTERCO VEHICULE</t>
  </si>
  <si>
    <t>PROFIT/PERTES DECEMBRE</t>
  </si>
  <si>
    <t>UNITES NEUVES VENDUES DECEMBRE</t>
  </si>
  <si>
    <t>REVENUE HOLDBACK DIFFERE</t>
  </si>
  <si>
    <t>2561</t>
  </si>
  <si>
    <t>GOLF R</t>
  </si>
  <si>
    <t>Unités</t>
  </si>
  <si>
    <t>AJUSTEMENTS QG</t>
  </si>
  <si>
    <t>PROVISIONS QG</t>
  </si>
  <si>
    <t>CSST A PAYER OU RECEVOIR</t>
  </si>
  <si>
    <t>256</t>
  </si>
  <si>
    <t>UNITES USAGES DET./ DEC.</t>
  </si>
  <si>
    <t>p12</t>
  </si>
  <si>
    <t>VAR</t>
  </si>
  <si>
    <t>$9454 ajustment report vac 2021</t>
  </si>
  <si>
    <t>Budget 2022</t>
  </si>
  <si>
    <t>CONCESSION</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</si>
  <si>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</si>
  <si>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</si>
  <si>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</si>
  <si>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</si>
  <si>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</si>
  <si>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</si>
  <si>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</si>
  <si>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</si>
  <si>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</si>
  <si>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</si>
  <si>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</si>
  <si>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</si>
  <si>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</si>
  <si>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</si>
  <si>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</si>
  <si>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</si>
  <si>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</si>
  <si>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</si>
  <si>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</si>
  <si>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</si>
  <si>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</si>
  <si>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non</t>
  </si>
  <si>
    <t>1 laptop Dir adj ventes</t>
  </si>
  <si>
    <t>4 ordinateur de diagnostic</t>
  </si>
  <si>
    <t>Équipement</t>
  </si>
  <si>
    <t>Amélioration locative</t>
  </si>
  <si>
    <t>Chargeur de batterie</t>
  </si>
  <si>
    <t xml:space="preserve">Équipement Informatique </t>
  </si>
  <si>
    <t>Remplacement machine de balancement</t>
  </si>
  <si>
    <t>Réparation machine à pneus</t>
  </si>
  <si>
    <t>Equipement</t>
  </si>
  <si>
    <t>Testeur batterie</t>
  </si>
  <si>
    <t>Testeur rapide</t>
  </si>
  <si>
    <t>Directeur adjoint des ventes</t>
  </si>
  <si>
    <t>4 ordinateurs de diagnostic</t>
  </si>
  <si>
    <t>pour non planifié</t>
  </si>
  <si>
    <t>équipement solution (imposé par VW) et non planifié</t>
  </si>
  <si>
    <t xml:space="preserve">Budget 2022  </t>
  </si>
  <si>
    <t>3VVAX7B23NM030929</t>
  </si>
  <si>
    <t>1V2LE2CA1NC207452</t>
  </si>
  <si>
    <t>PASSAT</t>
  </si>
  <si>
    <t>220174A</t>
  </si>
  <si>
    <t>3VV0B7AX8JM019555</t>
  </si>
  <si>
    <t>Véhicules neufsVentes nettes</t>
  </si>
  <si>
    <t>Véhicules neufsAutos détail</t>
  </si>
  <si>
    <t>Véhicules neufsCamions détail</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</si>
  <si>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</si>
  <si>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</si>
  <si>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</si>
  <si>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</si>
  <si>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</si>
  <si>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</si>
  <si>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</si>
  <si>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</si>
  <si>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</si>
  <si>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</si>
  <si>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</si>
  <si>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</si>
  <si>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</si>
  <si>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</si>
  <si>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</si>
  <si>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</si>
  <si>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</si>
  <si>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</si>
  <si>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</si>
  <si>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</si>
  <si>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</si>
  <si>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</si>
  <si>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</si>
  <si>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</si>
  <si>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</si>
  <si>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</si>
  <si>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</si>
  <si>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</si>
  <si>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</si>
  <si>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</si>
  <si>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</si>
  <si>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</si>
  <si>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</si>
  <si>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</si>
  <si>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</si>
  <si>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</si>
  <si>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</si>
  <si>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</si>
  <si>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</si>
  <si>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</si>
  <si>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</si>
  <si>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</si>
  <si>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</si>
  <si>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</si>
  <si>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</si>
  <si>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</si>
  <si>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</si>
  <si>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</si>
  <si>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</si>
  <si>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</si>
  <si>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</si>
  <si>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</si>
  <si>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</si>
  <si>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</si>
  <si>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</si>
  <si>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</si>
  <si>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</si>
  <si>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</si>
  <si>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</si>
  <si>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</si>
  <si>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</si>
  <si>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</si>
  <si>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</si>
  <si>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</si>
  <si>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</si>
  <si>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</si>
  <si>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</si>
  <si>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</si>
  <si>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</si>
  <si>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</si>
  <si>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</si>
  <si>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</si>
  <si>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</si>
  <si>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</si>
  <si>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</si>
  <si>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</si>
  <si>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</si>
  <si>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</si>
  <si>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</si>
  <si>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</si>
  <si>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</si>
  <si>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</si>
  <si>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</si>
  <si>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</si>
  <si>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</si>
  <si>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</si>
  <si>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</si>
  <si>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</si>
  <si>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</si>
  <si>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</si>
  <si>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</si>
  <si>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</si>
  <si>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</si>
  <si>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</si>
  <si>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</si>
  <si>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</si>
  <si>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</si>
  <si>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</si>
  <si>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</si>
  <si>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</si>
  <si>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</si>
  <si>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</si>
  <si>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</si>
  <si>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</si>
  <si>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</si>
  <si>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</si>
  <si>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</si>
  <si>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</si>
  <si>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</si>
  <si>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</si>
  <si>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</si>
  <si>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</si>
  <si>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</si>
  <si>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</si>
  <si>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</si>
  <si>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</si>
  <si>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</si>
  <si>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</si>
  <si>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</si>
  <si>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</si>
  <si>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</si>
  <si>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</si>
  <si>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</si>
  <si>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</si>
  <si>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</si>
  <si>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</si>
  <si>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</si>
  <si>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</si>
  <si>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</si>
  <si>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</si>
  <si>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</si>
  <si>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</si>
  <si>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</si>
  <si>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</si>
  <si>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</si>
  <si>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</si>
  <si>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</si>
  <si>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</si>
  <si>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</si>
  <si>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</si>
  <si>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</si>
  <si>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</si>
  <si>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</si>
  <si>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</si>
  <si>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</si>
  <si>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</si>
  <si>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</si>
  <si>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</si>
  <si>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</si>
  <si>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</si>
  <si>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</si>
  <si>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</si>
  <si>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</si>
  <si>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</si>
  <si>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</si>
  <si>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</si>
  <si>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</si>
  <si>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</si>
  <si>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</si>
  <si>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</si>
  <si>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</si>
  <si>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</si>
  <si>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</si>
  <si>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</si>
  <si>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</si>
  <si>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</si>
  <si>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</si>
  <si>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</si>
  <si>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</si>
  <si>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</si>
  <si>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</si>
  <si>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</si>
  <si>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</si>
  <si>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</si>
  <si>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</si>
  <si>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</si>
  <si>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</si>
  <si>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</si>
  <si>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</si>
  <si>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</si>
  <si>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</si>
  <si>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</si>
  <si>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</si>
  <si>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</si>
  <si>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</si>
  <si>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</si>
  <si>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</si>
  <si>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</si>
  <si>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</si>
  <si>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</si>
  <si>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</si>
  <si>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</si>
  <si>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</si>
  <si>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</si>
  <si>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</si>
  <si>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</si>
  <si>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</si>
  <si>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</si>
  <si>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</si>
  <si>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</si>
  <si>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</si>
  <si>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</si>
  <si>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</si>
  <si>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</si>
  <si>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</si>
  <si>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</si>
  <si>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</si>
  <si>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</si>
  <si>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</si>
  <si>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</si>
  <si>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</si>
  <si>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</si>
  <si>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</si>
  <si>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</si>
  <si>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</si>
  <si>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</si>
  <si>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</si>
  <si>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</si>
  <si>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</si>
  <si>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</si>
  <si>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</si>
  <si>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</si>
  <si>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</si>
  <si>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</si>
  <si>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</si>
  <si>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</si>
  <si>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</si>
  <si>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</si>
  <si>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</si>
  <si>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</si>
  <si>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</si>
  <si>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</si>
  <si>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</si>
  <si>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</si>
  <si>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</si>
  <si>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</si>
  <si>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</si>
  <si>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</si>
  <si>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
  </si>
  <si>
    <t>▲2021</t>
  </si>
  <si>
    <t>% ▲ 2021</t>
  </si>
  <si>
    <t>35</t>
  </si>
  <si>
    <t>36</t>
  </si>
  <si>
    <t>REMBOURSEMENTS FLOORPLAN</t>
  </si>
  <si>
    <t>VTE - M.O. CARROSSERIE GARANTIE</t>
  </si>
  <si>
    <t>4503</t>
  </si>
  <si>
    <t># DE VTE - M.O. CARROS.GARANTIE</t>
  </si>
  <si>
    <t>4503@</t>
  </si>
  <si>
    <t>4121</t>
  </si>
  <si>
    <t>3VV8B7AX7NM058209</t>
  </si>
  <si>
    <t>3VV2B7AX4NM056973</t>
  </si>
  <si>
    <t>3VV8B7AX1NM057041</t>
  </si>
  <si>
    <t>220231A</t>
  </si>
  <si>
    <t>1V2LR2CA7KC508551</t>
  </si>
  <si>
    <t>2014</t>
  </si>
  <si>
    <t>5089P</t>
  </si>
  <si>
    <t>1VWCM7A33GC068933</t>
  </si>
  <si>
    <t>5090P</t>
  </si>
  <si>
    <t>3VWH17AU7KM524978</t>
  </si>
  <si>
    <t xml:space="preserve"> Solde d'ouverture </t>
  </si>
  <si>
    <t xml:space="preserve"> Solde courant </t>
  </si>
  <si>
    <t xml:space="preserve"> Solde de fin </t>
  </si>
  <si>
    <t xml:space="preserve"> CUC/Mémo solde début </t>
  </si>
  <si>
    <t xml:space="preserve"> CUC/Mémo solde actuel </t>
  </si>
  <si>
    <t xml:space="preserve"> CUC/Mémo solde fin </t>
  </si>
  <si>
    <t xml:space="preserve">                        -   </t>
  </si>
  <si>
    <t>Update BV</t>
  </si>
  <si>
    <t xml:space="preserve">                                 -   </t>
  </si>
  <si>
    <t xml:space="preserve">                                              -   </t>
  </si>
  <si>
    <t xml:space="preserve">                                             -   </t>
  </si>
  <si>
    <t>1V2BC2CA3NC201508</t>
  </si>
  <si>
    <t>3VWEM7BU3NM002118</t>
  </si>
  <si>
    <t>220250A</t>
  </si>
  <si>
    <t>3VV2B7AX3JM090851</t>
  </si>
  <si>
    <t>220079A</t>
  </si>
  <si>
    <t>1V2RR2CA7JC581007</t>
  </si>
  <si>
    <t>220270A</t>
  </si>
  <si>
    <t>1V2MR2CAXKC590361</t>
  </si>
  <si>
    <t>2010</t>
  </si>
  <si>
    <t>2011</t>
  </si>
  <si>
    <t>5109PA</t>
  </si>
  <si>
    <t>WRANGLER</t>
  </si>
  <si>
    <t>1C4GJXAN6JW212401</t>
  </si>
  <si>
    <t>5116PA</t>
  </si>
  <si>
    <t>WVGJV3AXXEW570512</t>
  </si>
  <si>
    <t>220238A</t>
  </si>
  <si>
    <t>GOLF WAGON</t>
  </si>
  <si>
    <t>3VWKX7AJ7EM611715</t>
  </si>
  <si>
    <t>5123P</t>
  </si>
  <si>
    <t>ARTEON</t>
  </si>
  <si>
    <t>WVWSR7ANXLE017011</t>
  </si>
  <si>
    <t>220242A</t>
  </si>
  <si>
    <t>1V2LR2CA8JC563718</t>
  </si>
  <si>
    <t>5118P</t>
  </si>
  <si>
    <t>WVWVF7AU7JW300437</t>
  </si>
  <si>
    <t>Pour Rapport T1</t>
  </si>
  <si>
    <t>Profit Brut Ventes</t>
  </si>
  <si>
    <t>Profit Brut Op. Fixes</t>
  </si>
  <si>
    <t>Réalisé T1</t>
  </si>
  <si>
    <t>Écart</t>
  </si>
  <si>
    <t>American Express</t>
  </si>
  <si>
    <t>Protégé pour sommaire - &gt;&gt;</t>
  </si>
  <si>
    <t>Neufs</t>
  </si>
  <si>
    <t>Volume #</t>
  </si>
  <si>
    <t>Marge $</t>
  </si>
  <si>
    <t>Brut</t>
  </si>
  <si>
    <t>Usagés</t>
  </si>
  <si>
    <t>Volume $</t>
  </si>
  <si>
    <t>Marge %</t>
  </si>
  <si>
    <t>Service #B.T.</t>
  </si>
  <si>
    <t>$/B.T.</t>
  </si>
  <si>
    <t>Écart Total</t>
  </si>
  <si>
    <t>Réel</t>
  </si>
  <si>
    <t>Écart Marge</t>
  </si>
  <si>
    <r>
      <t xml:space="preserve">Marge </t>
    </r>
    <r>
      <rPr>
        <b/>
        <sz val="11"/>
        <color theme="1"/>
        <rFont val="Calibri"/>
        <family val="2"/>
        <scheme val="minor"/>
      </rPr>
      <t>Réelle</t>
    </r>
  </si>
  <si>
    <t>Marge Budget</t>
  </si>
  <si>
    <t>Écart Volume</t>
  </si>
  <si>
    <r>
      <t xml:space="preserve">Volume </t>
    </r>
    <r>
      <rPr>
        <b/>
        <sz val="11"/>
        <color theme="1"/>
        <rFont val="Calibri"/>
        <family val="2"/>
        <scheme val="minor"/>
      </rPr>
      <t>Réel</t>
    </r>
  </si>
  <si>
    <t>Volume Budget</t>
  </si>
  <si>
    <t>Variabilité Max-Min</t>
  </si>
  <si>
    <t>Max Vol &amp; Marge</t>
  </si>
  <si>
    <t>Moyenne</t>
  </si>
  <si>
    <t>Min Vol &amp; Marge</t>
  </si>
  <si>
    <t>Fourchette</t>
  </si>
  <si>
    <t>Réel VS Max</t>
  </si>
  <si>
    <t>Réel VS Moyenne</t>
  </si>
  <si>
    <t>Réel VS Min</t>
  </si>
  <si>
    <t>Fourchette Variabilité</t>
  </si>
  <si>
    <t>Park Avenue Volkswagen - Analyse des écarts "Volume &amp; Taux - Mois courant"</t>
  </si>
  <si>
    <t>Park Avenue Volkswagen - Analyse des écarts "Volume &amp; Taux - AAJ"</t>
  </si>
  <si>
    <t>Courant</t>
  </si>
  <si>
    <t>A.A.J.</t>
  </si>
  <si>
    <t>Total - "Ventes SPAC"</t>
  </si>
  <si>
    <t>Total - "C/V SPAC"</t>
  </si>
  <si>
    <t>Total Profit/Perte SPAC</t>
  </si>
  <si>
    <t>Sommaire</t>
  </si>
  <si>
    <t>VENTES INTERNE POUR FINS DE COMPARAISON</t>
  </si>
  <si>
    <t xml:space="preserve">VENTES SPAC </t>
  </si>
  <si>
    <t>Marge Brute M.O.</t>
  </si>
  <si>
    <t>Marge Brute PIÈCES</t>
  </si>
  <si>
    <t>Total - "Ventes INTERNES"</t>
  </si>
  <si>
    <t>Total - "C/V INTERNES"</t>
  </si>
  <si>
    <t>En Détails</t>
  </si>
  <si>
    <t>N.B. :  INFOS PROGRAMME SPAC - Voir lignes 500 et suivantes</t>
  </si>
  <si>
    <t>Marge Brute M.O. SPAC</t>
  </si>
  <si>
    <t>Marge Brute PIÈCES SPAC</t>
  </si>
  <si>
    <t>VTES -JETTA GLI</t>
  </si>
  <si>
    <t>414</t>
  </si>
  <si>
    <t># OF VTES -JETTA GLI</t>
  </si>
  <si>
    <t>4144@</t>
  </si>
  <si>
    <t>C/V - JETTA GLI</t>
  </si>
  <si>
    <t>VTE - JETTA GLI</t>
  </si>
  <si>
    <t>UNITES VENDUES - JETTA GLI</t>
  </si>
  <si>
    <t>Forecast Immobilisation 2022</t>
  </si>
  <si>
    <t>*** *** NE PAS EFFACER *** ***</t>
  </si>
  <si>
    <t>Volkwagen</t>
  </si>
  <si>
    <t>CADILLAC TRUCK SRX</t>
  </si>
  <si>
    <t>2013</t>
  </si>
  <si>
    <t>JEEP WRANGLER</t>
  </si>
  <si>
    <t>220176B</t>
  </si>
  <si>
    <t>1V2NR2CA4JC564650</t>
  </si>
  <si>
    <t>5136P</t>
  </si>
  <si>
    <t>3VW917AU8GM029622</t>
  </si>
  <si>
    <t>5137P</t>
  </si>
  <si>
    <t>3VV2B7AX5JM108525</t>
  </si>
  <si>
    <t>220256A</t>
  </si>
  <si>
    <t>3VV2B7AX2JM102987</t>
  </si>
  <si>
    <t>220071A</t>
  </si>
  <si>
    <t>GOLF 5</t>
  </si>
  <si>
    <t>3VW217AU4FM008606</t>
  </si>
  <si>
    <t>5144P</t>
  </si>
  <si>
    <t>1VWBS7A39GC045965</t>
  </si>
  <si>
    <t>5145P</t>
  </si>
  <si>
    <t>WVWVF7AU1JW197564</t>
  </si>
  <si>
    <t>220275A</t>
  </si>
  <si>
    <t>1C4HJXEG9KW543703</t>
  </si>
  <si>
    <t>5146P</t>
  </si>
  <si>
    <t>1VWBS7A39FC098079</t>
  </si>
  <si>
    <t>5148P</t>
  </si>
  <si>
    <t>ATLAS CROSS SPO</t>
  </si>
  <si>
    <t>1V2BC2CAXMC232463</t>
  </si>
  <si>
    <t>5149P</t>
  </si>
  <si>
    <t>3VW167AJ1GM398035</t>
  </si>
  <si>
    <t>5150P</t>
  </si>
  <si>
    <t>3VV4B7AX7JM194543</t>
  </si>
  <si>
    <t>220267A</t>
  </si>
  <si>
    <t>GOLF SPORTWAGEN</t>
  </si>
  <si>
    <t>3VW217AU0KM506134</t>
  </si>
  <si>
    <t>220282A</t>
  </si>
  <si>
    <t>3VV2B7AX4JM121752</t>
  </si>
  <si>
    <t>220286A</t>
  </si>
  <si>
    <t>WVWWF7AU2JW193317</t>
  </si>
  <si>
    <t>5152P</t>
  </si>
  <si>
    <t>3VWE57BU7KM029640</t>
  </si>
  <si>
    <t>220287A</t>
  </si>
  <si>
    <t>3VW167AJ3HM308675</t>
  </si>
  <si>
    <t>5153P</t>
  </si>
  <si>
    <t>1V2NR2CAXJC542622</t>
  </si>
  <si>
    <t>5155P</t>
  </si>
  <si>
    <t>3VV2B7AX9KM116127</t>
  </si>
  <si>
    <t>0481R</t>
  </si>
  <si>
    <t>1V2BR2CAXMC508364</t>
  </si>
  <si>
    <t>220296A</t>
  </si>
  <si>
    <t>3VV2B7AX3JM112105</t>
  </si>
  <si>
    <t>220297A</t>
  </si>
  <si>
    <t>MUSTANG</t>
  </si>
  <si>
    <t>1FA6P8TH0K5162731</t>
  </si>
  <si>
    <t>5134PA</t>
  </si>
  <si>
    <t>MERCEDES LIGHT TRUCK GLK-CLASS</t>
  </si>
  <si>
    <t>WDCGG0EBXFG348788</t>
  </si>
  <si>
    <t>5159P</t>
  </si>
  <si>
    <t>3VWYT7AU8HM024136</t>
  </si>
  <si>
    <t>220279A</t>
  </si>
  <si>
    <t>3VV4B7AX1KM104160</t>
  </si>
  <si>
    <t>Mix Réalisé</t>
  </si>
  <si>
    <t>Mix Budget</t>
  </si>
  <si>
    <t>Écart Mix</t>
  </si>
  <si>
    <t>Écart Taux</t>
  </si>
  <si>
    <t>Total Pièces</t>
  </si>
  <si>
    <t>Delta Ventes &gt;&gt;</t>
  </si>
  <si>
    <t>Erreur Budget: Salaire S. Prud'homme manquant (45k+Av.soc.)</t>
  </si>
  <si>
    <t>CUC/Mémo solde début</t>
  </si>
  <si>
    <t>CUC/Mémo solde actuel</t>
  </si>
  <si>
    <t>CUC/Mémo solde fin</t>
  </si>
  <si>
    <t>REV FINANCE ET ASS NEUF</t>
  </si>
  <si>
    <t>9161@</t>
  </si>
  <si>
    <t>9163@</t>
  </si>
  <si>
    <t>ASSURANCE VIE USAGE</t>
  </si>
  <si>
    <t>9167@</t>
  </si>
  <si>
    <t>VENTE CHIMIQUE USAGE</t>
  </si>
  <si>
    <t>9171@</t>
  </si>
  <si>
    <t># DE PROFIT PROTECTIONS - USAGES</t>
  </si>
  <si>
    <t>9172@</t>
  </si>
  <si>
    <t>Vte Comptant Service</t>
  </si>
  <si>
    <t xml:space="preserve">                       -   </t>
  </si>
  <si>
    <t>Incluant Utilisation de 6k$ de Réserve Usagés (2022-05)</t>
  </si>
  <si>
    <t>&lt;&lt;- F&amp;A total Neuf Usagé Rachat</t>
  </si>
  <si>
    <t>Holdback</t>
  </si>
  <si>
    <t>Autres Revenus Budgétés non-réalisé</t>
  </si>
  <si>
    <t>Frais d'Admin.</t>
  </si>
  <si>
    <t>FINAL</t>
  </si>
  <si>
    <t>Après Reclass Interco</t>
  </si>
  <si>
    <t>GTI</t>
  </si>
  <si>
    <t>WVWP87CD7NW160248</t>
  </si>
  <si>
    <t>3VV2X7B21NM061729</t>
  </si>
  <si>
    <t>1V2FR2CA5NC529660</t>
  </si>
  <si>
    <t>3VVLX7B22NM065776</t>
  </si>
  <si>
    <t>1V2BE2CA8NC220162</t>
  </si>
  <si>
    <t>3VV8B7AXXNM105054</t>
  </si>
  <si>
    <t>1V2BR2CA6NC532033</t>
  </si>
  <si>
    <t>1V2BR2CA6NC537104</t>
  </si>
  <si>
    <t>3VV8B7AX6NM104810</t>
  </si>
  <si>
    <t>1V2FR2CA1NC539344</t>
  </si>
  <si>
    <t>1V2FE2CA6NC219741</t>
  </si>
  <si>
    <t>3VWEM7BU4NM013208</t>
  </si>
  <si>
    <t>3VV2B7AX6NM090624</t>
  </si>
  <si>
    <t>3VV4B7AX6NM089451</t>
  </si>
  <si>
    <t>3VV8B7AX5NM090480</t>
  </si>
  <si>
    <t>3VVLX7B20NM062472</t>
  </si>
  <si>
    <t>3VV8B7AX5NM089099</t>
  </si>
  <si>
    <t>3VV2X7B29NM067052</t>
  </si>
  <si>
    <t>3VV4B7AX6NM096500</t>
  </si>
  <si>
    <t>1V2GP2CA0NC543959</t>
  </si>
  <si>
    <t>3VWCM7BUXNM014113</t>
  </si>
  <si>
    <t>5106PB</t>
  </si>
  <si>
    <t>2006</t>
  </si>
  <si>
    <t>AUDI A4</t>
  </si>
  <si>
    <t>A4</t>
  </si>
  <si>
    <t>WAUKG78E16A003423</t>
  </si>
  <si>
    <t>SRK</t>
  </si>
  <si>
    <t xml:space="preserve">FORD </t>
  </si>
  <si>
    <t>5179P</t>
  </si>
  <si>
    <t>FORD PICK-UP</t>
  </si>
  <si>
    <t>RANGER</t>
  </si>
  <si>
    <t>1FTZR45E59PA43844</t>
  </si>
  <si>
    <t>5199P</t>
  </si>
  <si>
    <t>JEEP GRAND CHEROKEE</t>
  </si>
  <si>
    <t>CHEROKEE</t>
  </si>
  <si>
    <t>1C4RJFAG5KC766665</t>
  </si>
  <si>
    <t>5177PA</t>
  </si>
  <si>
    <t>JEEP WRANGLER UNLIMI</t>
  </si>
  <si>
    <t>1C4BJWEG8DL608836</t>
  </si>
  <si>
    <t>220067A</t>
  </si>
  <si>
    <t>KIA</t>
  </si>
  <si>
    <t>FORTE</t>
  </si>
  <si>
    <t>KNAFT4A20A5141032</t>
  </si>
  <si>
    <t>5158PA</t>
  </si>
  <si>
    <t>2007</t>
  </si>
  <si>
    <t>RONDO</t>
  </si>
  <si>
    <t>KNAFG525977106652</t>
  </si>
  <si>
    <t>GLK</t>
  </si>
  <si>
    <t>220247B</t>
  </si>
  <si>
    <t>NISSAN</t>
  </si>
  <si>
    <t>MICRA</t>
  </si>
  <si>
    <t>3N1CK3CP6KL234797</t>
  </si>
  <si>
    <t>5172P</t>
  </si>
  <si>
    <t>VOLKSWAGEN</t>
  </si>
  <si>
    <t>WVWSR7AN5KE007291</t>
  </si>
  <si>
    <t>5197P</t>
  </si>
  <si>
    <t>1V2RR2CAXJC558790</t>
  </si>
  <si>
    <t>220314A</t>
  </si>
  <si>
    <t>1V2RR2CA7KC588959</t>
  </si>
  <si>
    <t>5078P</t>
  </si>
  <si>
    <t>1V2TE2CA4LC219740</t>
  </si>
  <si>
    <t>5205P</t>
  </si>
  <si>
    <t>BEETLE CONVERTI</t>
  </si>
  <si>
    <t>3VW5DAAT9KM500485</t>
  </si>
  <si>
    <t>5190P</t>
  </si>
  <si>
    <t>BEETLE COUPE</t>
  </si>
  <si>
    <t>3VWJ17AT6HM630663</t>
  </si>
  <si>
    <t>220343A</t>
  </si>
  <si>
    <t>3VW217AU4GM059380</t>
  </si>
  <si>
    <t>5207P</t>
  </si>
  <si>
    <t>3VWG17AU7JM276323</t>
  </si>
  <si>
    <t>220311A</t>
  </si>
  <si>
    <t>3VWG17AU6JM274126</t>
  </si>
  <si>
    <t>5181P</t>
  </si>
  <si>
    <t>3VWB17AU6JM281183</t>
  </si>
  <si>
    <t>5185P</t>
  </si>
  <si>
    <t>3VWG57AU1KM007692</t>
  </si>
  <si>
    <t>5204P</t>
  </si>
  <si>
    <t>3VWW57AU8MM012905</t>
  </si>
  <si>
    <t>5195P</t>
  </si>
  <si>
    <t>3VWH17AU8KM502651</t>
  </si>
  <si>
    <t>5201P</t>
  </si>
  <si>
    <t>3VW4T7AUXFM046666</t>
  </si>
  <si>
    <t>5122PC</t>
  </si>
  <si>
    <t>3VWYT7AU2FM029880</t>
  </si>
  <si>
    <t>5194P</t>
  </si>
  <si>
    <t>3VW6T7AU2KM013034</t>
  </si>
  <si>
    <t>5200P</t>
  </si>
  <si>
    <t>3VW5T7AU7KM007810</t>
  </si>
  <si>
    <t>5171P</t>
  </si>
  <si>
    <t>3VW6T7AU9MM012823</t>
  </si>
  <si>
    <t>5192P</t>
  </si>
  <si>
    <t>WVWVF7AU5JW216245</t>
  </si>
  <si>
    <t>220301B</t>
  </si>
  <si>
    <t>WVWDB7CD4NW135358</t>
  </si>
  <si>
    <t>220337A</t>
  </si>
  <si>
    <t>3VW117AU1JM765225</t>
  </si>
  <si>
    <t>5178P</t>
  </si>
  <si>
    <t>3VWN57BU3KM119819</t>
  </si>
  <si>
    <t>5202P</t>
  </si>
  <si>
    <t>3VWW57BU6KM023798</t>
  </si>
  <si>
    <t>220338A</t>
  </si>
  <si>
    <t>3VWE57BU9KM264475</t>
  </si>
  <si>
    <t>220334A</t>
  </si>
  <si>
    <t>3VWE57BU1KM065226</t>
  </si>
  <si>
    <t>220328A</t>
  </si>
  <si>
    <t>3VWG57BU5KM081437</t>
  </si>
  <si>
    <t>5193P</t>
  </si>
  <si>
    <t>3VWG57BU5KM026700</t>
  </si>
  <si>
    <t>220320A</t>
  </si>
  <si>
    <t>JETTA 1.4 TSI HIGHLI</t>
  </si>
  <si>
    <t>3VWEB7BU5LM071072</t>
  </si>
  <si>
    <t>5188P</t>
  </si>
  <si>
    <t>3VWLL7AJ3BM097101</t>
  </si>
  <si>
    <t>5165P</t>
  </si>
  <si>
    <t>3VWG07AJ4EM419095</t>
  </si>
  <si>
    <t>220309A</t>
  </si>
  <si>
    <t>3VW267AJXGM395347</t>
  </si>
  <si>
    <t>5182P</t>
  </si>
  <si>
    <t>WVGJV3AX0EW583883</t>
  </si>
  <si>
    <t>5169P</t>
  </si>
  <si>
    <t>WVGJV3AX6EW606132</t>
  </si>
  <si>
    <t>5203P</t>
  </si>
  <si>
    <t>WVGJV7AX9GW607995</t>
  </si>
  <si>
    <t>5184P</t>
  </si>
  <si>
    <t>WVGMV7AX8HK035016</t>
  </si>
  <si>
    <t>220315A</t>
  </si>
  <si>
    <t>3VV0B7AX1JM140119</t>
  </si>
  <si>
    <t>220307A</t>
  </si>
  <si>
    <t>3VV1B7AX4JM179887</t>
  </si>
  <si>
    <t>5189P</t>
  </si>
  <si>
    <t>3VV2B7AX1JM047948</t>
  </si>
  <si>
    <t>5174P</t>
  </si>
  <si>
    <t>3VV2B7AX3JM118616</t>
  </si>
  <si>
    <t>220278A</t>
  </si>
  <si>
    <t>3VV2B7AX3JM187483</t>
  </si>
  <si>
    <t>5176P</t>
  </si>
  <si>
    <t>3VV4B7AX0JM103337</t>
  </si>
  <si>
    <t>5196P</t>
  </si>
  <si>
    <t>3VV4B7AX8JM199105</t>
  </si>
  <si>
    <t>5198P</t>
  </si>
  <si>
    <t>3VV4B7AX6JM081506</t>
  </si>
  <si>
    <t>220345A</t>
  </si>
  <si>
    <t>3VV4B7AX2JM197642</t>
  </si>
  <si>
    <t>220304A</t>
  </si>
  <si>
    <t>3VV4B7AX9JM140676</t>
  </si>
  <si>
    <t>5166P</t>
  </si>
  <si>
    <t>3VV2B7AX9KM193628</t>
  </si>
  <si>
    <t>5161P</t>
  </si>
  <si>
    <t>3VV2B7AX0KM175275</t>
  </si>
  <si>
    <t>5208P</t>
  </si>
  <si>
    <t>3VV2B7AX2LM118836</t>
  </si>
  <si>
    <t>5191P</t>
  </si>
  <si>
    <t>3VV2B7AX3LM064057</t>
  </si>
  <si>
    <t>5183P</t>
  </si>
  <si>
    <t>3VV4B7AX2LM145267</t>
  </si>
  <si>
    <t>5163P</t>
  </si>
  <si>
    <t>3VV2B7AX5LM098498</t>
  </si>
  <si>
    <t>5175P</t>
  </si>
  <si>
    <t>3VV4B7AX5LM054266</t>
  </si>
  <si>
    <t>5186P</t>
  </si>
  <si>
    <t>3VV4B7AX5MM159360</t>
  </si>
  <si>
    <t>5180P</t>
  </si>
  <si>
    <t>TOUAREG</t>
  </si>
  <si>
    <t>WVGEP9BP3GD003909</t>
  </si>
  <si>
    <t xml:space="preserve">Des unités qui commencent disponibles toujours pour environ la moitié de nos prévisions. Les informations du manufacturier ne sont pas optimistes pour la fin de l’année.
Dans un volume en dessous du budget de près de 52%, on ne manque le budget de brut que de 10%.
Une moyenne front comme back plus haute que tous les autres mois confondus, un record a été atteint et au-delà des moyennes du groupe excellence.
Les faibles volumes commencent à peser lourd dans le manque à gagner des autres revenus de type holdbacks, frais de documentation et expérience+.
Les ratios de dépenses restent sous contrôle tout comme la vibe à la concession.
Retard de 60433$ sur le budget.
</t>
  </si>
  <si>
    <t xml:space="preserve">Le marché change. Quelques gros VUS et Pick-ups partis à l’encan. Une stratégie d’affichage en ligne plus poussée avec Kijiji, trader et Otogo maintenant. On fait le point début juillet des choix finaux à faire pour garder la meilleure combinaison.
L’inventaire est sain et plutôt avec une bonne variété de produit dans le contexte actuel.
On doit continuer de pousser plus fort dans ce département. Mais aussi sans doute revoir les plans de paye devenus anormalement généreux.
Avance de 8777$ sur le budget
</t>
  </si>
  <si>
    <t xml:space="preserve">Les ventes clients ont plus que compensé le manque de $ à l’interne.
La garantie reste en retard pour des raisons très explicables. Les véhicules qui brisaient « après-pandémie » du fait de l’Absence d’usage se sont tous mis à rouler à nouveau et ne brisent plus.
Des dépenses qui dépassent un peu le budget compte tenu d’une relocalisation d’employés en travaux légers vers l’improduction et tombent dans les salaires autres. C’est un choix versus les laisser sur la CNESST.
Un point aussi dans la portion uniformes, papeterie et autres avec un changement de facturation de LAR qui ramène dans le même mois le mois actuel et le suivant. Cela se compensera dans les prochains.
Carrosserie qui va bien avec une avance sur le budget et un gros soutien sur le département des pièces.
Retard de 14363$ sur le budget
</t>
  </si>
  <si>
    <t xml:space="preserve">Un beau niveau de profitabilité dans les ventes aux clients et globalement tous canaux confondus. Belle performance dans la vente de gros. Le brut global est dépassé de 3697$
De dépenses de fonctionnement à la hausse avec la mise à jour du calcul de la CNESST qui n’avait pas été budgété ainsi que la portion publicité qui englobe plusieurs paramètres dont le détail sera disponible au monthly.
Retard de 7202$ sur le budget
</t>
  </si>
  <si>
    <t>Toujours un nombre d’employés en dessous du budget en ligne avec le niveau d’activité. La portion marketing reste le point sur lequel nous devons augmenter notre niveau de vigilance.</t>
  </si>
  <si>
    <t>Un mois difficile versus le budget car parmi les plus hauts de l’année. Cela ne doit pas occulter de bons résultats sur les éléments contrôlables. Année à jour on reste avec une légère avance sur le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</si>
</sst>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3">
    <numFmt numFmtId="6" formatCode="#,##0\ &quot;$&quot;_);[Red]\(#,##0\ &quot;$&quot;\)"/>
    <numFmt numFmtId="8" formatCode="#,##0.00\ &quot;$&quot;_);[Red]\(#,##0.00\ &quot;$&quot;\)"/>
    <numFmt numFmtId="44" formatCode="_ * #,##0.00_)\ &quot;$&quot;_ ;_ * \(#,##0.00\)\ &quot;$&quot;_ ;_ * &quot;-&quot;??_)\ &quot;$&quot;_ ;_ @_ "/>
    <numFmt numFmtId="164" formatCode="&quot;$&quot;#,##0_);[Red]\(&quot;$&quot;#,##0\)"/>
    <numFmt numFmtId="165" formatCode="_(&quot;$&quot;* #,##0.00_);_(&quot;$&quot;* \(#,##0.00\);_(&quot;$&quot;* &quot;-&quot;??_);_(@_)"/>
    <numFmt numFmtId="166" formatCode="_(* #,##0.00_);_(* \(#,##0.00\);_(* &quot;-&quot;??_);_(@_)"/>
    <numFmt numFmtId="167" formatCode="_ * #,##0_)\ _$_ ;_ * \(#,##0\)\ _$_ ;_ * &quot;-&quot;_)\ _$_ ;_ @_ "/>
    <numFmt numFmtId="168" formatCode="_ * #,##0.00_)\ _$_ ;_ * \(#,##0.00\)\ _$_ ;_ * &quot;-&quot;??_)\ _$_ ;_ @_ "/>
    <numFmt numFmtId="169" formatCode="&quot;$&quot;#,##0"/>
    <numFmt numFmtId="170" formatCode="_-* #,##0\ _$_-;_-* #,##0\ _$\-;_-* &quot;-&quot;??\ _$_-;_-@"/>
    <numFmt numFmtId="171" formatCode="_(* #,##0_);_(* \(#,##0\);_(* &quot;-&quot;??_);_(@_)"/>
    <numFmt numFmtId="172" formatCode="dd\/mm\/yy_)"/>
    <numFmt numFmtId="173" formatCode="0.0%"/>
    <numFmt numFmtId="174" formatCode="0_)"/>
    <numFmt numFmtId="175" formatCode="0.00_)"/>
    <numFmt numFmtId="176" formatCode="#,###.00;\-#,###.00;.00"/>
    <numFmt numFmtId="177" formatCode="#.00;\-#.00;.00"/>
    <numFmt numFmtId="178" formatCode="#,###.00;\-#,###.00;.00;@"/>
    <numFmt numFmtId="179" formatCode="0.00000000000000%"/>
    <numFmt numFmtId="180" formatCode="#;#;0;@"/>
    <numFmt numFmtId="181" formatCode="_(&quot;$&quot;* #,##0_);_(&quot;$&quot;* \(#,##0\);_(&quot;$&quot;* &quot;-&quot;??_);_(@_)"/>
    <numFmt numFmtId="182" formatCode="[$-F400]h:mm:ss\ AM/PM"/>
    <numFmt numFmtId="183" formatCode="0&quot; B.T.&quot;"/>
  </numFmts>
  <fonts count="107">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b/>
      <sz val="12"/>
      <color rgb="FFFF0000"/>
      <name val="Arial mt"/>
    </font>
    <font>
      <b/>
      <sz val="11"/>
      <color rgb="FFFF0000"/>
      <name val="Arial"/>
      <family val="2"/>
    </font>
    <font>
      <sz val="11"/>
      <color theme="1"/>
      <name val="Arial"/>
      <family val="2"/>
    </font>
    <font>
      <sz val="8"/>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b/>
      <sz val="28"/>
      <color theme="0"/>
      <name val="Arial mt"/>
    </font>
    <font>
      <b/>
      <sz val="11"/>
      <color rgb="FF002060"/>
      <name val="Arial"/>
      <family val="2"/>
    </font>
    <font>
      <b/>
      <sz val="11"/>
      <color theme="0"/>
      <name val="Calibri"/>
      <family val="2"/>
      <scheme val="minor"/>
    </font>
    <font>
      <b/>
      <sz val="11"/>
      <color indexed="8"/>
      <name val="Calibri"/>
      <family val="2"/>
      <scheme val="minor"/>
    </font>
    <font>
      <sz val="8"/>
      <color theme="1"/>
      <name val="Calibri"/>
      <family val="2"/>
      <scheme val="minor"/>
    </font>
    <font>
      <sz val="9"/>
      <color theme="1"/>
      <name val="Calibri"/>
      <family val="2"/>
      <scheme val="minor"/>
    </font>
    <font>
      <sz val="11"/>
      <color theme="2"/>
      <name val="Arial"/>
      <family val="2"/>
    </font>
    <font>
      <sz val="10"/>
      <color theme="2"/>
      <name val="Calibri"/>
      <family val="2"/>
      <scheme val="minor"/>
    </font>
    <font>
      <b/>
      <sz val="11"/>
      <color rgb="FFFFFF00"/>
      <name val="Arial"/>
      <family val="2"/>
    </font>
    <font>
      <b/>
      <sz val="9"/>
      <color indexed="81"/>
      <name val="Tahoma"/>
      <family val="2"/>
    </font>
    <font>
      <sz val="9"/>
      <color indexed="81"/>
      <name val="Tahoma"/>
      <family val="2"/>
    </font>
    <font>
      <b/>
      <sz val="12"/>
      <color theme="1"/>
      <name val="Arial"/>
      <family val="2"/>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theme="0" tint="-0.34998626667073579"/>
        <bgColor rgb="FFC0C0C0"/>
      </patternFill>
    </fill>
    <fill>
      <patternFill patternType="solid">
        <fgColor theme="1"/>
        <bgColor indexed="64"/>
      </patternFill>
    </fill>
    <fill>
      <patternFill patternType="solid">
        <fgColor rgb="FF00B0F0"/>
        <bgColor indexed="64"/>
      </patternFill>
    </fill>
    <fill>
      <patternFill patternType="solid">
        <fgColor theme="9" tint="0.59999389629810485"/>
        <bgColor rgb="FFFFFF00"/>
      </patternFill>
    </fill>
    <fill>
      <patternFill patternType="solid">
        <fgColor theme="4" tint="0.79998168889431442"/>
        <bgColor indexed="64"/>
      </patternFill>
    </fill>
    <fill>
      <patternFill patternType="solid">
        <fgColor theme="0" tint="-0.14999847407452621"/>
        <bgColor indexed="64"/>
      </patternFill>
    </fill>
  </fills>
  <borders count="235">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style="double">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bottom style="double">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style="thick">
        <color auto="1"/>
      </left>
      <right/>
      <top/>
      <bottom style="thick">
        <color auto="1"/>
      </bottom>
      <diagonal/>
    </border>
    <border>
      <left/>
      <right style="thick">
        <color auto="1"/>
      </right>
      <top/>
      <bottom style="thick">
        <color auto="1"/>
      </bottom>
      <diagonal/>
    </border>
    <border>
      <left style="thin">
        <color indexed="64"/>
      </left>
      <right style="thin">
        <color indexed="64"/>
      </right>
      <top style="thin">
        <color indexed="64"/>
      </top>
      <bottom/>
      <diagonal/>
    </border>
    <border>
      <left/>
      <right/>
      <top style="thin">
        <color auto="1"/>
      </top>
      <bottom style="dotted">
        <color auto="1"/>
      </bottom>
      <diagonal/>
    </border>
  </borders>
  <cellStyleXfs count="21">
    <xf numFmtId="0" fontId="0" fillId="0" borderId="0"/>
    <xf numFmtId="9" fontId="54" fillId="0" borderId="0" applyFont="0" applyFill="0" applyBorder="0" applyAlignment="0" applyProtection="0"/>
    <xf numFmtId="0" fontId="18" fillId="0" borderId="1"/>
    <xf numFmtId="0" fontId="17" fillId="0" borderId="1"/>
    <xf numFmtId="9" fontId="17" fillId="0" borderId="1" applyFont="0" applyFill="0" applyBorder="0" applyAlignment="0" applyProtection="0"/>
    <xf numFmtId="166" fontId="84" fillId="0" borderId="0" applyFont="0" applyFill="0" applyBorder="0" applyAlignment="0" applyProtection="0"/>
    <xf numFmtId="0" fontId="16" fillId="0" borderId="1"/>
    <xf numFmtId="0" fontId="15" fillId="0" borderId="1"/>
    <xf numFmtId="0" fontId="14" fillId="0" borderId="1"/>
    <xf numFmtId="0" fontId="12" fillId="0" borderId="1"/>
    <xf numFmtId="0" fontId="10" fillId="0" borderId="1"/>
    <xf numFmtId="0" fontId="54" fillId="0" borderId="1"/>
    <xf numFmtId="0" fontId="88" fillId="0" borderId="1"/>
    <xf numFmtId="165" fontId="88" fillId="0" borderId="0" applyFont="0" applyFill="0" applyBorder="0" applyAlignment="0" applyProtection="0"/>
    <xf numFmtId="168" fontId="8" fillId="0" borderId="1" applyFont="0" applyFill="0" applyBorder="0" applyAlignment="0" applyProtection="0"/>
    <xf numFmtId="0" fontId="6" fillId="0" borderId="1"/>
    <xf numFmtId="0" fontId="4" fillId="0" borderId="1"/>
    <xf numFmtId="44" fontId="4" fillId="0" borderId="1" applyFont="0" applyFill="0" applyBorder="0" applyAlignment="0" applyProtection="0"/>
    <xf numFmtId="9" fontId="4" fillId="0" borderId="1" applyFont="0" applyFill="0" applyBorder="0" applyAlignment="0" applyProtection="0"/>
    <xf numFmtId="0" fontId="3" fillId="0" borderId="1"/>
    <xf numFmtId="9" fontId="3" fillId="0" borderId="1" applyFont="0" applyFill="0" applyBorder="0" applyAlignment="0" applyProtection="0"/>
  </cellStyleXfs>
  <cellXfs count="1438">
    <xf numFmtId="0" fontId="0" fillId="0" borderId="0" xfId="0" applyFont="1" applyAlignment="1"/>
    <xf numFmtId="0" fontId="19" fillId="0" borderId="0" xfId="0" applyFont="1"/>
    <xf numFmtId="0" fontId="20" fillId="0" borderId="0" xfId="0" applyFont="1"/>
    <xf numFmtId="0" fontId="20" fillId="2" borderId="1" xfId="0" applyFont="1" applyFill="1" applyBorder="1" applyAlignment="1">
      <alignment horizontal="center"/>
    </xf>
    <xf numFmtId="0" fontId="21" fillId="0" borderId="0" xfId="0" applyFont="1" applyAlignment="1">
      <alignment horizontal="left"/>
    </xf>
    <xf numFmtId="0" fontId="22" fillId="0" borderId="0" xfId="0" applyFont="1" applyAlignment="1">
      <alignment horizontal="center"/>
    </xf>
    <xf numFmtId="0" fontId="22" fillId="0" borderId="0" xfId="0" applyFont="1" applyAlignment="1">
      <alignment horizontal="right"/>
    </xf>
    <xf numFmtId="0" fontId="21" fillId="0" borderId="0" xfId="0" applyFont="1"/>
    <xf numFmtId="0" fontId="23" fillId="0" borderId="2" xfId="0" applyFont="1" applyBorder="1"/>
    <xf numFmtId="0" fontId="25" fillId="0" borderId="4" xfId="0" applyFont="1" applyBorder="1"/>
    <xf numFmtId="0" fontId="23" fillId="0" borderId="6" xfId="0" applyFont="1" applyBorder="1"/>
    <xf numFmtId="0" fontId="25" fillId="0" borderId="6" xfId="0" applyFont="1" applyBorder="1"/>
    <xf numFmtId="0" fontId="25" fillId="3" borderId="8" xfId="0" applyFont="1" applyFill="1" applyBorder="1"/>
    <xf numFmtId="0" fontId="25" fillId="3" borderId="10" xfId="0" applyFont="1" applyFill="1" applyBorder="1"/>
    <xf numFmtId="0" fontId="24" fillId="0" borderId="6" xfId="0" applyFont="1" applyBorder="1"/>
    <xf numFmtId="170" fontId="20" fillId="0" borderId="0" xfId="0" applyNumberFormat="1" applyFont="1"/>
    <xf numFmtId="0" fontId="20" fillId="0" borderId="6" xfId="0" applyFont="1" applyBorder="1"/>
    <xf numFmtId="171" fontId="20" fillId="0" borderId="0" xfId="0" applyNumberFormat="1" applyFont="1"/>
    <xf numFmtId="0" fontId="22" fillId="0" borderId="0" xfId="0" applyFont="1"/>
    <xf numFmtId="0" fontId="27" fillId="0" borderId="0" xfId="0" applyFont="1" applyAlignment="1">
      <alignment horizontal="center" vertical="center"/>
    </xf>
    <xf numFmtId="3" fontId="22" fillId="0" borderId="0" xfId="0" applyNumberFormat="1" applyFont="1"/>
    <xf numFmtId="0" fontId="27" fillId="0" borderId="0" xfId="0" applyFont="1"/>
    <xf numFmtId="172" fontId="28" fillId="0" borderId="0" xfId="0" applyNumberFormat="1" applyFont="1" applyAlignment="1">
      <alignment horizontal="left"/>
    </xf>
    <xf numFmtId="0" fontId="28" fillId="0" borderId="0" xfId="0" applyFont="1"/>
    <xf numFmtId="0" fontId="29" fillId="0" borderId="0" xfId="0" applyFont="1"/>
    <xf numFmtId="0" fontId="30" fillId="0" borderId="0" xfId="0" applyFont="1"/>
    <xf numFmtId="37" fontId="31" fillId="3" borderId="14" xfId="0" applyNumberFormat="1" applyFont="1" applyFill="1" applyBorder="1"/>
    <xf numFmtId="3" fontId="31" fillId="3" borderId="14" xfId="0" applyNumberFormat="1" applyFont="1" applyFill="1" applyBorder="1"/>
    <xf numFmtId="37" fontId="31" fillId="3" borderId="9" xfId="0" applyNumberFormat="1" applyFont="1" applyFill="1" applyBorder="1"/>
    <xf numFmtId="37" fontId="31" fillId="3" borderId="8" xfId="0" applyNumberFormat="1" applyFont="1" applyFill="1" applyBorder="1"/>
    <xf numFmtId="174" fontId="31" fillId="3" borderId="14" xfId="0" applyNumberFormat="1" applyFont="1" applyFill="1" applyBorder="1"/>
    <xf numFmtId="0" fontId="31" fillId="3" borderId="10" xfId="0" applyFont="1" applyFill="1" applyBorder="1"/>
    <xf numFmtId="0" fontId="31" fillId="3" borderId="11" xfId="0" applyFont="1" applyFill="1" applyBorder="1"/>
    <xf numFmtId="173" fontId="31" fillId="3" borderId="10" xfId="0" applyNumberFormat="1" applyFont="1" applyFill="1" applyBorder="1"/>
    <xf numFmtId="173" fontId="31" fillId="3" borderId="11" xfId="0" applyNumberFormat="1" applyFont="1" applyFill="1" applyBorder="1"/>
    <xf numFmtId="0" fontId="31" fillId="4" borderId="1" xfId="0" applyFont="1" applyFill="1" applyBorder="1"/>
    <xf numFmtId="0" fontId="30" fillId="0" borderId="0" xfId="0" applyFont="1" applyAlignment="1">
      <alignment horizontal="right"/>
    </xf>
    <xf numFmtId="37" fontId="30" fillId="0" borderId="0" xfId="0" applyNumberFormat="1" applyFont="1"/>
    <xf numFmtId="0" fontId="31" fillId="3" borderId="16" xfId="0" applyFont="1" applyFill="1" applyBorder="1"/>
    <xf numFmtId="0" fontId="31" fillId="3" borderId="17" xfId="0" applyFont="1" applyFill="1" applyBorder="1" applyAlignment="1">
      <alignment horizontal="center"/>
    </xf>
    <xf numFmtId="173" fontId="31" fillId="3" borderId="17" xfId="0" applyNumberFormat="1" applyFont="1" applyFill="1" applyBorder="1"/>
    <xf numFmtId="37" fontId="31" fillId="3" borderId="18" xfId="0" applyNumberFormat="1" applyFont="1" applyFill="1" applyBorder="1"/>
    <xf numFmtId="0" fontId="31" fillId="3" borderId="16" xfId="0" applyFont="1" applyFill="1" applyBorder="1" applyAlignment="1">
      <alignment horizontal="center"/>
    </xf>
    <xf numFmtId="0" fontId="30" fillId="3" borderId="13" xfId="0" applyFont="1" applyFill="1" applyBorder="1"/>
    <xf numFmtId="0" fontId="30" fillId="3" borderId="16" xfId="0" applyFont="1" applyFill="1" applyBorder="1"/>
    <xf numFmtId="37" fontId="31" fillId="0" borderId="0" xfId="0" applyNumberFormat="1" applyFont="1"/>
    <xf numFmtId="37" fontId="31" fillId="3" borderId="19" xfId="0" applyNumberFormat="1" applyFont="1" applyFill="1" applyBorder="1"/>
    <xf numFmtId="0" fontId="30" fillId="4" borderId="1" xfId="0" applyFont="1" applyFill="1" applyBorder="1"/>
    <xf numFmtId="37" fontId="31" fillId="4" borderId="15" xfId="0" applyNumberFormat="1" applyFont="1" applyFill="1" applyBorder="1"/>
    <xf numFmtId="0" fontId="30" fillId="4" borderId="12" xfId="0" applyFont="1" applyFill="1" applyBorder="1"/>
    <xf numFmtId="0" fontId="30" fillId="4" borderId="13" xfId="0" applyFont="1" applyFill="1" applyBorder="1"/>
    <xf numFmtId="0" fontId="30" fillId="4" borderId="22" xfId="0" applyFont="1" applyFill="1" applyBorder="1"/>
    <xf numFmtId="37" fontId="31" fillId="4" borderId="19" xfId="0" applyNumberFormat="1" applyFont="1" applyFill="1" applyBorder="1"/>
    <xf numFmtId="0" fontId="34" fillId="0" borderId="0" xfId="0" applyFont="1"/>
    <xf numFmtId="0" fontId="35" fillId="0" borderId="0" xfId="0" applyFont="1"/>
    <xf numFmtId="37" fontId="35" fillId="0" borderId="0" xfId="0" applyNumberFormat="1" applyFont="1"/>
    <xf numFmtId="0" fontId="31" fillId="0" borderId="0" xfId="0" applyFont="1"/>
    <xf numFmtId="37" fontId="28" fillId="0" borderId="0" xfId="0" applyNumberFormat="1" applyFont="1"/>
    <xf numFmtId="37" fontId="31" fillId="4" borderId="14" xfId="0" applyNumberFormat="1" applyFont="1" applyFill="1" applyBorder="1"/>
    <xf numFmtId="37" fontId="31" fillId="4" borderId="9" xfId="0" applyNumberFormat="1" applyFont="1" applyFill="1" applyBorder="1"/>
    <xf numFmtId="37" fontId="31" fillId="4" borderId="8" xfId="0" applyNumberFormat="1" applyFont="1" applyFill="1" applyBorder="1"/>
    <xf numFmtId="173" fontId="31" fillId="4" borderId="8" xfId="0" applyNumberFormat="1" applyFont="1" applyFill="1" applyBorder="1"/>
    <xf numFmtId="37" fontId="31" fillId="4" borderId="22" xfId="0" applyNumberFormat="1" applyFont="1" applyFill="1" applyBorder="1"/>
    <xf numFmtId="173" fontId="31" fillId="4" borderId="19" xfId="0" applyNumberFormat="1" applyFont="1" applyFill="1" applyBorder="1"/>
    <xf numFmtId="37" fontId="31" fillId="4" borderId="13" xfId="0" applyNumberFormat="1" applyFont="1" applyFill="1" applyBorder="1"/>
    <xf numFmtId="39" fontId="31" fillId="4" borderId="22" xfId="0" applyNumberFormat="1" applyFont="1" applyFill="1" applyBorder="1"/>
    <xf numFmtId="37" fontId="31" fillId="4" borderId="24" xfId="0" applyNumberFormat="1" applyFont="1" applyFill="1" applyBorder="1"/>
    <xf numFmtId="174" fontId="31" fillId="4" borderId="24" xfId="0" applyNumberFormat="1" applyFont="1" applyFill="1" applyBorder="1"/>
    <xf numFmtId="37" fontId="31" fillId="4" borderId="25" xfId="0" applyNumberFormat="1" applyFont="1" applyFill="1" applyBorder="1"/>
    <xf numFmtId="37" fontId="31" fillId="4" borderId="23" xfId="0" applyNumberFormat="1" applyFont="1" applyFill="1" applyBorder="1"/>
    <xf numFmtId="173" fontId="31" fillId="3" borderId="8" xfId="0" applyNumberFormat="1" applyFont="1" applyFill="1" applyBorder="1"/>
    <xf numFmtId="173" fontId="31" fillId="3" borderId="14" xfId="0" applyNumberFormat="1" applyFont="1" applyFill="1" applyBorder="1"/>
    <xf numFmtId="173" fontId="31" fillId="3" borderId="26" xfId="0" applyNumberFormat="1" applyFont="1" applyFill="1" applyBorder="1"/>
    <xf numFmtId="37" fontId="31" fillId="3" borderId="27" xfId="0" applyNumberFormat="1" applyFont="1" applyFill="1" applyBorder="1"/>
    <xf numFmtId="37" fontId="31" fillId="3" borderId="29" xfId="0" applyNumberFormat="1" applyFont="1" applyFill="1" applyBorder="1"/>
    <xf numFmtId="174" fontId="31" fillId="3" borderId="29" xfId="0" applyNumberFormat="1" applyFont="1" applyFill="1" applyBorder="1"/>
    <xf numFmtId="37" fontId="31" fillId="3" borderId="30" xfId="0" applyNumberFormat="1" applyFont="1" applyFill="1" applyBorder="1"/>
    <xf numFmtId="37" fontId="31" fillId="3" borderId="28" xfId="0" applyNumberFormat="1" applyFont="1" applyFill="1" applyBorder="1"/>
    <xf numFmtId="0" fontId="30" fillId="3" borderId="10" xfId="0" applyFont="1" applyFill="1" applyBorder="1"/>
    <xf numFmtId="0" fontId="38" fillId="0" borderId="0" xfId="0" applyFont="1"/>
    <xf numFmtId="0" fontId="27" fillId="0" borderId="0" xfId="0" applyFont="1" applyAlignment="1">
      <alignment horizontal="right" vertical="center"/>
    </xf>
    <xf numFmtId="0" fontId="39" fillId="3" borderId="22" xfId="0" applyFont="1" applyFill="1" applyBorder="1"/>
    <xf numFmtId="37" fontId="39" fillId="3" borderId="32" xfId="0" applyNumberFormat="1" applyFont="1" applyFill="1" applyBorder="1"/>
    <xf numFmtId="37" fontId="39" fillId="3" borderId="33" xfId="0" applyNumberFormat="1" applyFont="1" applyFill="1" applyBorder="1"/>
    <xf numFmtId="37" fontId="39" fillId="3" borderId="22" xfId="0" applyNumberFormat="1" applyFont="1" applyFill="1" applyBorder="1"/>
    <xf numFmtId="173" fontId="39" fillId="3" borderId="22" xfId="0" applyNumberFormat="1" applyFont="1" applyFill="1" applyBorder="1"/>
    <xf numFmtId="37" fontId="39" fillId="3" borderId="34" xfId="0" applyNumberFormat="1" applyFont="1" applyFill="1" applyBorder="1"/>
    <xf numFmtId="37" fontId="33" fillId="0" borderId="35" xfId="0" applyNumberFormat="1" applyFont="1" applyBorder="1"/>
    <xf numFmtId="0" fontId="39" fillId="3" borderId="17" xfId="0" applyFont="1" applyFill="1" applyBorder="1"/>
    <xf numFmtId="173" fontId="39" fillId="3" borderId="17" xfId="0" applyNumberFormat="1" applyFont="1" applyFill="1" applyBorder="1"/>
    <xf numFmtId="37" fontId="39" fillId="3" borderId="21" xfId="0" applyNumberFormat="1" applyFont="1" applyFill="1" applyBorder="1"/>
    <xf numFmtId="173" fontId="39" fillId="3" borderId="20" xfId="0" applyNumberFormat="1" applyFont="1" applyFill="1" applyBorder="1"/>
    <xf numFmtId="0" fontId="39" fillId="3" borderId="20" xfId="0" applyFont="1" applyFill="1" applyBorder="1"/>
    <xf numFmtId="37" fontId="39" fillId="3" borderId="17" xfId="0" applyNumberFormat="1" applyFont="1" applyFill="1" applyBorder="1"/>
    <xf numFmtId="0" fontId="39" fillId="3" borderId="36" xfId="0" applyFont="1" applyFill="1" applyBorder="1"/>
    <xf numFmtId="166" fontId="28" fillId="0" borderId="0" xfId="0" applyNumberFormat="1" applyFont="1"/>
    <xf numFmtId="166" fontId="38" fillId="0" borderId="0" xfId="0" applyNumberFormat="1" applyFont="1"/>
    <xf numFmtId="173" fontId="33" fillId="0" borderId="35" xfId="0" applyNumberFormat="1" applyFont="1" applyBorder="1"/>
    <xf numFmtId="174" fontId="39" fillId="3" borderId="17" xfId="0" applyNumberFormat="1" applyFont="1" applyFill="1" applyBorder="1"/>
    <xf numFmtId="37" fontId="39" fillId="3" borderId="20" xfId="0" applyNumberFormat="1" applyFont="1" applyFill="1" applyBorder="1"/>
    <xf numFmtId="37" fontId="39" fillId="3" borderId="36" xfId="0" applyNumberFormat="1" applyFont="1" applyFill="1" applyBorder="1"/>
    <xf numFmtId="37" fontId="38" fillId="0" borderId="0" xfId="0" applyNumberFormat="1" applyFont="1"/>
    <xf numFmtId="171" fontId="38" fillId="0" borderId="0" xfId="0" applyNumberFormat="1" applyFont="1"/>
    <xf numFmtId="0" fontId="33" fillId="3" borderId="17" xfId="0" applyFont="1" applyFill="1" applyBorder="1"/>
    <xf numFmtId="0" fontId="38" fillId="4" borderId="1" xfId="0" applyFont="1" applyFill="1" applyBorder="1"/>
    <xf numFmtId="0" fontId="33" fillId="0" borderId="35" xfId="0" applyFont="1" applyBorder="1"/>
    <xf numFmtId="37" fontId="33" fillId="4" borderId="37" xfId="0" applyNumberFormat="1" applyFont="1" applyFill="1" applyBorder="1"/>
    <xf numFmtId="0" fontId="39" fillId="4" borderId="24" xfId="0" applyFont="1" applyFill="1" applyBorder="1"/>
    <xf numFmtId="37" fontId="39" fillId="4" borderId="24" xfId="0" applyNumberFormat="1" applyFont="1" applyFill="1" applyBorder="1"/>
    <xf numFmtId="173" fontId="33" fillId="3" borderId="20" xfId="0" applyNumberFormat="1" applyFont="1" applyFill="1" applyBorder="1"/>
    <xf numFmtId="173" fontId="33" fillId="3" borderId="17" xfId="0" applyNumberFormat="1" applyFont="1" applyFill="1" applyBorder="1"/>
    <xf numFmtId="37" fontId="33" fillId="3" borderId="36" xfId="0" applyNumberFormat="1" applyFont="1" applyFill="1" applyBorder="1"/>
    <xf numFmtId="0" fontId="33" fillId="4" borderId="24" xfId="0" applyFont="1" applyFill="1" applyBorder="1"/>
    <xf numFmtId="37" fontId="33" fillId="4" borderId="24" xfId="0" applyNumberFormat="1" applyFont="1" applyFill="1" applyBorder="1"/>
    <xf numFmtId="37" fontId="33" fillId="4" borderId="38" xfId="0" applyNumberFormat="1" applyFont="1" applyFill="1" applyBorder="1"/>
    <xf numFmtId="37" fontId="33" fillId="4" borderId="1" xfId="0" applyNumberFormat="1" applyFont="1" applyFill="1" applyBorder="1"/>
    <xf numFmtId="173" fontId="33" fillId="4" borderId="1" xfId="0" applyNumberFormat="1" applyFont="1" applyFill="1" applyBorder="1"/>
    <xf numFmtId="173" fontId="33" fillId="4" borderId="38" xfId="0" applyNumberFormat="1" applyFont="1" applyFill="1" applyBorder="1"/>
    <xf numFmtId="173" fontId="33" fillId="4" borderId="24" xfId="0" applyNumberFormat="1" applyFont="1" applyFill="1" applyBorder="1"/>
    <xf numFmtId="37" fontId="33" fillId="4" borderId="42" xfId="0" applyNumberFormat="1" applyFont="1" applyFill="1" applyBorder="1"/>
    <xf numFmtId="39" fontId="33" fillId="0" borderId="0" xfId="0" applyNumberFormat="1" applyFont="1"/>
    <xf numFmtId="37" fontId="38" fillId="0" borderId="35" xfId="0" applyNumberFormat="1" applyFont="1" applyBorder="1"/>
    <xf numFmtId="0" fontId="38" fillId="0" borderId="35" xfId="0" applyFont="1" applyBorder="1"/>
    <xf numFmtId="0" fontId="38" fillId="0" borderId="40" xfId="0" applyFont="1" applyBorder="1"/>
    <xf numFmtId="0" fontId="40" fillId="0" borderId="0" xfId="0" applyFont="1"/>
    <xf numFmtId="37" fontId="40" fillId="0" borderId="0" xfId="0" applyNumberFormat="1" applyFont="1"/>
    <xf numFmtId="37" fontId="39" fillId="0" borderId="0" xfId="0" applyNumberFormat="1" applyFont="1"/>
    <xf numFmtId="37" fontId="41" fillId="0" borderId="0" xfId="0" applyNumberFormat="1" applyFont="1"/>
    <xf numFmtId="0" fontId="40" fillId="4" borderId="1" xfId="0" applyFont="1" applyFill="1" applyBorder="1"/>
    <xf numFmtId="37" fontId="38" fillId="4" borderId="1" xfId="0" applyNumberFormat="1" applyFont="1" applyFill="1" applyBorder="1"/>
    <xf numFmtId="0" fontId="42" fillId="4" borderId="1" xfId="0" applyFont="1" applyFill="1" applyBorder="1"/>
    <xf numFmtId="37" fontId="40" fillId="4" borderId="1" xfId="0" applyNumberFormat="1" applyFont="1" applyFill="1" applyBorder="1"/>
    <xf numFmtId="0" fontId="43" fillId="4" borderId="1" xfId="0" applyFont="1" applyFill="1" applyBorder="1" applyAlignment="1">
      <alignment horizontal="center" vertical="center"/>
    </xf>
    <xf numFmtId="0" fontId="38" fillId="4" borderId="1" xfId="0" applyFont="1" applyFill="1" applyBorder="1" applyAlignment="1">
      <alignment horizontal="center" vertical="center"/>
    </xf>
    <xf numFmtId="172" fontId="44" fillId="4" borderId="1" xfId="0" applyNumberFormat="1" applyFont="1" applyFill="1" applyBorder="1" applyAlignment="1">
      <alignment horizontal="right"/>
    </xf>
    <xf numFmtId="0" fontId="40" fillId="4" borderId="1" xfId="0" applyFont="1" applyFill="1" applyBorder="1" applyAlignment="1">
      <alignment horizontal="center"/>
    </xf>
    <xf numFmtId="0" fontId="38" fillId="4" borderId="1" xfId="0" applyFont="1" applyFill="1" applyBorder="1" applyAlignment="1">
      <alignment horizontal="center"/>
    </xf>
    <xf numFmtId="0" fontId="44" fillId="4" borderId="1" xfId="0" applyFont="1" applyFill="1" applyBorder="1" applyAlignment="1">
      <alignment horizontal="center"/>
    </xf>
    <xf numFmtId="0" fontId="44" fillId="4" borderId="1" xfId="0" applyFont="1" applyFill="1" applyBorder="1"/>
    <xf numFmtId="173" fontId="38" fillId="4" borderId="1" xfId="0" applyNumberFormat="1" applyFont="1" applyFill="1" applyBorder="1"/>
    <xf numFmtId="9" fontId="38" fillId="4" borderId="1" xfId="0" applyNumberFormat="1" applyFont="1" applyFill="1" applyBorder="1"/>
    <xf numFmtId="173" fontId="40" fillId="4" borderId="1" xfId="0" applyNumberFormat="1" applyFont="1" applyFill="1" applyBorder="1"/>
    <xf numFmtId="0" fontId="45" fillId="4" borderId="1" xfId="0" applyFont="1" applyFill="1" applyBorder="1"/>
    <xf numFmtId="0" fontId="43" fillId="4" borderId="1" xfId="0" applyFont="1" applyFill="1" applyBorder="1" applyAlignment="1">
      <alignment horizontal="center"/>
    </xf>
    <xf numFmtId="172" fontId="38" fillId="4" borderId="1" xfId="0" applyNumberFormat="1" applyFont="1" applyFill="1" applyBorder="1" applyAlignment="1">
      <alignment horizontal="center"/>
    </xf>
    <xf numFmtId="0" fontId="46" fillId="4" borderId="1" xfId="0" applyFont="1" applyFill="1" applyBorder="1" applyAlignment="1">
      <alignment horizontal="center"/>
    </xf>
    <xf numFmtId="0" fontId="44" fillId="4" borderId="1" xfId="0" applyFont="1" applyFill="1" applyBorder="1" applyAlignment="1">
      <alignment horizontal="left"/>
    </xf>
    <xf numFmtId="0" fontId="47" fillId="4" borderId="1" xfId="0" applyFont="1" applyFill="1" applyBorder="1"/>
    <xf numFmtId="0" fontId="48" fillId="0" borderId="0" xfId="0" applyFont="1" applyAlignment="1">
      <alignment horizontal="center" vertical="top"/>
    </xf>
    <xf numFmtId="0" fontId="49" fillId="6" borderId="43" xfId="0" applyFont="1" applyFill="1" applyBorder="1" applyAlignment="1">
      <alignment horizontal="center" vertical="center" wrapText="1"/>
    </xf>
    <xf numFmtId="1" fontId="20" fillId="0" borderId="0" xfId="0" applyNumberFormat="1" applyFont="1" applyAlignment="1">
      <alignment horizontal="left" vertical="top"/>
    </xf>
    <xf numFmtId="49" fontId="20" fillId="0" borderId="0" xfId="0" applyNumberFormat="1" applyFont="1" applyAlignment="1">
      <alignment horizontal="left" vertical="top"/>
    </xf>
    <xf numFmtId="4" fontId="20" fillId="0" borderId="0" xfId="0" applyNumberFormat="1" applyFont="1" applyAlignment="1">
      <alignment horizontal="center" vertical="top"/>
    </xf>
    <xf numFmtId="0" fontId="20" fillId="7" borderId="1" xfId="0" applyFont="1" applyFill="1" applyBorder="1" applyAlignment="1">
      <alignment horizontal="center"/>
    </xf>
    <xf numFmtId="0" fontId="28" fillId="0" borderId="0" xfId="0" applyFont="1" applyAlignment="1">
      <alignment horizontal="center"/>
    </xf>
    <xf numFmtId="0" fontId="0" fillId="0" borderId="0" xfId="0" applyFont="1" applyAlignment="1">
      <alignment horizontal="center"/>
    </xf>
    <xf numFmtId="0" fontId="19" fillId="9" borderId="1" xfId="0" applyFont="1" applyFill="1" applyBorder="1"/>
    <xf numFmtId="0" fontId="50" fillId="0" borderId="0" xfId="0" applyFont="1"/>
    <xf numFmtId="0" fontId="20" fillId="9" borderId="1" xfId="0" applyFont="1" applyFill="1" applyBorder="1"/>
    <xf numFmtId="0" fontId="20" fillId="0" borderId="0" xfId="0" applyFont="1"/>
    <xf numFmtId="39" fontId="51" fillId="10" borderId="47" xfId="0" applyNumberFormat="1" applyFont="1" applyFill="1" applyBorder="1" applyAlignment="1">
      <alignment horizontal="left" vertical="top"/>
    </xf>
    <xf numFmtId="0" fontId="52" fillId="10" borderId="47" xfId="0" applyFont="1" applyFill="1" applyBorder="1" applyAlignment="1">
      <alignment horizontal="left" vertical="top"/>
    </xf>
    <xf numFmtId="1" fontId="52" fillId="10" borderId="47" xfId="0" applyNumberFormat="1" applyFont="1" applyFill="1" applyBorder="1" applyAlignment="1">
      <alignment horizontal="left" vertical="top"/>
    </xf>
    <xf numFmtId="49" fontId="51" fillId="10" borderId="47" xfId="0" applyNumberFormat="1" applyFont="1" applyFill="1" applyBorder="1" applyAlignment="1">
      <alignment horizontal="left" vertical="top"/>
    </xf>
    <xf numFmtId="49" fontId="51" fillId="10" borderId="44" xfId="0" applyNumberFormat="1" applyFont="1" applyFill="1" applyBorder="1" applyAlignment="1">
      <alignment horizontal="left" vertical="top"/>
    </xf>
    <xf numFmtId="0" fontId="51" fillId="10" borderId="47" xfId="0" applyFont="1" applyFill="1" applyBorder="1" applyAlignment="1">
      <alignment horizontal="left" vertical="top"/>
    </xf>
    <xf numFmtId="0" fontId="51" fillId="8" borderId="47" xfId="0" applyFont="1" applyFill="1" applyBorder="1" applyAlignment="1">
      <alignment horizontal="left" vertical="top"/>
    </xf>
    <xf numFmtId="0" fontId="52" fillId="5" borderId="47" xfId="0" applyFont="1" applyFill="1" applyBorder="1" applyAlignment="1">
      <alignment horizontal="left" vertical="top"/>
    </xf>
    <xf numFmtId="0" fontId="51" fillId="5" borderId="47" xfId="0" applyFont="1" applyFill="1" applyBorder="1" applyAlignment="1">
      <alignment horizontal="left" vertical="top"/>
    </xf>
    <xf numFmtId="0" fontId="51" fillId="5" borderId="1" xfId="0" applyFont="1" applyFill="1" applyBorder="1" applyAlignment="1">
      <alignment horizontal="left" vertical="top"/>
    </xf>
    <xf numFmtId="0" fontId="52" fillId="10" borderId="1" xfId="0" applyFont="1" applyFill="1" applyBorder="1" applyAlignment="1">
      <alignment horizontal="left" vertical="top"/>
    </xf>
    <xf numFmtId="3" fontId="30" fillId="0" borderId="50" xfId="0" applyNumberFormat="1" applyFont="1" applyBorder="1"/>
    <xf numFmtId="0" fontId="30" fillId="0" borderId="1" xfId="0" applyFont="1" applyBorder="1"/>
    <xf numFmtId="3" fontId="30" fillId="0" borderId="1" xfId="0" applyNumberFormat="1" applyFont="1" applyBorder="1"/>
    <xf numFmtId="3" fontId="30" fillId="0" borderId="15" xfId="0" applyNumberFormat="1" applyFont="1" applyBorder="1"/>
    <xf numFmtId="3" fontId="30" fillId="0" borderId="51" xfId="0" applyNumberFormat="1" applyFont="1" applyBorder="1"/>
    <xf numFmtId="3" fontId="30" fillId="0" borderId="12" xfId="0" applyNumberFormat="1" applyFont="1" applyBorder="1"/>
    <xf numFmtId="3" fontId="30" fillId="0" borderId="52" xfId="0" applyNumberFormat="1" applyFont="1" applyBorder="1"/>
    <xf numFmtId="3" fontId="30" fillId="0" borderId="53" xfId="0" applyNumberFormat="1" applyFont="1" applyBorder="1"/>
    <xf numFmtId="2" fontId="30" fillId="0" borderId="1" xfId="0" applyNumberFormat="1" applyFont="1" applyBorder="1"/>
    <xf numFmtId="3" fontId="30" fillId="0" borderId="54" xfId="0" applyNumberFormat="1" applyFont="1" applyBorder="1"/>
    <xf numFmtId="0" fontId="0" fillId="0" borderId="0" xfId="0" applyFont="1" applyAlignment="1"/>
    <xf numFmtId="0" fontId="20" fillId="0" borderId="0" xfId="0" applyFont="1" applyAlignment="1">
      <alignment horizontal="center"/>
    </xf>
    <xf numFmtId="0" fontId="0" fillId="0" borderId="0" xfId="0" applyFont="1" applyAlignment="1"/>
    <xf numFmtId="37" fontId="30" fillId="0" borderId="53" xfId="0" applyNumberFormat="1" applyFont="1" applyBorder="1"/>
    <xf numFmtId="174" fontId="30" fillId="0" borderId="53" xfId="0" applyNumberFormat="1" applyFont="1" applyBorder="1"/>
    <xf numFmtId="173" fontId="30" fillId="0" borderId="50" xfId="0" applyNumberFormat="1" applyFont="1" applyBorder="1"/>
    <xf numFmtId="0" fontId="30" fillId="0" borderId="53" xfId="0" applyFont="1" applyBorder="1" applyAlignment="1">
      <alignment horizontal="center"/>
    </xf>
    <xf numFmtId="0" fontId="30" fillId="0" borderId="50" xfId="0" applyFont="1" applyBorder="1" applyAlignment="1">
      <alignment horizontal="center"/>
    </xf>
    <xf numFmtId="173" fontId="30" fillId="0" borderId="53" xfId="0" applyNumberFormat="1" applyFont="1" applyBorder="1"/>
    <xf numFmtId="37" fontId="30" fillId="0" borderId="50" xfId="0" applyNumberFormat="1" applyFont="1" applyBorder="1"/>
    <xf numFmtId="37" fontId="30" fillId="0" borderId="1" xfId="0" applyNumberFormat="1" applyFont="1" applyBorder="1"/>
    <xf numFmtId="37" fontId="31" fillId="0" borderId="24" xfId="0" applyNumberFormat="1" applyFont="1" applyBorder="1"/>
    <xf numFmtId="37" fontId="30" fillId="0" borderId="55" xfId="0" applyNumberFormat="1" applyFont="1" applyBorder="1"/>
    <xf numFmtId="37" fontId="31" fillId="0" borderId="56" xfId="0" applyNumberFormat="1" applyFont="1" applyBorder="1"/>
    <xf numFmtId="37" fontId="30" fillId="0" borderId="56" xfId="0" applyNumberFormat="1" applyFont="1" applyBorder="1"/>
    <xf numFmtId="37" fontId="30" fillId="0" borderId="58" xfId="0" applyNumberFormat="1" applyFont="1" applyBorder="1"/>
    <xf numFmtId="37" fontId="30" fillId="11" borderId="1" xfId="0" applyNumberFormat="1" applyFont="1" applyFill="1" applyBorder="1"/>
    <xf numFmtId="173" fontId="31" fillId="3" borderId="1" xfId="0" applyNumberFormat="1" applyFont="1" applyFill="1" applyBorder="1"/>
    <xf numFmtId="0" fontId="30" fillId="0" borderId="60" xfId="0" applyFont="1" applyBorder="1" applyAlignment="1">
      <alignment horizontal="center"/>
    </xf>
    <xf numFmtId="0" fontId="30" fillId="0" borderId="59" xfId="0" applyFont="1" applyBorder="1" applyAlignment="1">
      <alignment horizontal="center"/>
    </xf>
    <xf numFmtId="0" fontId="30" fillId="0" borderId="61" xfId="0" applyFont="1" applyBorder="1" applyAlignment="1">
      <alignment horizontal="center"/>
    </xf>
    <xf numFmtId="37" fontId="30" fillId="11" borderId="62" xfId="0" applyNumberFormat="1" applyFont="1" applyFill="1" applyBorder="1"/>
    <xf numFmtId="37" fontId="30" fillId="0" borderId="61" xfId="0" applyNumberFormat="1" applyFont="1" applyBorder="1"/>
    <xf numFmtId="173" fontId="30" fillId="0" borderId="1" xfId="0" applyNumberFormat="1" applyFont="1" applyBorder="1"/>
    <xf numFmtId="37" fontId="30" fillId="0" borderId="52" xfId="0" applyNumberFormat="1" applyFont="1" applyBorder="1"/>
    <xf numFmtId="0" fontId="30" fillId="0" borderId="52" xfId="0" applyFont="1" applyBorder="1" applyAlignment="1">
      <alignment horizontal="center"/>
    </xf>
    <xf numFmtId="173" fontId="33" fillId="0" borderId="56" xfId="0" applyNumberFormat="1" applyFont="1" applyBorder="1"/>
    <xf numFmtId="173" fontId="33" fillId="0" borderId="55" xfId="0" applyNumberFormat="1" applyFont="1" applyBorder="1"/>
    <xf numFmtId="173" fontId="33" fillId="0" borderId="63" xfId="0" applyNumberFormat="1" applyFont="1" applyBorder="1"/>
    <xf numFmtId="173" fontId="59" fillId="0" borderId="55" xfId="0" applyNumberFormat="1" applyFont="1" applyBorder="1"/>
    <xf numFmtId="37" fontId="39" fillId="3" borderId="64" xfId="0" applyNumberFormat="1" applyFont="1" applyFill="1" applyBorder="1"/>
    <xf numFmtId="37" fontId="39" fillId="3" borderId="65" xfId="0" applyNumberFormat="1" applyFont="1" applyFill="1" applyBorder="1"/>
    <xf numFmtId="0" fontId="38" fillId="0" borderId="1" xfId="0" applyFont="1" applyBorder="1"/>
    <xf numFmtId="3" fontId="30" fillId="11" borderId="67" xfId="0" applyNumberFormat="1" applyFont="1" applyFill="1" applyBorder="1"/>
    <xf numFmtId="3" fontId="30" fillId="11" borderId="68" xfId="0" applyNumberFormat="1" applyFont="1" applyFill="1" applyBorder="1"/>
    <xf numFmtId="0" fontId="30" fillId="0" borderId="0" xfId="0" applyFont="1" applyFill="1"/>
    <xf numFmtId="37" fontId="31" fillId="0" borderId="24" xfId="0" applyNumberFormat="1" applyFont="1" applyFill="1" applyBorder="1"/>
    <xf numFmtId="174" fontId="31" fillId="0" borderId="24" xfId="0" applyNumberFormat="1" applyFont="1" applyFill="1" applyBorder="1"/>
    <xf numFmtId="37" fontId="31" fillId="0" borderId="25" xfId="0" applyNumberFormat="1" applyFont="1" applyFill="1" applyBorder="1"/>
    <xf numFmtId="37" fontId="31" fillId="0" borderId="23" xfId="0" applyNumberFormat="1" applyFont="1" applyFill="1" applyBorder="1"/>
    <xf numFmtId="0" fontId="30" fillId="0" borderId="12" xfId="0" applyFont="1" applyFill="1" applyBorder="1"/>
    <xf numFmtId="37" fontId="30" fillId="0" borderId="1" xfId="0" applyNumberFormat="1" applyFont="1" applyFill="1" applyBorder="1"/>
    <xf numFmtId="37" fontId="30" fillId="0" borderId="0" xfId="0" applyNumberFormat="1" applyFont="1" applyFill="1"/>
    <xf numFmtId="37" fontId="30" fillId="0" borderId="12" xfId="0" applyNumberFormat="1" applyFont="1" applyFill="1" applyBorder="1"/>
    <xf numFmtId="3" fontId="30" fillId="0" borderId="1" xfId="0" applyNumberFormat="1" applyFont="1" applyFill="1" applyBorder="1"/>
    <xf numFmtId="37" fontId="30" fillId="0" borderId="15" xfId="0" applyNumberFormat="1" applyFont="1" applyFill="1" applyBorder="1"/>
    <xf numFmtId="0" fontId="30" fillId="0" borderId="1" xfId="0" applyFont="1" applyFill="1" applyBorder="1"/>
    <xf numFmtId="174" fontId="30" fillId="0" borderId="1" xfId="0" applyNumberFormat="1" applyFont="1" applyFill="1" applyBorder="1"/>
    <xf numFmtId="173" fontId="30" fillId="0" borderId="15" xfId="0" applyNumberFormat="1" applyFont="1" applyFill="1" applyBorder="1"/>
    <xf numFmtId="37" fontId="31" fillId="0" borderId="12" xfId="0" applyNumberFormat="1" applyFont="1" applyFill="1" applyBorder="1"/>
    <xf numFmtId="174" fontId="31" fillId="0" borderId="1" xfId="0" applyNumberFormat="1" applyFont="1" applyFill="1" applyBorder="1"/>
    <xf numFmtId="37" fontId="31" fillId="0" borderId="15" xfId="0" applyNumberFormat="1" applyFont="1" applyFill="1" applyBorder="1"/>
    <xf numFmtId="37" fontId="31" fillId="0" borderId="1" xfId="0" applyNumberFormat="1" applyFont="1" applyFill="1" applyBorder="1"/>
    <xf numFmtId="0" fontId="31" fillId="0" borderId="12" xfId="0" applyFont="1" applyFill="1" applyBorder="1"/>
    <xf numFmtId="0" fontId="31" fillId="0" borderId="1" xfId="0" applyFont="1" applyFill="1" applyBorder="1"/>
    <xf numFmtId="173" fontId="31" fillId="0" borderId="15" xfId="0" applyNumberFormat="1" applyFont="1" applyFill="1" applyBorder="1"/>
    <xf numFmtId="173" fontId="31" fillId="0" borderId="12" xfId="0" applyNumberFormat="1" applyFont="1" applyFill="1" applyBorder="1"/>
    <xf numFmtId="3" fontId="30" fillId="0" borderId="50" xfId="0" applyNumberFormat="1" applyFont="1" applyFill="1" applyBorder="1"/>
    <xf numFmtId="3" fontId="30" fillId="0" borderId="51" xfId="0" applyNumberFormat="1" applyFont="1" applyFill="1" applyBorder="1"/>
    <xf numFmtId="37" fontId="56" fillId="0" borderId="1" xfId="0" applyNumberFormat="1" applyFont="1" applyFill="1" applyBorder="1"/>
    <xf numFmtId="0" fontId="39" fillId="0" borderId="1" xfId="0" applyFont="1" applyFill="1" applyBorder="1"/>
    <xf numFmtId="37" fontId="33" fillId="0" borderId="37" xfId="0" applyNumberFormat="1" applyFont="1" applyFill="1" applyBorder="1"/>
    <xf numFmtId="173" fontId="39" fillId="0" borderId="24" xfId="0" applyNumberFormat="1" applyFont="1" applyFill="1" applyBorder="1"/>
    <xf numFmtId="0" fontId="39" fillId="0" borderId="24" xfId="0" applyFont="1" applyFill="1" applyBorder="1"/>
    <xf numFmtId="37" fontId="39" fillId="0" borderId="38" xfId="0" applyNumberFormat="1" applyFont="1" applyFill="1" applyBorder="1"/>
    <xf numFmtId="173" fontId="39" fillId="0" borderId="38" xfId="0" applyNumberFormat="1" applyFont="1" applyFill="1" applyBorder="1"/>
    <xf numFmtId="37" fontId="39" fillId="0" borderId="24" xfId="0" applyNumberFormat="1" applyFont="1" applyFill="1" applyBorder="1"/>
    <xf numFmtId="37" fontId="33" fillId="0" borderId="35" xfId="0" applyNumberFormat="1" applyFont="1" applyFill="1" applyBorder="1"/>
    <xf numFmtId="173" fontId="39" fillId="0" borderId="1" xfId="0" applyNumberFormat="1" applyFont="1" applyFill="1" applyBorder="1"/>
    <xf numFmtId="37" fontId="39" fillId="0" borderId="39" xfId="0" applyNumberFormat="1" applyFont="1" applyFill="1" applyBorder="1"/>
    <xf numFmtId="173" fontId="33" fillId="0" borderId="35" xfId="0" applyNumberFormat="1" applyFont="1" applyFill="1" applyBorder="1"/>
    <xf numFmtId="173" fontId="39" fillId="0" borderId="39" xfId="0" applyNumberFormat="1" applyFont="1" applyFill="1" applyBorder="1"/>
    <xf numFmtId="37" fontId="33" fillId="0" borderId="40" xfId="0" applyNumberFormat="1" applyFont="1" applyFill="1" applyBorder="1"/>
    <xf numFmtId="37" fontId="39" fillId="0" borderId="1" xfId="0" applyNumberFormat="1" applyFont="1" applyFill="1" applyBorder="1"/>
    <xf numFmtId="173" fontId="33" fillId="0" borderId="55" xfId="0" applyNumberFormat="1" applyFont="1" applyFill="1" applyBorder="1"/>
    <xf numFmtId="0" fontId="30" fillId="0" borderId="1" xfId="0" applyFont="1" applyFill="1" applyBorder="1" applyAlignment="1">
      <alignment horizontal="right"/>
    </xf>
    <xf numFmtId="0" fontId="30" fillId="0" borderId="68" xfId="0" applyFont="1" applyBorder="1"/>
    <xf numFmtId="0" fontId="30" fillId="0" borderId="70" xfId="0" applyFont="1" applyBorder="1"/>
    <xf numFmtId="0" fontId="30" fillId="0" borderId="12" xfId="0" applyFont="1" applyBorder="1" applyAlignment="1">
      <alignment horizontal="center"/>
    </xf>
    <xf numFmtId="0" fontId="30" fillId="0" borderId="1" xfId="0" applyFont="1" applyBorder="1" applyAlignment="1">
      <alignment horizontal="center"/>
    </xf>
    <xf numFmtId="0" fontId="30" fillId="0" borderId="15" xfId="0" applyFont="1" applyBorder="1" applyAlignment="1">
      <alignment horizontal="center"/>
    </xf>
    <xf numFmtId="0" fontId="30" fillId="0" borderId="55" xfId="0" applyFont="1" applyBorder="1" applyAlignment="1">
      <alignment horizontal="center"/>
    </xf>
    <xf numFmtId="0" fontId="31" fillId="3" borderId="71" xfId="0" applyFont="1" applyFill="1" applyBorder="1"/>
    <xf numFmtId="37" fontId="31" fillId="3" borderId="72" xfId="0" applyNumberFormat="1" applyFont="1" applyFill="1" applyBorder="1"/>
    <xf numFmtId="0" fontId="31" fillId="3" borderId="73" xfId="0" applyFont="1" applyFill="1" applyBorder="1"/>
    <xf numFmtId="173" fontId="31" fillId="3" borderId="74" xfId="0" applyNumberFormat="1" applyFont="1" applyFill="1" applyBorder="1"/>
    <xf numFmtId="0" fontId="31" fillId="0" borderId="70" xfId="0" applyFont="1" applyFill="1" applyBorder="1"/>
    <xf numFmtId="173" fontId="30" fillId="0" borderId="15" xfId="1" applyNumberFormat="1" applyFont="1" applyFill="1" applyBorder="1"/>
    <xf numFmtId="173" fontId="31" fillId="0" borderId="55" xfId="0" applyNumberFormat="1" applyFont="1" applyFill="1" applyBorder="1"/>
    <xf numFmtId="0" fontId="31" fillId="0" borderId="70" xfId="0" applyFont="1" applyFill="1" applyBorder="1" applyAlignment="1">
      <alignment horizontal="left"/>
    </xf>
    <xf numFmtId="0" fontId="55" fillId="0" borderId="1" xfId="0" applyFont="1" applyFill="1" applyBorder="1"/>
    <xf numFmtId="0" fontId="30" fillId="0" borderId="15" xfId="0" applyFont="1" applyFill="1" applyBorder="1"/>
    <xf numFmtId="0" fontId="30" fillId="0" borderId="55" xfId="0" applyFont="1" applyFill="1" applyBorder="1"/>
    <xf numFmtId="0" fontId="33" fillId="0" borderId="70" xfId="0" applyFont="1" applyFill="1" applyBorder="1"/>
    <xf numFmtId="3" fontId="30" fillId="0" borderId="15" xfId="0" applyNumberFormat="1" applyFont="1" applyFill="1" applyBorder="1"/>
    <xf numFmtId="0" fontId="33" fillId="0" borderId="75" xfId="0" applyFont="1" applyFill="1" applyBorder="1"/>
    <xf numFmtId="0" fontId="30" fillId="0" borderId="12" xfId="0" applyFont="1" applyFill="1" applyBorder="1" applyAlignment="1">
      <alignment horizontal="right"/>
    </xf>
    <xf numFmtId="37" fontId="30" fillId="0" borderId="55" xfId="0" applyNumberFormat="1" applyFont="1" applyFill="1" applyBorder="1"/>
    <xf numFmtId="0" fontId="30" fillId="0" borderId="24" xfId="0" applyFont="1" applyFill="1" applyBorder="1" applyAlignment="1">
      <alignment horizontal="right"/>
    </xf>
    <xf numFmtId="0" fontId="30" fillId="0" borderId="24" xfId="0" applyFont="1" applyFill="1" applyBorder="1"/>
    <xf numFmtId="0" fontId="30" fillId="0" borderId="23" xfId="0" applyFont="1" applyFill="1" applyBorder="1" applyAlignment="1">
      <alignment horizontal="right"/>
    </xf>
    <xf numFmtId="0" fontId="30" fillId="0" borderId="23" xfId="0" applyFont="1" applyFill="1" applyBorder="1"/>
    <xf numFmtId="37" fontId="30" fillId="0" borderId="25" xfId="0" applyNumberFormat="1" applyFont="1" applyFill="1" applyBorder="1"/>
    <xf numFmtId="37" fontId="30" fillId="0" borderId="56" xfId="0" applyNumberFormat="1" applyFont="1" applyFill="1" applyBorder="1"/>
    <xf numFmtId="0" fontId="30" fillId="0" borderId="70" xfId="0" applyFont="1" applyFill="1" applyBorder="1"/>
    <xf numFmtId="0" fontId="30" fillId="0" borderId="22" xfId="0" applyFont="1" applyFill="1" applyBorder="1" applyAlignment="1">
      <alignment horizontal="right"/>
    </xf>
    <xf numFmtId="0" fontId="30" fillId="0" borderId="22" xfId="0" applyFont="1" applyFill="1" applyBorder="1"/>
    <xf numFmtId="0" fontId="30" fillId="0" borderId="13" xfId="0" applyFont="1" applyFill="1" applyBorder="1" applyAlignment="1">
      <alignment horizontal="right"/>
    </xf>
    <xf numFmtId="0" fontId="30" fillId="0" borderId="13" xfId="0" applyFont="1" applyFill="1" applyBorder="1"/>
    <xf numFmtId="37" fontId="30" fillId="0" borderId="19" xfId="0" applyNumberFormat="1" applyFont="1" applyFill="1" applyBorder="1"/>
    <xf numFmtId="37" fontId="30" fillId="0" borderId="58" xfId="0" applyNumberFormat="1" applyFont="1" applyFill="1" applyBorder="1"/>
    <xf numFmtId="0" fontId="31" fillId="3" borderId="76" xfId="0" applyFont="1" applyFill="1" applyBorder="1"/>
    <xf numFmtId="37" fontId="31" fillId="3" borderId="58" xfId="0" applyNumberFormat="1" applyFont="1" applyFill="1" applyBorder="1"/>
    <xf numFmtId="0" fontId="33" fillId="0" borderId="77" xfId="0" applyFont="1" applyBorder="1"/>
    <xf numFmtId="0" fontId="30" fillId="0" borderId="1" xfId="0" applyFont="1" applyBorder="1" applyAlignment="1">
      <alignment horizontal="right"/>
    </xf>
    <xf numFmtId="0" fontId="30" fillId="0" borderId="12" xfId="0" applyFont="1" applyBorder="1" applyAlignment="1">
      <alignment horizontal="right"/>
    </xf>
    <xf numFmtId="0" fontId="30" fillId="0" borderId="12" xfId="0" applyFont="1" applyBorder="1"/>
    <xf numFmtId="37" fontId="30" fillId="0" borderId="15" xfId="0" applyNumberFormat="1" applyFont="1" applyBorder="1"/>
    <xf numFmtId="0" fontId="33" fillId="0" borderId="70" xfId="0" applyFont="1" applyBorder="1"/>
    <xf numFmtId="0" fontId="33" fillId="0" borderId="75" xfId="0" applyFont="1" applyBorder="1"/>
    <xf numFmtId="0" fontId="30" fillId="0" borderId="22" xfId="0" applyFont="1" applyBorder="1" applyAlignment="1">
      <alignment horizontal="right"/>
    </xf>
    <xf numFmtId="0" fontId="30" fillId="0" borderId="22" xfId="0" applyFont="1" applyBorder="1"/>
    <xf numFmtId="0" fontId="30" fillId="0" borderId="13" xfId="0" applyFont="1" applyBorder="1" applyAlignment="1">
      <alignment horizontal="right"/>
    </xf>
    <xf numFmtId="0" fontId="30" fillId="0" borderId="13" xfId="0" applyFont="1" applyBorder="1"/>
    <xf numFmtId="37" fontId="30" fillId="0" borderId="19" xfId="0" applyNumberFormat="1" applyFont="1" applyBorder="1"/>
    <xf numFmtId="0" fontId="30" fillId="0" borderId="15" xfId="0" applyFont="1" applyBorder="1"/>
    <xf numFmtId="0" fontId="31" fillId="0" borderId="12" xfId="0" applyFont="1" applyBorder="1"/>
    <xf numFmtId="0" fontId="31" fillId="0" borderId="15" xfId="0" applyFont="1" applyBorder="1"/>
    <xf numFmtId="0" fontId="31" fillId="0" borderId="55" xfId="0" applyFont="1" applyBorder="1"/>
    <xf numFmtId="37" fontId="31" fillId="3" borderId="57" xfId="0" applyNumberFormat="1" applyFont="1" applyFill="1" applyBorder="1"/>
    <xf numFmtId="0" fontId="31" fillId="3" borderId="78" xfId="0" applyFont="1" applyFill="1" applyBorder="1"/>
    <xf numFmtId="0" fontId="31" fillId="3" borderId="64" xfId="0" applyFont="1" applyFill="1" applyBorder="1"/>
    <xf numFmtId="37" fontId="31" fillId="3" borderId="79" xfId="0" applyNumberFormat="1" applyFont="1" applyFill="1" applyBorder="1"/>
    <xf numFmtId="0" fontId="31" fillId="3" borderId="80" xfId="0" applyFont="1" applyFill="1" applyBorder="1"/>
    <xf numFmtId="0" fontId="30" fillId="3" borderId="80" xfId="0" applyFont="1" applyFill="1" applyBorder="1"/>
    <xf numFmtId="0" fontId="30" fillId="3" borderId="64" xfId="0" applyFont="1" applyFill="1" applyBorder="1"/>
    <xf numFmtId="37" fontId="31" fillId="3" borderId="81" xfId="0" applyNumberFormat="1" applyFont="1" applyFill="1" applyBorder="1"/>
    <xf numFmtId="173" fontId="30" fillId="0" borderId="12" xfId="0" applyNumberFormat="1" applyFont="1" applyBorder="1"/>
    <xf numFmtId="37" fontId="30" fillId="0" borderId="12" xfId="0" applyNumberFormat="1" applyFont="1" applyBorder="1"/>
    <xf numFmtId="0" fontId="30" fillId="0" borderId="75" xfId="0" applyFont="1" applyBorder="1"/>
    <xf numFmtId="0" fontId="31" fillId="0" borderId="70" xfId="0" applyFont="1" applyBorder="1"/>
    <xf numFmtId="173" fontId="31" fillId="0" borderId="24" xfId="0" applyNumberFormat="1" applyFont="1" applyBorder="1"/>
    <xf numFmtId="37" fontId="31" fillId="0" borderId="25" xfId="0" applyNumberFormat="1" applyFont="1" applyBorder="1"/>
    <xf numFmtId="173" fontId="31" fillId="0" borderId="23" xfId="0" applyNumberFormat="1" applyFont="1" applyBorder="1"/>
    <xf numFmtId="37" fontId="31" fillId="0" borderId="23" xfId="0" applyNumberFormat="1" applyFont="1" applyBorder="1"/>
    <xf numFmtId="173" fontId="31" fillId="0" borderId="15" xfId="0" applyNumberFormat="1" applyFont="1" applyBorder="1"/>
    <xf numFmtId="173" fontId="31" fillId="0" borderId="55" xfId="0" applyNumberFormat="1" applyFont="1" applyBorder="1"/>
    <xf numFmtId="0" fontId="30" fillId="0" borderId="19" xfId="0" applyFont="1" applyBorder="1"/>
    <xf numFmtId="0" fontId="55" fillId="0" borderId="22" xfId="0" applyFont="1" applyBorder="1"/>
    <xf numFmtId="173" fontId="31" fillId="0" borderId="19" xfId="0" applyNumberFormat="1" applyFont="1" applyBorder="1"/>
    <xf numFmtId="173" fontId="31" fillId="0" borderId="58" xfId="0" applyNumberFormat="1" applyFont="1" applyBorder="1"/>
    <xf numFmtId="173" fontId="30" fillId="0" borderId="22" xfId="0" applyNumberFormat="1" applyFont="1" applyBorder="1"/>
    <xf numFmtId="37" fontId="30" fillId="0" borderId="13" xfId="0" applyNumberFormat="1" applyFont="1" applyBorder="1"/>
    <xf numFmtId="0" fontId="31" fillId="3" borderId="82" xfId="0" applyFont="1" applyFill="1" applyBorder="1"/>
    <xf numFmtId="0" fontId="30" fillId="3" borderId="60" xfId="0" applyFont="1" applyFill="1" applyBorder="1" applyAlignment="1">
      <alignment horizontal="right"/>
    </xf>
    <xf numFmtId="0" fontId="30" fillId="3" borderId="60" xfId="0" applyFont="1" applyFill="1" applyBorder="1"/>
    <xf numFmtId="37" fontId="31" fillId="3" borderId="59" xfId="0" applyNumberFormat="1" applyFont="1" applyFill="1" applyBorder="1"/>
    <xf numFmtId="0" fontId="30" fillId="3" borderId="61" xfId="0" applyFont="1" applyFill="1" applyBorder="1" applyAlignment="1">
      <alignment horizontal="right"/>
    </xf>
    <xf numFmtId="0" fontId="31" fillId="3" borderId="61" xfId="0" applyFont="1" applyFill="1" applyBorder="1"/>
    <xf numFmtId="0" fontId="31" fillId="3" borderId="60" xfId="0" applyFont="1" applyFill="1" applyBorder="1"/>
    <xf numFmtId="37" fontId="31" fillId="3" borderId="83" xfId="0" applyNumberFormat="1" applyFont="1" applyFill="1" applyBorder="1"/>
    <xf numFmtId="1" fontId="30" fillId="0" borderId="12" xfId="0" applyNumberFormat="1" applyFont="1" applyBorder="1"/>
    <xf numFmtId="174" fontId="30" fillId="0" borderId="1" xfId="0" applyNumberFormat="1" applyFont="1" applyBorder="1"/>
    <xf numFmtId="173" fontId="30" fillId="0" borderId="15" xfId="0" applyNumberFormat="1" applyFont="1" applyBorder="1"/>
    <xf numFmtId="0" fontId="30" fillId="0" borderId="77" xfId="0" applyFont="1" applyBorder="1"/>
    <xf numFmtId="0" fontId="30" fillId="0" borderId="24" xfId="0" applyFont="1" applyBorder="1"/>
    <xf numFmtId="1" fontId="30" fillId="0" borderId="23" xfId="0" applyNumberFormat="1" applyFont="1" applyBorder="1"/>
    <xf numFmtId="37" fontId="30" fillId="0" borderId="23" xfId="0" applyNumberFormat="1" applyFont="1" applyBorder="1"/>
    <xf numFmtId="173" fontId="30" fillId="0" borderId="23" xfId="0" applyNumberFormat="1" applyFont="1" applyBorder="1"/>
    <xf numFmtId="37" fontId="30" fillId="0" borderId="25" xfId="0" applyNumberFormat="1" applyFont="1" applyBorder="1"/>
    <xf numFmtId="37" fontId="30" fillId="0" borderId="24" xfId="0" applyNumberFormat="1" applyFont="1" applyBorder="1"/>
    <xf numFmtId="174" fontId="30" fillId="0" borderId="22" xfId="0" applyNumberFormat="1" applyFont="1" applyBorder="1"/>
    <xf numFmtId="173" fontId="30" fillId="0" borderId="19" xfId="0" applyNumberFormat="1" applyFont="1" applyBorder="1"/>
    <xf numFmtId="2" fontId="30" fillId="0" borderId="22" xfId="0" applyNumberFormat="1" applyFont="1" applyBorder="1"/>
    <xf numFmtId="173" fontId="30" fillId="0" borderId="13" xfId="0" applyNumberFormat="1" applyFont="1" applyBorder="1"/>
    <xf numFmtId="173" fontId="31" fillId="0" borderId="12" xfId="0" applyNumberFormat="1" applyFont="1" applyBorder="1"/>
    <xf numFmtId="37" fontId="31" fillId="3" borderId="84" xfId="0" applyNumberFormat="1" applyFont="1" applyFill="1" applyBorder="1"/>
    <xf numFmtId="0" fontId="31" fillId="3" borderId="85" xfId="0" applyFont="1" applyFill="1" applyBorder="1"/>
    <xf numFmtId="0" fontId="31" fillId="3" borderId="31" xfId="0" applyFont="1" applyFill="1" applyBorder="1"/>
    <xf numFmtId="173" fontId="31" fillId="0" borderId="13" xfId="0" applyNumberFormat="1" applyFont="1" applyBorder="1"/>
    <xf numFmtId="175" fontId="30" fillId="0" borderId="1" xfId="0" applyNumberFormat="1" applyFont="1" applyBorder="1"/>
    <xf numFmtId="0" fontId="30" fillId="0" borderId="23" xfId="0" applyFont="1" applyBorder="1"/>
    <xf numFmtId="0" fontId="31" fillId="0" borderId="1" xfId="0" applyFont="1" applyBorder="1"/>
    <xf numFmtId="174" fontId="31" fillId="0" borderId="1" xfId="0" applyNumberFormat="1" applyFont="1" applyBorder="1"/>
    <xf numFmtId="37" fontId="31" fillId="0" borderId="12" xfId="0" applyNumberFormat="1" applyFont="1" applyBorder="1"/>
    <xf numFmtId="37" fontId="31" fillId="0" borderId="15" xfId="0" applyNumberFormat="1" applyFont="1" applyBorder="1"/>
    <xf numFmtId="37" fontId="31" fillId="0" borderId="55" xfId="0" applyNumberFormat="1" applyFont="1" applyBorder="1"/>
    <xf numFmtId="0" fontId="31" fillId="0" borderId="22" xfId="0" applyFont="1" applyBorder="1"/>
    <xf numFmtId="174" fontId="31" fillId="0" borderId="22" xfId="0" applyNumberFormat="1" applyFont="1" applyBorder="1"/>
    <xf numFmtId="0" fontId="31" fillId="0" borderId="13" xfId="0" applyFont="1" applyBorder="1"/>
    <xf numFmtId="37" fontId="31" fillId="0" borderId="13" xfId="0" applyNumberFormat="1" applyFont="1" applyBorder="1"/>
    <xf numFmtId="37" fontId="31" fillId="0" borderId="19" xfId="0" applyNumberFormat="1" applyFont="1" applyBorder="1"/>
    <xf numFmtId="37" fontId="31" fillId="0" borderId="58" xfId="0" applyNumberFormat="1" applyFont="1" applyBorder="1"/>
    <xf numFmtId="0" fontId="31" fillId="4" borderId="71" xfId="0" applyFont="1" applyFill="1" applyBorder="1"/>
    <xf numFmtId="173" fontId="57" fillId="0" borderId="12" xfId="0" applyNumberFormat="1" applyFont="1" applyBorder="1"/>
    <xf numFmtId="37" fontId="31" fillId="4" borderId="84" xfId="0" applyNumberFormat="1" applyFont="1" applyFill="1" applyBorder="1"/>
    <xf numFmtId="0" fontId="31" fillId="4" borderId="75" xfId="0" applyFont="1" applyFill="1" applyBorder="1"/>
    <xf numFmtId="0" fontId="31" fillId="0" borderId="77" xfId="0" applyFont="1" applyFill="1" applyBorder="1"/>
    <xf numFmtId="37" fontId="31" fillId="0" borderId="56" xfId="0" applyNumberFormat="1" applyFont="1" applyFill="1" applyBorder="1"/>
    <xf numFmtId="173" fontId="30" fillId="0" borderId="12" xfId="0" applyNumberFormat="1" applyFont="1" applyFill="1" applyBorder="1"/>
    <xf numFmtId="37" fontId="31" fillId="0" borderId="55" xfId="0" applyNumberFormat="1" applyFont="1" applyFill="1" applyBorder="1"/>
    <xf numFmtId="0" fontId="31" fillId="4" borderId="77" xfId="0" applyFont="1" applyFill="1" applyBorder="1"/>
    <xf numFmtId="37" fontId="31" fillId="4" borderId="56" xfId="0" applyNumberFormat="1" applyFont="1" applyFill="1" applyBorder="1"/>
    <xf numFmtId="0" fontId="31" fillId="0" borderId="70" xfId="0" applyFont="1" applyBorder="1" applyAlignment="1">
      <alignment horizontal="left"/>
    </xf>
    <xf numFmtId="0" fontId="30" fillId="0" borderId="55" xfId="0" applyFont="1" applyBorder="1"/>
    <xf numFmtId="0" fontId="30" fillId="0" borderId="24" xfId="0" applyFont="1" applyBorder="1" applyAlignment="1">
      <alignment horizontal="right"/>
    </xf>
    <xf numFmtId="0" fontId="30" fillId="0" borderId="23" xfId="0" applyFont="1" applyBorder="1" applyAlignment="1">
      <alignment horizontal="right"/>
    </xf>
    <xf numFmtId="0" fontId="30" fillId="0" borderId="24" xfId="0" applyFont="1" applyBorder="1" applyAlignment="1">
      <alignment horizontal="center"/>
    </xf>
    <xf numFmtId="0" fontId="30" fillId="0" borderId="13" xfId="0" applyFont="1" applyBorder="1" applyAlignment="1">
      <alignment horizontal="center"/>
    </xf>
    <xf numFmtId="0" fontId="30" fillId="0" borderId="19" xfId="0" applyFont="1" applyBorder="1" applyAlignment="1">
      <alignment horizontal="center"/>
    </xf>
    <xf numFmtId="0" fontId="30" fillId="0" borderId="22" xfId="0" applyFont="1" applyBorder="1" applyAlignment="1">
      <alignment horizontal="center"/>
    </xf>
    <xf numFmtId="0" fontId="30" fillId="0" borderId="58" xfId="0" applyFont="1" applyBorder="1" applyAlignment="1">
      <alignment horizontal="center"/>
    </xf>
    <xf numFmtId="3" fontId="30" fillId="0" borderId="55" xfId="0" applyNumberFormat="1" applyFont="1" applyBorder="1"/>
    <xf numFmtId="0" fontId="31" fillId="0" borderId="77" xfId="0" applyFont="1" applyBorder="1"/>
    <xf numFmtId="3" fontId="31" fillId="0" borderId="24" xfId="0" applyNumberFormat="1" applyFont="1" applyBorder="1"/>
    <xf numFmtId="3" fontId="31" fillId="0" borderId="25" xfId="0" applyNumberFormat="1" applyFont="1" applyBorder="1"/>
    <xf numFmtId="3" fontId="31" fillId="0" borderId="23" xfId="0" applyNumberFormat="1" applyFont="1" applyBorder="1"/>
    <xf numFmtId="3" fontId="31" fillId="0" borderId="56" xfId="0" applyNumberFormat="1" applyFont="1" applyBorder="1"/>
    <xf numFmtId="3" fontId="30" fillId="0" borderId="19" xfId="0" applyNumberFormat="1" applyFont="1" applyBorder="1"/>
    <xf numFmtId="3" fontId="30" fillId="0" borderId="13" xfId="0" applyNumberFormat="1" applyFont="1" applyBorder="1"/>
    <xf numFmtId="3" fontId="30" fillId="0" borderId="22" xfId="0" applyNumberFormat="1" applyFont="1" applyBorder="1"/>
    <xf numFmtId="3" fontId="31" fillId="0" borderId="13" xfId="0" applyNumberFormat="1" applyFont="1" applyBorder="1"/>
    <xf numFmtId="3" fontId="31" fillId="0" borderId="19" xfId="0" applyNumberFormat="1" applyFont="1" applyBorder="1"/>
    <xf numFmtId="3" fontId="31" fillId="0" borderId="58" xfId="0" applyNumberFormat="1" applyFont="1" applyBorder="1"/>
    <xf numFmtId="3" fontId="30" fillId="0" borderId="23" xfId="0" applyNumberFormat="1" applyFont="1" applyBorder="1"/>
    <xf numFmtId="173" fontId="56" fillId="11" borderId="86" xfId="0" applyNumberFormat="1" applyFont="1" applyFill="1" applyBorder="1"/>
    <xf numFmtId="37" fontId="30" fillId="0" borderId="22" xfId="0" applyNumberFormat="1" applyFont="1" applyBorder="1"/>
    <xf numFmtId="0" fontId="31" fillId="0" borderId="1" xfId="0" applyFont="1" applyBorder="1" applyAlignment="1">
      <alignment horizontal="center"/>
    </xf>
    <xf numFmtId="173" fontId="31" fillId="0" borderId="1" xfId="0" applyNumberFormat="1" applyFont="1" applyBorder="1"/>
    <xf numFmtId="0" fontId="31" fillId="0" borderId="12" xfId="0" applyFont="1" applyBorder="1" applyAlignment="1">
      <alignment horizontal="center"/>
    </xf>
    <xf numFmtId="3" fontId="30" fillId="0" borderId="24" xfId="0" applyNumberFormat="1" applyFont="1" applyBorder="1" applyAlignment="1">
      <alignment horizontal="center"/>
    </xf>
    <xf numFmtId="3" fontId="30" fillId="0" borderId="1" xfId="0" applyNumberFormat="1" applyFont="1" applyBorder="1" applyAlignment="1">
      <alignment horizontal="center"/>
    </xf>
    <xf numFmtId="3" fontId="30" fillId="0" borderId="15" xfId="0" applyNumberFormat="1" applyFont="1" applyBorder="1" applyAlignment="1">
      <alignment horizontal="center"/>
    </xf>
    <xf numFmtId="3" fontId="30" fillId="0" borderId="12" xfId="0" applyNumberFormat="1" applyFont="1" applyBorder="1" applyAlignment="1">
      <alignment horizontal="center"/>
    </xf>
    <xf numFmtId="3" fontId="30" fillId="0" borderId="55" xfId="0" applyNumberFormat="1" applyFont="1" applyBorder="1" applyAlignment="1">
      <alignment horizontal="center"/>
    </xf>
    <xf numFmtId="3" fontId="30" fillId="0" borderId="22" xfId="0" applyNumberFormat="1" applyFont="1" applyBorder="1" applyAlignment="1">
      <alignment horizontal="center"/>
    </xf>
    <xf numFmtId="3" fontId="30" fillId="0" borderId="13" xfId="0" applyNumberFormat="1" applyFont="1" applyBorder="1" applyAlignment="1">
      <alignment horizontal="center"/>
    </xf>
    <xf numFmtId="3" fontId="30" fillId="0" borderId="19" xfId="0" applyNumberFormat="1" applyFont="1" applyBorder="1" applyAlignment="1">
      <alignment horizontal="center"/>
    </xf>
    <xf numFmtId="3" fontId="30" fillId="0" borderId="58" xfId="0" applyNumberFormat="1" applyFont="1" applyBorder="1" applyAlignment="1">
      <alignment horizontal="center"/>
    </xf>
    <xf numFmtId="0" fontId="31" fillId="0" borderId="75" xfId="0" applyFont="1" applyBorder="1"/>
    <xf numFmtId="3" fontId="30" fillId="0" borderId="58" xfId="0" applyNumberFormat="1" applyFont="1" applyBorder="1"/>
    <xf numFmtId="3" fontId="30" fillId="0" borderId="24" xfId="0" applyNumberFormat="1" applyFont="1" applyBorder="1"/>
    <xf numFmtId="3" fontId="30" fillId="0" borderId="25" xfId="0" applyNumberFormat="1" applyFont="1" applyBorder="1"/>
    <xf numFmtId="3" fontId="30" fillId="0" borderId="56" xfId="0" applyNumberFormat="1" applyFont="1" applyBorder="1"/>
    <xf numFmtId="3" fontId="31" fillId="0" borderId="12" xfId="0" applyNumberFormat="1" applyFont="1" applyBorder="1"/>
    <xf numFmtId="0" fontId="31" fillId="4" borderId="70" xfId="0" applyFont="1" applyFill="1" applyBorder="1"/>
    <xf numFmtId="37" fontId="30" fillId="0" borderId="15" xfId="0" applyNumberFormat="1" applyFont="1" applyBorder="1" applyAlignment="1"/>
    <xf numFmtId="37" fontId="30" fillId="0" borderId="19" xfId="0" applyNumberFormat="1" applyFont="1" applyBorder="1" applyAlignment="1"/>
    <xf numFmtId="37" fontId="31" fillId="4" borderId="58" xfId="0" applyNumberFormat="1" applyFont="1" applyFill="1" applyBorder="1"/>
    <xf numFmtId="0" fontId="30" fillId="3" borderId="61" xfId="0" applyFont="1" applyFill="1" applyBorder="1"/>
    <xf numFmtId="0" fontId="39" fillId="0" borderId="1" xfId="0" applyFont="1" applyBorder="1" applyAlignment="1">
      <alignment horizontal="center" vertical="center"/>
    </xf>
    <xf numFmtId="0" fontId="28" fillId="0" borderId="1" xfId="0" applyFont="1" applyBorder="1" applyAlignment="1">
      <alignment horizontal="center"/>
    </xf>
    <xf numFmtId="0" fontId="28" fillId="0" borderId="1" xfId="0" applyFont="1" applyBorder="1"/>
    <xf numFmtId="0" fontId="30" fillId="0" borderId="87" xfId="0" applyFont="1" applyBorder="1" applyAlignment="1">
      <alignment horizontal="left"/>
    </xf>
    <xf numFmtId="0" fontId="31" fillId="0" borderId="88" xfId="0" applyFont="1" applyBorder="1" applyAlignment="1">
      <alignment horizontal="center" vertical="center"/>
    </xf>
    <xf numFmtId="0" fontId="30" fillId="0" borderId="32" xfId="0" applyFont="1" applyBorder="1" applyAlignment="1">
      <alignment horizontal="center"/>
    </xf>
    <xf numFmtId="0" fontId="30" fillId="0" borderId="33" xfId="0" applyFont="1" applyBorder="1" applyAlignment="1">
      <alignment horizontal="center"/>
    </xf>
    <xf numFmtId="0" fontId="30" fillId="0" borderId="34" xfId="0" applyFont="1" applyBorder="1" applyAlignment="1">
      <alignment horizontal="center"/>
    </xf>
    <xf numFmtId="0" fontId="33" fillId="0" borderId="22" xfId="0" applyFont="1" applyBorder="1"/>
    <xf numFmtId="37" fontId="33" fillId="0" borderId="32" xfId="0" applyNumberFormat="1" applyFont="1" applyBorder="1"/>
    <xf numFmtId="37" fontId="33" fillId="0" borderId="33" xfId="0" applyNumberFormat="1" applyFont="1" applyBorder="1"/>
    <xf numFmtId="37" fontId="33" fillId="0" borderId="22" xfId="0" applyNumberFormat="1" applyFont="1" applyBorder="1"/>
    <xf numFmtId="173" fontId="33" fillId="0" borderId="22" xfId="0" applyNumberFormat="1" applyFont="1" applyBorder="1"/>
    <xf numFmtId="37" fontId="33" fillId="0" borderId="34" xfId="0" applyNumberFormat="1" applyFont="1" applyBorder="1"/>
    <xf numFmtId="173" fontId="33" fillId="0" borderId="58" xfId="0" applyNumberFormat="1" applyFont="1" applyBorder="1"/>
    <xf numFmtId="0" fontId="39" fillId="3" borderId="75" xfId="0" applyFont="1" applyFill="1" applyBorder="1"/>
    <xf numFmtId="173" fontId="39" fillId="3" borderId="58" xfId="0" applyNumberFormat="1" applyFont="1" applyFill="1" applyBorder="1"/>
    <xf numFmtId="0" fontId="39" fillId="0" borderId="70" xfId="0" applyFont="1" applyBorder="1"/>
    <xf numFmtId="0" fontId="33" fillId="0" borderId="1" xfId="0" applyFont="1" applyBorder="1"/>
    <xf numFmtId="37" fontId="33" fillId="0" borderId="39" xfId="0" applyNumberFormat="1" applyFont="1" applyBorder="1"/>
    <xf numFmtId="37" fontId="33" fillId="0" borderId="1" xfId="0" applyNumberFormat="1" applyFont="1" applyBorder="1"/>
    <xf numFmtId="173" fontId="33" fillId="0" borderId="1" xfId="0" applyNumberFormat="1" applyFont="1" applyBorder="1"/>
    <xf numFmtId="37" fontId="33" fillId="0" borderId="41" xfId="0" applyNumberFormat="1" applyFont="1" applyBorder="1"/>
    <xf numFmtId="0" fontId="33" fillId="0" borderId="1" xfId="0" applyFont="1" applyBorder="1" applyAlignment="1">
      <alignment horizontal="right"/>
    </xf>
    <xf numFmtId="174" fontId="33" fillId="0" borderId="1" xfId="0" applyNumberFormat="1" applyFont="1" applyBorder="1"/>
    <xf numFmtId="0" fontId="33" fillId="0" borderId="39" xfId="0" applyFont="1" applyBorder="1"/>
    <xf numFmtId="0" fontId="33" fillId="0" borderId="22" xfId="0" applyFont="1" applyBorder="1" applyAlignment="1">
      <alignment horizontal="right"/>
    </xf>
    <xf numFmtId="174" fontId="33" fillId="0" borderId="22" xfId="0" applyNumberFormat="1" applyFont="1" applyBorder="1"/>
    <xf numFmtId="0" fontId="33" fillId="0" borderId="33" xfId="0" applyFont="1" applyBorder="1"/>
    <xf numFmtId="173" fontId="33" fillId="0" borderId="32" xfId="0" applyNumberFormat="1" applyFont="1" applyBorder="1"/>
    <xf numFmtId="0" fontId="39" fillId="3" borderId="76" xfId="0" applyFont="1" applyFill="1" applyBorder="1"/>
    <xf numFmtId="0" fontId="33" fillId="0" borderId="24" xfId="0" applyFont="1" applyBorder="1" applyAlignment="1">
      <alignment horizontal="right"/>
    </xf>
    <xf numFmtId="0" fontId="33" fillId="0" borderId="24" xfId="0" applyFont="1" applyBorder="1"/>
    <xf numFmtId="37" fontId="33" fillId="0" borderId="37" xfId="0" applyNumberFormat="1" applyFont="1" applyBorder="1"/>
    <xf numFmtId="0" fontId="33" fillId="0" borderId="38" xfId="0" applyFont="1" applyBorder="1"/>
    <xf numFmtId="174" fontId="33" fillId="0" borderId="24" xfId="0" applyNumberFormat="1" applyFont="1" applyBorder="1"/>
    <xf numFmtId="37" fontId="33" fillId="0" borderId="24" xfId="0" applyNumberFormat="1" applyFont="1" applyBorder="1"/>
    <xf numFmtId="173" fontId="33" fillId="0" borderId="24" xfId="0" applyNumberFormat="1" applyFont="1" applyBorder="1"/>
    <xf numFmtId="37" fontId="33" fillId="0" borderId="42" xfId="0" applyNumberFormat="1" applyFont="1" applyBorder="1"/>
    <xf numFmtId="173" fontId="39" fillId="0" borderId="1" xfId="0" applyNumberFormat="1" applyFont="1" applyBorder="1"/>
    <xf numFmtId="0" fontId="39" fillId="0" borderId="1" xfId="0" applyFont="1" applyBorder="1"/>
    <xf numFmtId="173" fontId="33" fillId="0" borderId="37" xfId="0" applyNumberFormat="1" applyFont="1" applyBorder="1"/>
    <xf numFmtId="0" fontId="33" fillId="0" borderId="41" xfId="0" applyFont="1" applyBorder="1"/>
    <xf numFmtId="173" fontId="33" fillId="0" borderId="92" xfId="0" applyNumberFormat="1" applyFont="1" applyBorder="1"/>
    <xf numFmtId="0" fontId="33" fillId="0" borderId="1" xfId="0" applyFont="1" applyFill="1" applyBorder="1"/>
    <xf numFmtId="37" fontId="33" fillId="0" borderId="1" xfId="0" applyNumberFormat="1" applyFont="1" applyFill="1" applyBorder="1"/>
    <xf numFmtId="173" fontId="33" fillId="0" borderId="37" xfId="0" applyNumberFormat="1" applyFont="1" applyFill="1" applyBorder="1"/>
    <xf numFmtId="37" fontId="33" fillId="0" borderId="49" xfId="0" applyNumberFormat="1" applyFont="1" applyFill="1" applyBorder="1"/>
    <xf numFmtId="0" fontId="39" fillId="4" borderId="77" xfId="0" applyFont="1" applyFill="1" applyBorder="1"/>
    <xf numFmtId="173" fontId="33" fillId="0" borderId="83" xfId="0" applyNumberFormat="1" applyFont="1" applyBorder="1"/>
    <xf numFmtId="0" fontId="39" fillId="3" borderId="78" xfId="0" applyFont="1" applyFill="1" applyBorder="1"/>
    <xf numFmtId="0" fontId="39" fillId="3" borderId="64" xfId="0" applyFont="1" applyFill="1" applyBorder="1"/>
    <xf numFmtId="0" fontId="39" fillId="3" borderId="64" xfId="0" applyFont="1" applyFill="1" applyBorder="1" applyAlignment="1">
      <alignment horizontal="center"/>
    </xf>
    <xf numFmtId="173" fontId="39" fillId="3" borderId="64" xfId="0" applyNumberFormat="1" applyFont="1" applyFill="1" applyBorder="1"/>
    <xf numFmtId="37" fontId="39" fillId="3" borderId="93" xfId="0" applyNumberFormat="1" applyFont="1" applyFill="1" applyBorder="1"/>
    <xf numFmtId="37" fontId="39" fillId="3" borderId="94" xfId="0" applyNumberFormat="1" applyFont="1" applyFill="1" applyBorder="1"/>
    <xf numFmtId="0" fontId="39" fillId="3" borderId="94" xfId="0" applyFont="1" applyFill="1" applyBorder="1" applyAlignment="1">
      <alignment horizontal="center"/>
    </xf>
    <xf numFmtId="173" fontId="39" fillId="3" borderId="86" xfId="0" applyNumberFormat="1" applyFont="1" applyFill="1" applyBorder="1"/>
    <xf numFmtId="0" fontId="39" fillId="3" borderId="95" xfId="0" applyFont="1" applyFill="1" applyBorder="1"/>
    <xf numFmtId="0" fontId="39" fillId="3" borderId="96" xfId="0" applyFont="1" applyFill="1" applyBorder="1"/>
    <xf numFmtId="0" fontId="39" fillId="3" borderId="96" xfId="0" applyFont="1" applyFill="1" applyBorder="1" applyAlignment="1">
      <alignment horizontal="center"/>
    </xf>
    <xf numFmtId="173" fontId="39" fillId="3" borderId="96" xfId="0" applyNumberFormat="1" applyFont="1" applyFill="1" applyBorder="1"/>
    <xf numFmtId="37" fontId="39" fillId="3" borderId="97" xfId="0" applyNumberFormat="1" applyFont="1" applyFill="1" applyBorder="1"/>
    <xf numFmtId="37" fontId="39" fillId="3" borderId="96" xfId="0" applyNumberFormat="1" applyFont="1" applyFill="1" applyBorder="1"/>
    <xf numFmtId="37" fontId="39" fillId="3" borderId="98" xfId="0" applyNumberFormat="1" applyFont="1" applyFill="1" applyBorder="1"/>
    <xf numFmtId="37" fontId="39" fillId="3" borderId="99" xfId="0" applyNumberFormat="1" applyFont="1" applyFill="1" applyBorder="1"/>
    <xf numFmtId="37" fontId="39" fillId="3" borderId="88" xfId="0" applyNumberFormat="1" applyFont="1" applyFill="1" applyBorder="1"/>
    <xf numFmtId="173" fontId="39" fillId="3" borderId="91" xfId="0" applyNumberFormat="1" applyFont="1" applyFill="1" applyBorder="1"/>
    <xf numFmtId="0" fontId="38" fillId="0" borderId="70" xfId="0" applyFont="1" applyBorder="1"/>
    <xf numFmtId="0" fontId="38" fillId="0" borderId="41" xfId="0" applyFont="1" applyBorder="1"/>
    <xf numFmtId="0" fontId="38" fillId="0" borderId="55" xfId="0" applyFont="1" applyBorder="1"/>
    <xf numFmtId="0" fontId="28" fillId="0" borderId="41" xfId="0" applyFont="1" applyBorder="1"/>
    <xf numFmtId="173" fontId="39" fillId="3" borderId="81" xfId="0" applyNumberFormat="1" applyFont="1" applyFill="1" applyBorder="1"/>
    <xf numFmtId="0" fontId="31" fillId="0" borderId="15" xfId="0" applyFont="1" applyFill="1" applyBorder="1"/>
    <xf numFmtId="173" fontId="60" fillId="0" borderId="12" xfId="1" applyNumberFormat="1" applyFont="1" applyFill="1" applyBorder="1"/>
    <xf numFmtId="3" fontId="30" fillId="0" borderId="55" xfId="0" applyNumberFormat="1" applyFont="1" applyFill="1" applyBorder="1"/>
    <xf numFmtId="3" fontId="60" fillId="0" borderId="55" xfId="0" applyNumberFormat="1" applyFont="1" applyFill="1" applyBorder="1"/>
    <xf numFmtId="0" fontId="29" fillId="0" borderId="0" xfId="0" applyFont="1" applyFill="1"/>
    <xf numFmtId="0" fontId="0" fillId="0" borderId="0" xfId="0" applyFont="1" applyFill="1" applyAlignment="1"/>
    <xf numFmtId="0" fontId="34" fillId="0" borderId="0" xfId="0" applyFont="1" applyFill="1"/>
    <xf numFmtId="0" fontId="22" fillId="0" borderId="0" xfId="0" applyFont="1" applyFill="1"/>
    <xf numFmtId="0" fontId="36" fillId="0" borderId="0" xfId="0" applyFont="1" applyFill="1"/>
    <xf numFmtId="39" fontId="30" fillId="0" borderId="0" xfId="0" applyNumberFormat="1" applyFont="1" applyFill="1"/>
    <xf numFmtId="0" fontId="28" fillId="0" borderId="0" xfId="0" applyFont="1" applyFill="1"/>
    <xf numFmtId="0" fontId="27" fillId="0" borderId="0" xfId="0" applyFont="1" applyFill="1"/>
    <xf numFmtId="0" fontId="27" fillId="0" borderId="1" xfId="0" applyFont="1" applyFill="1" applyBorder="1"/>
    <xf numFmtId="0" fontId="28" fillId="0" borderId="1" xfId="0" applyFont="1" applyFill="1" applyBorder="1"/>
    <xf numFmtId="0" fontId="37" fillId="0" borderId="0" xfId="0" applyFont="1" applyFill="1"/>
    <xf numFmtId="37" fontId="31" fillId="0" borderId="0" xfId="0" applyNumberFormat="1" applyFont="1" applyFill="1"/>
    <xf numFmtId="0" fontId="35" fillId="0" borderId="0" xfId="0" applyFont="1" applyFill="1"/>
    <xf numFmtId="173" fontId="30" fillId="0" borderId="0" xfId="0" applyNumberFormat="1" applyFont="1" applyFill="1"/>
    <xf numFmtId="173" fontId="31" fillId="0" borderId="0" xfId="0" applyNumberFormat="1" applyFont="1" applyFill="1"/>
    <xf numFmtId="37" fontId="28" fillId="0" borderId="1" xfId="0" applyNumberFormat="1" applyFont="1" applyFill="1" applyBorder="1"/>
    <xf numFmtId="0" fontId="27" fillId="0" borderId="0" xfId="0" applyFont="1" applyFill="1" applyAlignment="1">
      <alignment horizontal="center" vertical="center"/>
    </xf>
    <xf numFmtId="0" fontId="31" fillId="0" borderId="0" xfId="0" applyFont="1" applyFill="1" applyAlignment="1">
      <alignment horizontal="center"/>
    </xf>
    <xf numFmtId="0" fontId="30" fillId="0" borderId="0" xfId="0" applyFont="1" applyFill="1" applyAlignment="1">
      <alignment horizontal="center"/>
    </xf>
    <xf numFmtId="0" fontId="27" fillId="0" borderId="1" xfId="0" applyFont="1" applyFill="1" applyBorder="1" applyAlignment="1">
      <alignment horizontal="center" vertical="center"/>
    </xf>
    <xf numFmtId="0" fontId="31" fillId="0" borderId="1" xfId="0" applyFont="1" applyFill="1" applyBorder="1" applyAlignment="1">
      <alignment horizontal="center"/>
    </xf>
    <xf numFmtId="0" fontId="30" fillId="0" borderId="1" xfId="0" applyFont="1" applyFill="1" applyBorder="1" applyAlignment="1">
      <alignment horizontal="center"/>
    </xf>
    <xf numFmtId="173" fontId="30" fillId="0" borderId="1" xfId="0" applyNumberFormat="1" applyFont="1" applyFill="1" applyBorder="1"/>
    <xf numFmtId="0" fontId="38" fillId="0" borderId="0" xfId="0" applyFont="1" applyFill="1"/>
    <xf numFmtId="0" fontId="58" fillId="0" borderId="0" xfId="0" applyFont="1"/>
    <xf numFmtId="170" fontId="24" fillId="0" borderId="1" xfId="0" applyNumberFormat="1" applyFont="1" applyBorder="1"/>
    <xf numFmtId="170" fontId="26" fillId="0" borderId="1" xfId="0" applyNumberFormat="1" applyFont="1" applyBorder="1"/>
    <xf numFmtId="170" fontId="25" fillId="0" borderId="1" xfId="0" applyNumberFormat="1" applyFont="1" applyFill="1" applyBorder="1"/>
    <xf numFmtId="0" fontId="25" fillId="0" borderId="1" xfId="0" applyFont="1" applyFill="1" applyBorder="1"/>
    <xf numFmtId="170" fontId="24" fillId="0" borderId="1" xfId="0" applyNumberFormat="1" applyFont="1" applyFill="1" applyBorder="1"/>
    <xf numFmtId="170" fontId="26" fillId="0" borderId="1" xfId="0" applyNumberFormat="1" applyFont="1" applyFill="1" applyBorder="1"/>
    <xf numFmtId="0" fontId="20" fillId="0" borderId="0" xfId="0" applyFont="1" applyFill="1"/>
    <xf numFmtId="173" fontId="39" fillId="3" borderId="100" xfId="0" applyNumberFormat="1" applyFont="1" applyFill="1" applyBorder="1"/>
    <xf numFmtId="0" fontId="30" fillId="0" borderId="101" xfId="0" applyFont="1" applyBorder="1"/>
    <xf numFmtId="3" fontId="57" fillId="0" borderId="13" xfId="0" applyNumberFormat="1" applyFont="1" applyBorder="1"/>
    <xf numFmtId="3" fontId="57" fillId="0" borderId="22" xfId="0" applyNumberFormat="1" applyFont="1" applyBorder="1"/>
    <xf numFmtId="0" fontId="60" fillId="0" borderId="70" xfId="0" applyFont="1" applyBorder="1"/>
    <xf numFmtId="0" fontId="58" fillId="9" borderId="1" xfId="0" applyFont="1" applyFill="1" applyBorder="1"/>
    <xf numFmtId="0" fontId="61" fillId="0" borderId="77" xfId="0" applyFont="1" applyBorder="1"/>
    <xf numFmtId="4" fontId="62" fillId="0" borderId="0" xfId="0" applyNumberFormat="1" applyFont="1" applyAlignment="1">
      <alignment horizontal="center" vertical="top"/>
    </xf>
    <xf numFmtId="3" fontId="55" fillId="0" borderId="15" xfId="0" applyNumberFormat="1" applyFont="1" applyBorder="1"/>
    <xf numFmtId="3" fontId="39" fillId="3" borderId="17" xfId="0" applyNumberFormat="1" applyFont="1" applyFill="1" applyBorder="1" applyAlignment="1">
      <alignment horizontal="center"/>
    </xf>
    <xf numFmtId="39" fontId="51" fillId="10" borderId="44" xfId="0" applyNumberFormat="1" applyFont="1" applyFill="1" applyBorder="1" applyAlignment="1">
      <alignment horizontal="left" vertical="top"/>
    </xf>
    <xf numFmtId="37" fontId="39" fillId="12" borderId="17" xfId="0" applyNumberFormat="1" applyFont="1" applyFill="1" applyBorder="1"/>
    <xf numFmtId="0" fontId="20" fillId="0" borderId="102" xfId="0" applyFont="1" applyBorder="1"/>
    <xf numFmtId="170" fontId="63" fillId="0" borderId="50" xfId="0" applyNumberFormat="1" applyFont="1" applyBorder="1"/>
    <xf numFmtId="167" fontId="24" fillId="0" borderId="7" xfId="0" applyNumberFormat="1" applyFont="1" applyBorder="1"/>
    <xf numFmtId="167" fontId="25" fillId="3" borderId="9" xfId="0" applyNumberFormat="1" applyFont="1" applyFill="1" applyBorder="1"/>
    <xf numFmtId="167" fontId="25" fillId="3" borderId="11" xfId="0" applyNumberFormat="1" applyFont="1" applyFill="1" applyBorder="1"/>
    <xf numFmtId="167" fontId="26" fillId="0" borderId="5" xfId="0" applyNumberFormat="1" applyFont="1" applyBorder="1"/>
    <xf numFmtId="167" fontId="20" fillId="0" borderId="7" xfId="0" applyNumberFormat="1" applyFont="1" applyBorder="1"/>
    <xf numFmtId="167" fontId="24" fillId="0" borderId="51" xfId="0" applyNumberFormat="1" applyFont="1" applyBorder="1"/>
    <xf numFmtId="167" fontId="26" fillId="0" borderId="51" xfId="0" applyNumberFormat="1" applyFont="1" applyBorder="1"/>
    <xf numFmtId="167" fontId="24" fillId="0" borderId="3" xfId="0" applyNumberFormat="1" applyFont="1" applyBorder="1"/>
    <xf numFmtId="0" fontId="30" fillId="0" borderId="13" xfId="0" applyFont="1" applyBorder="1" applyAlignment="1"/>
    <xf numFmtId="3" fontId="30" fillId="0" borderId="12" xfId="0" applyNumberFormat="1" applyFont="1" applyBorder="1" applyAlignment="1"/>
    <xf numFmtId="0" fontId="0" fillId="0" borderId="0" xfId="0" applyFont="1" applyAlignment="1"/>
    <xf numFmtId="39" fontId="51" fillId="10" borderId="1" xfId="0" applyNumberFormat="1" applyFont="1" applyFill="1" applyBorder="1" applyAlignment="1">
      <alignment horizontal="left" vertical="top"/>
    </xf>
    <xf numFmtId="4" fontId="20" fillId="13" borderId="0" xfId="0" applyNumberFormat="1" applyFont="1" applyFill="1" applyAlignment="1">
      <alignment horizontal="center" vertical="top"/>
    </xf>
    <xf numFmtId="39" fontId="55" fillId="0" borderId="103" xfId="0" applyNumberFormat="1" applyFont="1" applyBorder="1"/>
    <xf numFmtId="169" fontId="48" fillId="0" borderId="0" xfId="0" applyNumberFormat="1" applyFont="1" applyAlignment="1">
      <alignment horizontal="center" vertical="top"/>
    </xf>
    <xf numFmtId="169" fontId="20" fillId="0" borderId="0" xfId="0" applyNumberFormat="1" applyFont="1" applyAlignment="1">
      <alignment horizontal="center" vertical="top"/>
    </xf>
    <xf numFmtId="169" fontId="62" fillId="0" borderId="0" xfId="0" applyNumberFormat="1" applyFont="1" applyAlignment="1">
      <alignment horizontal="center" vertical="top"/>
    </xf>
    <xf numFmtId="169" fontId="20" fillId="13" borderId="0" xfId="0" applyNumberFormat="1" applyFont="1" applyFill="1" applyAlignment="1">
      <alignment horizontal="center" vertical="top"/>
    </xf>
    <xf numFmtId="169" fontId="0" fillId="0" borderId="0" xfId="0" applyNumberFormat="1" applyFont="1" applyAlignment="1"/>
    <xf numFmtId="49" fontId="20" fillId="15" borderId="0" xfId="0" applyNumberFormat="1" applyFont="1" applyFill="1" applyAlignment="1">
      <alignment horizontal="left" vertical="top"/>
    </xf>
    <xf numFmtId="169" fontId="20" fillId="15" borderId="0" xfId="0" applyNumberFormat="1" applyFont="1" applyFill="1" applyAlignment="1">
      <alignment horizontal="center" vertical="top"/>
    </xf>
    <xf numFmtId="4" fontId="20" fillId="15" borderId="0" xfId="0" applyNumberFormat="1" applyFont="1" applyFill="1" applyAlignment="1">
      <alignment horizontal="center" vertical="top"/>
    </xf>
    <xf numFmtId="37" fontId="31" fillId="3" borderId="17" xfId="0" applyNumberFormat="1" applyFont="1" applyFill="1" applyBorder="1"/>
    <xf numFmtId="0" fontId="30" fillId="3" borderId="20" xfId="0" applyFont="1" applyFill="1" applyBorder="1"/>
    <xf numFmtId="0" fontId="18" fillId="0" borderId="1" xfId="2"/>
    <xf numFmtId="0" fontId="64" fillId="0" borderId="1" xfId="2" applyFont="1"/>
    <xf numFmtId="0" fontId="64" fillId="0" borderId="1" xfId="2" applyFont="1" applyAlignment="1">
      <alignment horizontal="center"/>
    </xf>
    <xf numFmtId="0" fontId="65" fillId="0" borderId="1" xfId="2" applyFont="1"/>
    <xf numFmtId="172" fontId="66" fillId="0" borderId="1" xfId="2" applyNumberFormat="1" applyFont="1" applyAlignment="1">
      <alignment horizontal="left"/>
    </xf>
    <xf numFmtId="0" fontId="66" fillId="0" borderId="1" xfId="2" applyFont="1"/>
    <xf numFmtId="0" fontId="67" fillId="0" borderId="1" xfId="2" applyFont="1"/>
    <xf numFmtId="0" fontId="55" fillId="0" borderId="1" xfId="2" applyFont="1"/>
    <xf numFmtId="0" fontId="68" fillId="0" borderId="1" xfId="2" applyFont="1"/>
    <xf numFmtId="0" fontId="69" fillId="0" borderId="1" xfId="2" applyFont="1"/>
    <xf numFmtId="0" fontId="70" fillId="0" borderId="1" xfId="2" applyFont="1"/>
    <xf numFmtId="0" fontId="72" fillId="16" borderId="1" xfId="2" applyFont="1" applyFill="1"/>
    <xf numFmtId="0" fontId="70" fillId="16" borderId="1" xfId="2" applyFont="1" applyFill="1"/>
    <xf numFmtId="0" fontId="73" fillId="16" borderId="1" xfId="2" applyFont="1" applyFill="1"/>
    <xf numFmtId="0" fontId="74" fillId="16" borderId="1" xfId="2" applyFont="1" applyFill="1" applyAlignment="1">
      <alignment horizontal="centerContinuous" vertical="center"/>
    </xf>
    <xf numFmtId="0" fontId="70" fillId="16" borderId="1" xfId="2" applyFont="1" applyFill="1" applyAlignment="1">
      <alignment horizontal="centerContinuous" vertical="center"/>
    </xf>
    <xf numFmtId="0" fontId="72" fillId="16" borderId="1" xfId="2" applyFont="1" applyFill="1" applyAlignment="1">
      <alignment horizontal="centerContinuous"/>
    </xf>
    <xf numFmtId="0" fontId="70" fillId="16" borderId="1" xfId="2" applyFont="1" applyFill="1" applyAlignment="1">
      <alignment horizontal="centerContinuous"/>
    </xf>
    <xf numFmtId="0" fontId="75" fillId="16" borderId="1" xfId="2" applyFont="1" applyFill="1" applyAlignment="1">
      <alignment horizontal="center"/>
    </xf>
    <xf numFmtId="173" fontId="70" fillId="16" borderId="1" xfId="2" applyNumberFormat="1" applyFont="1" applyFill="1"/>
    <xf numFmtId="37" fontId="70" fillId="16" borderId="1" xfId="2" applyNumberFormat="1" applyFont="1" applyFill="1"/>
    <xf numFmtId="173" fontId="72" fillId="16" borderId="1" xfId="2" applyNumberFormat="1" applyFont="1" applyFill="1"/>
    <xf numFmtId="37" fontId="72" fillId="16" borderId="1" xfId="2" applyNumberFormat="1" applyFont="1" applyFill="1"/>
    <xf numFmtId="0" fontId="76" fillId="16" borderId="1" xfId="2" applyFont="1" applyFill="1"/>
    <xf numFmtId="0" fontId="75" fillId="16" borderId="1" xfId="2" applyFont="1" applyFill="1" applyAlignment="1">
      <alignment horizontal="centerContinuous"/>
    </xf>
    <xf numFmtId="0" fontId="75" fillId="16" borderId="1" xfId="2" applyFont="1" applyFill="1" applyAlignment="1">
      <alignment horizontal="left"/>
    </xf>
    <xf numFmtId="0" fontId="77" fillId="16" borderId="1" xfId="2" applyFont="1" applyFill="1" applyProtection="1">
      <protection locked="0"/>
    </xf>
    <xf numFmtId="0" fontId="70" fillId="16" borderId="1" xfId="2" applyFont="1" applyFill="1" applyAlignment="1">
      <alignment horizontal="center"/>
    </xf>
    <xf numFmtId="0" fontId="78" fillId="16" borderId="1" xfId="2" applyFont="1" applyFill="1" applyAlignment="1">
      <alignment horizontal="centerContinuous"/>
    </xf>
    <xf numFmtId="0" fontId="72" fillId="16" borderId="1" xfId="2" applyFont="1" applyFill="1" applyAlignment="1">
      <alignment horizontal="left"/>
    </xf>
    <xf numFmtId="0" fontId="18" fillId="0" borderId="1" xfId="2" applyAlignment="1">
      <alignment horizontal="center"/>
    </xf>
    <xf numFmtId="0" fontId="79" fillId="0" borderId="1" xfId="2" applyFont="1" applyBorder="1" applyAlignment="1">
      <alignment horizontal="center"/>
    </xf>
    <xf numFmtId="0" fontId="64" fillId="13" borderId="54" xfId="2" applyFont="1" applyFill="1" applyBorder="1" applyAlignment="1">
      <alignment horizontal="center"/>
    </xf>
    <xf numFmtId="0" fontId="67" fillId="0" borderId="1" xfId="2" applyFont="1" applyAlignment="1">
      <alignment horizontal="center"/>
    </xf>
    <xf numFmtId="0" fontId="29" fillId="0" borderId="0" xfId="0" applyFont="1" applyAlignment="1">
      <alignment horizontal="center"/>
    </xf>
    <xf numFmtId="0" fontId="18" fillId="0" borderId="1" xfId="2" applyFill="1" applyAlignment="1">
      <alignment horizontal="center"/>
    </xf>
    <xf numFmtId="0" fontId="79" fillId="0" borderId="1" xfId="2" applyFont="1" applyFill="1" applyBorder="1" applyAlignment="1">
      <alignment horizontal="center"/>
    </xf>
    <xf numFmtId="0" fontId="64" fillId="0" borderId="1" xfId="2" applyFont="1" applyFill="1" applyBorder="1" applyAlignment="1">
      <alignment horizontal="center"/>
    </xf>
    <xf numFmtId="0" fontId="18" fillId="0" borderId="1" xfId="2" applyFill="1"/>
    <xf numFmtId="0" fontId="29" fillId="17" borderId="0" xfId="0" applyFont="1" applyFill="1"/>
    <xf numFmtId="173" fontId="30" fillId="0" borderId="1" xfId="1" applyNumberFormat="1" applyFont="1" applyFill="1" applyBorder="1"/>
    <xf numFmtId="173" fontId="31" fillId="0" borderId="9" xfId="0" applyNumberFormat="1" applyFont="1" applyFill="1" applyBorder="1"/>
    <xf numFmtId="3" fontId="30" fillId="0" borderId="22" xfId="0" applyNumberFormat="1" applyFont="1" applyBorder="1" applyAlignment="1">
      <alignment horizontal="right"/>
    </xf>
    <xf numFmtId="0" fontId="80" fillId="0" borderId="0" xfId="0" applyFont="1" applyAlignment="1"/>
    <xf numFmtId="0" fontId="32" fillId="0" borderId="0" xfId="0" applyFont="1" applyAlignment="1"/>
    <xf numFmtId="3" fontId="30" fillId="0" borderId="167" xfId="0" applyNumberFormat="1" applyFont="1" applyBorder="1"/>
    <xf numFmtId="3" fontId="30" fillId="0" borderId="168" xfId="0" applyNumberFormat="1" applyFont="1" applyBorder="1"/>
    <xf numFmtId="3" fontId="30" fillId="0" borderId="169" xfId="0" applyNumberFormat="1" applyFont="1" applyBorder="1"/>
    <xf numFmtId="3" fontId="30" fillId="0" borderId="24" xfId="0" applyNumberFormat="1" applyFont="1" applyFill="1" applyBorder="1"/>
    <xf numFmtId="3" fontId="30" fillId="0" borderId="25" xfId="0" applyNumberFormat="1" applyFont="1" applyFill="1" applyBorder="1"/>
    <xf numFmtId="0" fontId="81" fillId="0" borderId="0" xfId="0" applyFont="1" applyAlignment="1"/>
    <xf numFmtId="0" fontId="55" fillId="0" borderId="108" xfId="0" applyFont="1" applyBorder="1"/>
    <xf numFmtId="173" fontId="39" fillId="3" borderId="57" xfId="0" applyNumberFormat="1" applyFont="1" applyFill="1" applyBorder="1"/>
    <xf numFmtId="0" fontId="17" fillId="0" borderId="1" xfId="3"/>
    <xf numFmtId="0" fontId="82" fillId="0" borderId="172" xfId="3" applyFont="1" applyBorder="1"/>
    <xf numFmtId="0" fontId="17" fillId="0" borderId="172" xfId="3" applyBorder="1"/>
    <xf numFmtId="0" fontId="17" fillId="0" borderId="172" xfId="3" applyBorder="1" applyAlignment="1">
      <alignment horizontal="left" indent="1"/>
    </xf>
    <xf numFmtId="0" fontId="82" fillId="0" borderId="189" xfId="3" applyFont="1" applyBorder="1"/>
    <xf numFmtId="0" fontId="82" fillId="18" borderId="170" xfId="3" applyFont="1" applyFill="1" applyBorder="1" applyAlignment="1">
      <alignment horizontal="center"/>
    </xf>
    <xf numFmtId="0" fontId="82" fillId="18" borderId="177" xfId="3" applyFont="1" applyFill="1" applyBorder="1" applyAlignment="1">
      <alignment horizontal="center"/>
    </xf>
    <xf numFmtId="0" fontId="82" fillId="18" borderId="178" xfId="3" applyFont="1" applyFill="1" applyBorder="1" applyAlignment="1">
      <alignment horizontal="center"/>
    </xf>
    <xf numFmtId="0" fontId="82" fillId="18" borderId="127" xfId="3" applyFont="1" applyFill="1" applyBorder="1" applyAlignment="1">
      <alignment horizontal="center"/>
    </xf>
    <xf numFmtId="0" fontId="82" fillId="18" borderId="171" xfId="3" applyFont="1" applyFill="1" applyBorder="1" applyAlignment="1">
      <alignment horizontal="center"/>
    </xf>
    <xf numFmtId="0" fontId="82" fillId="19" borderId="170" xfId="3" applyFont="1" applyFill="1" applyBorder="1" applyAlignment="1">
      <alignment horizontal="center"/>
    </xf>
    <xf numFmtId="0" fontId="82" fillId="19" borderId="177" xfId="3" applyFont="1" applyFill="1" applyBorder="1" applyAlignment="1">
      <alignment horizontal="center"/>
    </xf>
    <xf numFmtId="0" fontId="82" fillId="19" borderId="178" xfId="3" applyFont="1" applyFill="1" applyBorder="1" applyAlignment="1">
      <alignment horizontal="center"/>
    </xf>
    <xf numFmtId="0" fontId="82" fillId="19" borderId="179" xfId="3" applyFont="1" applyFill="1" applyBorder="1" applyAlignment="1">
      <alignment horizontal="center"/>
    </xf>
    <xf numFmtId="0" fontId="82" fillId="19" borderId="127" xfId="3" applyFont="1" applyFill="1" applyBorder="1" applyAlignment="1">
      <alignment horizontal="center"/>
    </xf>
    <xf numFmtId="0" fontId="82" fillId="19" borderId="171" xfId="3" applyFont="1" applyFill="1" applyBorder="1" applyAlignment="1">
      <alignment horizontal="center"/>
    </xf>
    <xf numFmtId="0" fontId="17" fillId="0" borderId="1" xfId="3" applyAlignment="1">
      <alignment horizontal="center"/>
    </xf>
    <xf numFmtId="0" fontId="82" fillId="11" borderId="170" xfId="3" applyFont="1" applyFill="1" applyBorder="1" applyAlignment="1">
      <alignment horizontal="center"/>
    </xf>
    <xf numFmtId="0" fontId="82" fillId="11" borderId="177" xfId="3" applyFont="1" applyFill="1" applyBorder="1" applyAlignment="1">
      <alignment horizontal="center"/>
    </xf>
    <xf numFmtId="0" fontId="82" fillId="11" borderId="178" xfId="3" applyFont="1" applyFill="1" applyBorder="1" applyAlignment="1">
      <alignment horizontal="center"/>
    </xf>
    <xf numFmtId="0" fontId="82" fillId="11" borderId="127" xfId="3" applyFont="1" applyFill="1" applyBorder="1" applyAlignment="1">
      <alignment horizontal="center"/>
    </xf>
    <xf numFmtId="0" fontId="82" fillId="11" borderId="171" xfId="3" applyFont="1" applyFill="1" applyBorder="1" applyAlignment="1">
      <alignment horizontal="center"/>
    </xf>
    <xf numFmtId="37" fontId="82" fillId="0" borderId="180" xfId="3" applyNumberFormat="1" applyFont="1" applyBorder="1" applyAlignment="1">
      <alignment horizontal="center"/>
    </xf>
    <xf numFmtId="1" fontId="82" fillId="0" borderId="181" xfId="3" applyNumberFormat="1" applyFont="1" applyBorder="1" applyAlignment="1">
      <alignment horizontal="center"/>
    </xf>
    <xf numFmtId="1" fontId="82" fillId="0" borderId="161" xfId="3" applyNumberFormat="1" applyFont="1" applyBorder="1" applyAlignment="1">
      <alignment horizontal="center"/>
    </xf>
    <xf numFmtId="1" fontId="82" fillId="0" borderId="173" xfId="3" applyNumberFormat="1" applyFont="1" applyBorder="1" applyAlignment="1">
      <alignment horizontal="center"/>
    </xf>
    <xf numFmtId="169" fontId="82" fillId="0" borderId="180" xfId="3" applyNumberFormat="1" applyFont="1" applyBorder="1" applyAlignment="1">
      <alignment horizontal="center"/>
    </xf>
    <xf numFmtId="169" fontId="82" fillId="0" borderId="181" xfId="3" applyNumberFormat="1" applyFont="1" applyBorder="1" applyAlignment="1">
      <alignment horizontal="center"/>
    </xf>
    <xf numFmtId="169" fontId="82" fillId="0" borderId="161" xfId="3" applyNumberFormat="1" applyFont="1" applyBorder="1" applyAlignment="1">
      <alignment horizontal="center"/>
    </xf>
    <xf numFmtId="169" fontId="82" fillId="0" borderId="173" xfId="3" applyNumberFormat="1" applyFont="1" applyBorder="1" applyAlignment="1">
      <alignment horizontal="center"/>
    </xf>
    <xf numFmtId="0" fontId="17" fillId="0" borderId="174" xfId="3" applyBorder="1"/>
    <xf numFmtId="0" fontId="82" fillId="20" borderId="170" xfId="3" applyFont="1" applyFill="1" applyBorder="1" applyAlignment="1">
      <alignment horizontal="center"/>
    </xf>
    <xf numFmtId="0" fontId="82" fillId="20" borderId="177" xfId="3" applyFont="1" applyFill="1" applyBorder="1" applyAlignment="1">
      <alignment horizontal="center"/>
    </xf>
    <xf numFmtId="0" fontId="82" fillId="20" borderId="178" xfId="3" applyFont="1" applyFill="1" applyBorder="1" applyAlignment="1">
      <alignment horizontal="center"/>
    </xf>
    <xf numFmtId="0" fontId="82" fillId="20" borderId="127" xfId="3" applyFont="1" applyFill="1" applyBorder="1" applyAlignment="1">
      <alignment horizontal="center"/>
    </xf>
    <xf numFmtId="0" fontId="82" fillId="20" borderId="171" xfId="3" applyFont="1" applyFill="1" applyBorder="1" applyAlignment="1">
      <alignment horizontal="center"/>
    </xf>
    <xf numFmtId="0" fontId="82" fillId="0" borderId="172" xfId="3" applyFont="1" applyBorder="1" applyAlignment="1">
      <alignment horizontal="left"/>
    </xf>
    <xf numFmtId="9" fontId="82" fillId="0" borderId="183" xfId="4" applyFont="1" applyBorder="1" applyAlignment="1">
      <alignment horizontal="center"/>
    </xf>
    <xf numFmtId="9" fontId="82" fillId="0" borderId="184" xfId="4" applyFont="1" applyBorder="1" applyAlignment="1">
      <alignment horizontal="center"/>
    </xf>
    <xf numFmtId="9" fontId="82" fillId="0" borderId="185" xfId="4" applyFont="1" applyBorder="1" applyAlignment="1">
      <alignment horizontal="center"/>
    </xf>
    <xf numFmtId="9" fontId="82" fillId="0" borderId="180" xfId="4" applyFont="1" applyBorder="1" applyAlignment="1">
      <alignment horizontal="center"/>
    </xf>
    <xf numFmtId="9" fontId="82" fillId="0" borderId="181" xfId="4" applyFont="1" applyBorder="1" applyAlignment="1">
      <alignment horizontal="center"/>
    </xf>
    <xf numFmtId="9" fontId="82" fillId="0" borderId="182" xfId="4" applyFont="1" applyBorder="1" applyAlignment="1">
      <alignment horizontal="center"/>
    </xf>
    <xf numFmtId="0" fontId="82" fillId="21" borderId="170" xfId="3" applyFont="1" applyFill="1" applyBorder="1" applyAlignment="1">
      <alignment horizontal="center"/>
    </xf>
    <xf numFmtId="0" fontId="82" fillId="21" borderId="177" xfId="3" applyFont="1" applyFill="1" applyBorder="1" applyAlignment="1">
      <alignment horizontal="center"/>
    </xf>
    <xf numFmtId="0" fontId="82" fillId="21" borderId="178" xfId="3" applyFont="1" applyFill="1" applyBorder="1" applyAlignment="1">
      <alignment horizontal="center"/>
    </xf>
    <xf numFmtId="0" fontId="82" fillId="21" borderId="127" xfId="3" applyFont="1" applyFill="1" applyBorder="1" applyAlignment="1">
      <alignment horizontal="center"/>
    </xf>
    <xf numFmtId="0" fontId="82" fillId="21" borderId="171" xfId="3" applyFont="1" applyFill="1" applyBorder="1" applyAlignment="1">
      <alignment horizontal="center"/>
    </xf>
    <xf numFmtId="0" fontId="33" fillId="0" borderId="101" xfId="0" applyFont="1" applyBorder="1"/>
    <xf numFmtId="0" fontId="33" fillId="0" borderId="195" xfId="0" applyFont="1" applyBorder="1"/>
    <xf numFmtId="0" fontId="33" fillId="0" borderId="54" xfId="0" applyFont="1" applyBorder="1" applyAlignment="1">
      <alignment horizontal="right"/>
    </xf>
    <xf numFmtId="0" fontId="33" fillId="0" borderId="54" xfId="0" applyFont="1" applyBorder="1"/>
    <xf numFmtId="37" fontId="33" fillId="0" borderId="196" xfId="0" applyNumberFormat="1" applyFont="1" applyBorder="1"/>
    <xf numFmtId="0" fontId="33" fillId="0" borderId="197" xfId="0" applyFont="1" applyBorder="1"/>
    <xf numFmtId="174" fontId="33" fillId="0" borderId="54" xfId="0" applyNumberFormat="1" applyFont="1" applyBorder="1"/>
    <xf numFmtId="37" fontId="33" fillId="0" borderId="197" xfId="0" applyNumberFormat="1" applyFont="1" applyBorder="1"/>
    <xf numFmtId="37" fontId="33" fillId="0" borderId="54" xfId="0" applyNumberFormat="1" applyFont="1" applyBorder="1"/>
    <xf numFmtId="173" fontId="33" fillId="0" borderId="54" xfId="0" applyNumberFormat="1" applyFont="1" applyBorder="1"/>
    <xf numFmtId="37" fontId="33" fillId="0" borderId="198" xfId="0" applyNumberFormat="1" applyFont="1" applyBorder="1"/>
    <xf numFmtId="173" fontId="33" fillId="0" borderId="199" xfId="0" applyNumberFormat="1" applyFont="1" applyBorder="1"/>
    <xf numFmtId="1" fontId="52" fillId="10" borderId="44" xfId="0" applyNumberFormat="1" applyFont="1" applyFill="1" applyBorder="1" applyAlignment="1">
      <alignment horizontal="left" vertical="top"/>
    </xf>
    <xf numFmtId="0" fontId="56" fillId="22" borderId="104" xfId="0" applyFont="1" applyFill="1" applyBorder="1" applyAlignment="1">
      <alignment horizontal="center"/>
    </xf>
    <xf numFmtId="0" fontId="55" fillId="22" borderId="107" xfId="0" applyFont="1" applyFill="1" applyBorder="1"/>
    <xf numFmtId="3" fontId="55" fillId="22" borderId="108" xfId="0" applyNumberFormat="1" applyFont="1" applyFill="1" applyBorder="1" applyAlignment="1">
      <alignment horizontal="center"/>
    </xf>
    <xf numFmtId="3" fontId="55" fillId="22" borderId="0" xfId="0" applyNumberFormat="1" applyFont="1" applyFill="1" applyAlignment="1">
      <alignment horizontal="center"/>
    </xf>
    <xf numFmtId="3" fontId="55" fillId="22" borderId="109" xfId="0" applyNumberFormat="1" applyFont="1" applyFill="1" applyBorder="1" applyAlignment="1">
      <alignment horizontal="center"/>
    </xf>
    <xf numFmtId="0" fontId="55" fillId="22" borderId="110" xfId="0" applyFont="1" applyFill="1" applyBorder="1"/>
    <xf numFmtId="3" fontId="55" fillId="22" borderId="110" xfId="0" applyNumberFormat="1" applyFont="1" applyFill="1" applyBorder="1" applyAlignment="1">
      <alignment horizontal="center"/>
    </xf>
    <xf numFmtId="3" fontId="55" fillId="22" borderId="103" xfId="0" applyNumberFormat="1" applyFont="1" applyFill="1" applyBorder="1" applyAlignment="1">
      <alignment horizontal="center"/>
    </xf>
    <xf numFmtId="3" fontId="55" fillId="22" borderId="111" xfId="0" applyNumberFormat="1" applyFont="1" applyFill="1" applyBorder="1" applyAlignment="1">
      <alignment horizontal="right"/>
    </xf>
    <xf numFmtId="3" fontId="55" fillId="22" borderId="111" xfId="0" applyNumberFormat="1" applyFont="1" applyFill="1" applyBorder="1" applyAlignment="1" applyProtection="1">
      <alignment horizontal="right"/>
      <protection locked="0"/>
    </xf>
    <xf numFmtId="0" fontId="55" fillId="22" borderId="108" xfId="0" applyFont="1" applyFill="1" applyBorder="1"/>
    <xf numFmtId="3" fontId="55" fillId="22" borderId="108" xfId="0" applyNumberFormat="1" applyFont="1" applyFill="1" applyBorder="1"/>
    <xf numFmtId="3" fontId="55" fillId="22" borderId="0" xfId="0" applyNumberFormat="1" applyFont="1" applyFill="1"/>
    <xf numFmtId="3" fontId="55" fillId="22" borderId="109" xfId="0" applyNumberFormat="1" applyFont="1" applyFill="1" applyBorder="1"/>
    <xf numFmtId="3" fontId="55" fillId="22" borderId="108" xfId="0" applyNumberFormat="1" applyFont="1" applyFill="1" applyBorder="1" applyProtection="1">
      <protection locked="0"/>
    </xf>
    <xf numFmtId="3" fontId="55" fillId="22" borderId="109" xfId="0" applyNumberFormat="1" applyFont="1" applyFill="1" applyBorder="1" applyProtection="1">
      <protection locked="0"/>
    </xf>
    <xf numFmtId="0" fontId="56" fillId="22" borderId="107" xfId="0" applyFont="1" applyFill="1" applyBorder="1"/>
    <xf numFmtId="3" fontId="56" fillId="22" borderId="107" xfId="0" applyNumberFormat="1" applyFont="1" applyFill="1" applyBorder="1"/>
    <xf numFmtId="3" fontId="56" fillId="22" borderId="112" xfId="0" applyNumberFormat="1" applyFont="1" applyFill="1" applyBorder="1"/>
    <xf numFmtId="3" fontId="56" fillId="22" borderId="113" xfId="0" applyNumberFormat="1" applyFont="1" applyFill="1" applyBorder="1"/>
    <xf numFmtId="0" fontId="55" fillId="22" borderId="109" xfId="0" applyFont="1" applyFill="1" applyBorder="1"/>
    <xf numFmtId="0" fontId="56" fillId="22" borderId="114" xfId="0" applyFont="1" applyFill="1" applyBorder="1"/>
    <xf numFmtId="3" fontId="55" fillId="22" borderId="114" xfId="0" applyNumberFormat="1" applyFont="1" applyFill="1" applyBorder="1"/>
    <xf numFmtId="3" fontId="55" fillId="22" borderId="53" xfId="0" applyNumberFormat="1" applyFont="1" applyFill="1" applyBorder="1"/>
    <xf numFmtId="3" fontId="55" fillId="22" borderId="115" xfId="0" applyNumberFormat="1" applyFont="1" applyFill="1" applyBorder="1"/>
    <xf numFmtId="3" fontId="55" fillId="22" borderId="114" xfId="0" applyNumberFormat="1" applyFont="1" applyFill="1" applyBorder="1" applyProtection="1">
      <protection locked="0"/>
    </xf>
    <xf numFmtId="3" fontId="55" fillId="22" borderId="115" xfId="0" applyNumberFormat="1" applyFont="1" applyFill="1" applyBorder="1" applyProtection="1">
      <protection locked="0"/>
    </xf>
    <xf numFmtId="0" fontId="56" fillId="22" borderId="108" xfId="0" applyFont="1" applyFill="1" applyBorder="1"/>
    <xf numFmtId="3" fontId="55" fillId="22" borderId="107" xfId="0" applyNumberFormat="1" applyFont="1" applyFill="1" applyBorder="1"/>
    <xf numFmtId="3" fontId="55" fillId="22" borderId="112" xfId="0" applyNumberFormat="1" applyFont="1" applyFill="1" applyBorder="1"/>
    <xf numFmtId="3" fontId="55" fillId="22" borderId="113" xfId="0" applyNumberFormat="1" applyFont="1" applyFill="1" applyBorder="1"/>
    <xf numFmtId="0" fontId="56" fillId="22" borderId="110" xfId="0" applyFont="1" applyFill="1" applyBorder="1"/>
    <xf numFmtId="0" fontId="55" fillId="22" borderId="0" xfId="0" applyFont="1" applyFill="1"/>
    <xf numFmtId="37" fontId="55" fillId="22" borderId="109" xfId="0" applyNumberFormat="1" applyFont="1" applyFill="1" applyBorder="1"/>
    <xf numFmtId="0" fontId="56" fillId="23" borderId="116" xfId="0" applyFont="1" applyFill="1" applyBorder="1"/>
    <xf numFmtId="37" fontId="56" fillId="23" borderId="116" xfId="0" applyNumberFormat="1" applyFont="1" applyFill="1" applyBorder="1"/>
    <xf numFmtId="174" fontId="56" fillId="23" borderId="117" xfId="0" applyNumberFormat="1" applyFont="1" applyFill="1" applyBorder="1"/>
    <xf numFmtId="37" fontId="56" fillId="23" borderId="118" xfId="0" applyNumberFormat="1" applyFont="1" applyFill="1" applyBorder="1"/>
    <xf numFmtId="0" fontId="56" fillId="23" borderId="119" xfId="0" applyFont="1" applyFill="1" applyBorder="1"/>
    <xf numFmtId="0" fontId="56" fillId="23" borderId="120" xfId="0" applyFont="1" applyFill="1" applyBorder="1"/>
    <xf numFmtId="0" fontId="56" fillId="23" borderId="121" xfId="0" applyFont="1" applyFill="1" applyBorder="1"/>
    <xf numFmtId="0" fontId="56" fillId="24" borderId="108" xfId="0" applyFont="1" applyFill="1" applyBorder="1"/>
    <xf numFmtId="0" fontId="56" fillId="24" borderId="0" xfId="0" applyFont="1" applyFill="1"/>
    <xf numFmtId="0" fontId="56" fillId="24" borderId="109" xfId="0" applyFont="1" applyFill="1" applyBorder="1"/>
    <xf numFmtId="0" fontId="56" fillId="22" borderId="108" xfId="0" applyFont="1" applyFill="1" applyBorder="1" applyAlignment="1">
      <alignment horizontal="left"/>
    </xf>
    <xf numFmtId="0" fontId="55" fillId="22" borderId="0" xfId="0" applyFont="1" applyFill="1" applyAlignment="1">
      <alignment horizontal="center"/>
    </xf>
    <xf numFmtId="9" fontId="55" fillId="22" borderId="108" xfId="1" applyFont="1" applyFill="1" applyBorder="1"/>
    <xf numFmtId="37" fontId="55" fillId="22" borderId="0" xfId="0" applyNumberFormat="1" applyFont="1" applyFill="1"/>
    <xf numFmtId="37" fontId="55" fillId="22" borderId="109" xfId="0" applyNumberFormat="1" applyFont="1" applyFill="1" applyBorder="1" applyProtection="1">
      <protection locked="0"/>
    </xf>
    <xf numFmtId="9" fontId="55" fillId="22" borderId="110" xfId="1" applyFont="1" applyFill="1" applyBorder="1"/>
    <xf numFmtId="37" fontId="55" fillId="22" borderId="103" xfId="0" applyNumberFormat="1" applyFont="1" applyFill="1" applyBorder="1"/>
    <xf numFmtId="37" fontId="55" fillId="22" borderId="111" xfId="0" applyNumberFormat="1" applyFont="1" applyFill="1" applyBorder="1"/>
    <xf numFmtId="37" fontId="55" fillId="22" borderId="111" xfId="0" applyNumberFormat="1" applyFont="1" applyFill="1" applyBorder="1" applyProtection="1">
      <protection locked="0"/>
    </xf>
    <xf numFmtId="0" fontId="56" fillId="23" borderId="122" xfId="0" applyFont="1" applyFill="1" applyBorder="1"/>
    <xf numFmtId="0" fontId="56" fillId="23" borderId="122" xfId="0" applyFont="1" applyFill="1" applyBorder="1" applyAlignment="1">
      <alignment horizontal="center"/>
    </xf>
    <xf numFmtId="173" fontId="56" fillId="23" borderId="123" xfId="0" applyNumberFormat="1" applyFont="1" applyFill="1" applyBorder="1"/>
    <xf numFmtId="37" fontId="56" fillId="23" borderId="124" xfId="0" applyNumberFormat="1" applyFont="1" applyFill="1" applyBorder="1"/>
    <xf numFmtId="0" fontId="59" fillId="22" borderId="108" xfId="0" applyFont="1" applyFill="1" applyBorder="1"/>
    <xf numFmtId="0" fontId="59" fillId="22" borderId="110" xfId="0" applyFont="1" applyFill="1" applyBorder="1"/>
    <xf numFmtId="0" fontId="55" fillId="22" borderId="112" xfId="0" applyFont="1" applyFill="1" applyBorder="1"/>
    <xf numFmtId="37" fontId="55" fillId="22" borderId="113" xfId="0" applyNumberFormat="1" applyFont="1" applyFill="1" applyBorder="1"/>
    <xf numFmtId="37" fontId="55" fillId="22" borderId="113" xfId="0" applyNumberFormat="1" applyFont="1" applyFill="1" applyBorder="1" applyProtection="1">
      <protection locked="0"/>
    </xf>
    <xf numFmtId="0" fontId="59" fillId="24" borderId="108" xfId="0" applyFont="1" applyFill="1" applyBorder="1"/>
    <xf numFmtId="0" fontId="55" fillId="22" borderId="103" xfId="0" applyFont="1" applyFill="1" applyBorder="1"/>
    <xf numFmtId="0" fontId="55" fillId="22" borderId="114" xfId="0" applyFont="1" applyFill="1" applyBorder="1"/>
    <xf numFmtId="0" fontId="55" fillId="22" borderId="53" xfId="0" applyFont="1" applyFill="1" applyBorder="1"/>
    <xf numFmtId="37" fontId="55" fillId="22" borderId="115" xfId="0" applyNumberFormat="1" applyFont="1" applyFill="1" applyBorder="1"/>
    <xf numFmtId="37" fontId="55" fillId="22" borderId="115" xfId="0" applyNumberFormat="1" applyFont="1" applyFill="1" applyBorder="1" applyProtection="1">
      <protection locked="0"/>
    </xf>
    <xf numFmtId="0" fontId="56" fillId="23" borderId="125" xfId="0" applyFont="1" applyFill="1" applyBorder="1"/>
    <xf numFmtId="37" fontId="56" fillId="23" borderId="126" xfId="0" applyNumberFormat="1" applyFont="1" applyFill="1" applyBorder="1"/>
    <xf numFmtId="0" fontId="56" fillId="23" borderId="127" xfId="0" applyFont="1" applyFill="1" applyBorder="1"/>
    <xf numFmtId="0" fontId="56" fillId="23" borderId="128" xfId="0" applyFont="1" applyFill="1" applyBorder="1" applyAlignment="1">
      <alignment horizontal="center"/>
    </xf>
    <xf numFmtId="173" fontId="56" fillId="23" borderId="129" xfId="0" applyNumberFormat="1" applyFont="1" applyFill="1" applyBorder="1"/>
    <xf numFmtId="37" fontId="56" fillId="23" borderId="130" xfId="0" applyNumberFormat="1" applyFont="1" applyFill="1" applyBorder="1"/>
    <xf numFmtId="0" fontId="55" fillId="24" borderId="110" xfId="0" applyFont="1" applyFill="1" applyBorder="1"/>
    <xf numFmtId="0" fontId="55" fillId="24" borderId="103" xfId="0" applyFont="1" applyFill="1" applyBorder="1"/>
    <xf numFmtId="37" fontId="56" fillId="24" borderId="109" xfId="0" applyNumberFormat="1" applyFont="1" applyFill="1" applyBorder="1"/>
    <xf numFmtId="0" fontId="56" fillId="23" borderId="131" xfId="0" applyFont="1" applyFill="1" applyBorder="1"/>
    <xf numFmtId="0" fontId="55" fillId="23" borderId="131" xfId="0" applyFont="1" applyFill="1" applyBorder="1"/>
    <xf numFmtId="0" fontId="55" fillId="23" borderId="132" xfId="0" applyFont="1" applyFill="1" applyBorder="1"/>
    <xf numFmtId="37" fontId="56" fillId="23" borderId="133" xfId="0" applyNumberFormat="1" applyFont="1" applyFill="1" applyBorder="1"/>
    <xf numFmtId="0" fontId="68" fillId="22" borderId="0" xfId="0" applyFont="1" applyFill="1"/>
    <xf numFmtId="37" fontId="68" fillId="22" borderId="0" xfId="0" applyNumberFormat="1" applyFont="1" applyFill="1"/>
    <xf numFmtId="0" fontId="66" fillId="22" borderId="0" xfId="0" applyFont="1" applyFill="1"/>
    <xf numFmtId="0" fontId="65" fillId="22" borderId="0" xfId="0" applyFont="1" applyFill="1"/>
    <xf numFmtId="0" fontId="64" fillId="22" borderId="0" xfId="0" applyFont="1" applyFill="1"/>
    <xf numFmtId="172" fontId="66" fillId="22" borderId="0" xfId="0" applyNumberFormat="1" applyFont="1" applyFill="1" applyAlignment="1">
      <alignment horizontal="left"/>
    </xf>
    <xf numFmtId="0" fontId="55" fillId="22" borderId="108" xfId="0" applyFont="1" applyFill="1" applyBorder="1" applyAlignment="1">
      <alignment horizontal="center"/>
    </xf>
    <xf numFmtId="0" fontId="55" fillId="22" borderId="109" xfId="0" applyFont="1" applyFill="1" applyBorder="1" applyAlignment="1">
      <alignment horizontal="center"/>
    </xf>
    <xf numFmtId="3" fontId="55" fillId="22" borderId="111" xfId="0" applyNumberFormat="1" applyFont="1" applyFill="1" applyBorder="1" applyAlignment="1" applyProtection="1">
      <alignment horizontal="center"/>
      <protection locked="0"/>
    </xf>
    <xf numFmtId="3" fontId="55" fillId="22" borderId="110" xfId="0" applyNumberFormat="1" applyFont="1" applyFill="1" applyBorder="1"/>
    <xf numFmtId="3" fontId="55" fillId="22" borderId="103" xfId="0" applyNumberFormat="1" applyFont="1" applyFill="1" applyBorder="1"/>
    <xf numFmtId="3" fontId="55" fillId="22" borderId="111" xfId="0" applyNumberFormat="1" applyFont="1" applyFill="1" applyBorder="1"/>
    <xf numFmtId="0" fontId="56" fillId="22" borderId="0" xfId="0" applyFont="1" applyFill="1"/>
    <xf numFmtId="0" fontId="56" fillId="22" borderId="109" xfId="0" applyFont="1" applyFill="1" applyBorder="1"/>
    <xf numFmtId="0" fontId="55" fillId="22" borderId="108" xfId="0" applyFont="1" applyFill="1" applyBorder="1" applyAlignment="1">
      <alignment horizontal="right"/>
    </xf>
    <xf numFmtId="173" fontId="55" fillId="22" borderId="0" xfId="0" applyNumberFormat="1" applyFont="1" applyFill="1"/>
    <xf numFmtId="0" fontId="56" fillId="23" borderId="125" xfId="0" applyFont="1" applyFill="1" applyBorder="1" applyAlignment="1">
      <alignment horizontal="center"/>
    </xf>
    <xf numFmtId="173" fontId="56" fillId="23" borderId="134" xfId="0" applyNumberFormat="1" applyFont="1" applyFill="1" applyBorder="1"/>
    <xf numFmtId="0" fontId="56" fillId="23" borderId="132" xfId="0" applyFont="1" applyFill="1" applyBorder="1"/>
    <xf numFmtId="37" fontId="66" fillId="22" borderId="0" xfId="0" applyNumberFormat="1" applyFont="1" applyFill="1"/>
    <xf numFmtId="37" fontId="55" fillId="22" borderId="108" xfId="0" applyNumberFormat="1" applyFont="1" applyFill="1" applyBorder="1"/>
    <xf numFmtId="37" fontId="55" fillId="22" borderId="108" xfId="0" applyNumberFormat="1" applyFont="1" applyFill="1" applyBorder="1" applyProtection="1">
      <protection locked="0"/>
    </xf>
    <xf numFmtId="37" fontId="55" fillId="22" borderId="0" xfId="0" applyNumberFormat="1" applyFont="1" applyFill="1" applyProtection="1">
      <protection locked="0"/>
    </xf>
    <xf numFmtId="173" fontId="55" fillId="22" borderId="109" xfId="0" applyNumberFormat="1" applyFont="1" applyFill="1" applyBorder="1"/>
    <xf numFmtId="37" fontId="55" fillId="22" borderId="110" xfId="0" applyNumberFormat="1" applyFont="1" applyFill="1" applyBorder="1"/>
    <xf numFmtId="2" fontId="55" fillId="22" borderId="103" xfId="0" applyNumberFormat="1" applyFont="1" applyFill="1" applyBorder="1"/>
    <xf numFmtId="173" fontId="55" fillId="22" borderId="111" xfId="0" applyNumberFormat="1" applyFont="1" applyFill="1" applyBorder="1"/>
    <xf numFmtId="37" fontId="55" fillId="22" borderId="107" xfId="0" applyNumberFormat="1" applyFont="1" applyFill="1" applyBorder="1"/>
    <xf numFmtId="37" fontId="55" fillId="22" borderId="112" xfId="0" applyNumberFormat="1" applyFont="1" applyFill="1" applyBorder="1"/>
    <xf numFmtId="37" fontId="55" fillId="22" borderId="107" xfId="0" applyNumberFormat="1" applyFont="1" applyFill="1" applyBorder="1" applyProtection="1">
      <protection locked="0"/>
    </xf>
    <xf numFmtId="37" fontId="55" fillId="22" borderId="112" xfId="0" applyNumberFormat="1" applyFont="1" applyFill="1" applyBorder="1" applyProtection="1">
      <protection locked="0"/>
    </xf>
    <xf numFmtId="174" fontId="55" fillId="22" borderId="0" xfId="0" applyNumberFormat="1" applyFont="1" applyFill="1"/>
    <xf numFmtId="175" fontId="55" fillId="22" borderId="0" xfId="0" applyNumberFormat="1" applyFont="1" applyFill="1"/>
    <xf numFmtId="37" fontId="56" fillId="22" borderId="108" xfId="0" applyNumberFormat="1" applyFont="1" applyFill="1" applyBorder="1"/>
    <xf numFmtId="174" fontId="56" fillId="22" borderId="0" xfId="0" applyNumberFormat="1" applyFont="1" applyFill="1"/>
    <xf numFmtId="37" fontId="56" fillId="22" borderId="110" xfId="0" applyNumberFormat="1" applyFont="1" applyFill="1" applyBorder="1"/>
    <xf numFmtId="175" fontId="55" fillId="22" borderId="103" xfId="0" applyNumberFormat="1" applyFont="1" applyFill="1" applyBorder="1"/>
    <xf numFmtId="0" fontId="56" fillId="24" borderId="116" xfId="0" applyFont="1" applyFill="1" applyBorder="1"/>
    <xf numFmtId="37" fontId="56" fillId="24" borderId="116" xfId="0" applyNumberFormat="1" applyFont="1" applyFill="1" applyBorder="1"/>
    <xf numFmtId="37" fontId="56" fillId="24" borderId="117" xfId="0" applyNumberFormat="1" applyFont="1" applyFill="1" applyBorder="1"/>
    <xf numFmtId="37" fontId="56" fillId="24" borderId="118" xfId="0" applyNumberFormat="1" applyFont="1" applyFill="1" applyBorder="1"/>
    <xf numFmtId="0" fontId="56" fillId="24" borderId="110" xfId="0" applyFont="1" applyFill="1" applyBorder="1"/>
    <xf numFmtId="37" fontId="56" fillId="24" borderId="110" xfId="0" applyNumberFormat="1" applyFont="1" applyFill="1" applyBorder="1"/>
    <xf numFmtId="39" fontId="56" fillId="24" borderId="103" xfId="0" applyNumberFormat="1" applyFont="1" applyFill="1" applyBorder="1"/>
    <xf numFmtId="173" fontId="56" fillId="22" borderId="109" xfId="0" applyNumberFormat="1" applyFont="1" applyFill="1" applyBorder="1"/>
    <xf numFmtId="0" fontId="56" fillId="24" borderId="107" xfId="0" applyFont="1" applyFill="1" applyBorder="1"/>
    <xf numFmtId="37" fontId="55" fillId="22" borderId="135" xfId="0" applyNumberFormat="1" applyFont="1" applyFill="1" applyBorder="1"/>
    <xf numFmtId="0" fontId="55" fillId="24" borderId="108" xfId="0" applyFont="1" applyFill="1" applyBorder="1"/>
    <xf numFmtId="174" fontId="55" fillId="22" borderId="0" xfId="0" applyNumberFormat="1" applyFont="1" applyFill="1" applyProtection="1">
      <protection locked="0"/>
    </xf>
    <xf numFmtId="0" fontId="55" fillId="24" borderId="136" xfId="0" applyFont="1" applyFill="1" applyBorder="1"/>
    <xf numFmtId="174" fontId="55" fillId="22" borderId="112" xfId="0" applyNumberFormat="1" applyFont="1" applyFill="1" applyBorder="1"/>
    <xf numFmtId="174" fontId="55" fillId="22" borderId="112" xfId="0" applyNumberFormat="1" applyFont="1" applyFill="1" applyBorder="1" applyProtection="1">
      <protection locked="0"/>
    </xf>
    <xf numFmtId="174" fontId="55" fillId="22" borderId="103" xfId="0" applyNumberFormat="1" applyFont="1" applyFill="1" applyBorder="1"/>
    <xf numFmtId="37" fontId="56" fillId="24" borderId="107" xfId="0" applyNumberFormat="1" applyFont="1" applyFill="1" applyBorder="1"/>
    <xf numFmtId="174" fontId="56" fillId="24" borderId="112" xfId="0" applyNumberFormat="1" applyFont="1" applyFill="1" applyBorder="1"/>
    <xf numFmtId="37" fontId="56" fillId="24" borderId="113" xfId="0" applyNumberFormat="1" applyFont="1" applyFill="1" applyBorder="1"/>
    <xf numFmtId="37" fontId="56" fillId="23" borderId="117" xfId="0" applyNumberFormat="1" applyFont="1" applyFill="1" applyBorder="1"/>
    <xf numFmtId="173" fontId="56" fillId="23" borderId="121" xfId="0" applyNumberFormat="1" applyFont="1" applyFill="1" applyBorder="1"/>
    <xf numFmtId="173" fontId="56" fillId="24" borderId="109" xfId="0" applyNumberFormat="1" applyFont="1" applyFill="1" applyBorder="1"/>
    <xf numFmtId="0" fontId="59" fillId="22" borderId="107" xfId="0" applyFont="1" applyFill="1" applyBorder="1"/>
    <xf numFmtId="0" fontId="59" fillId="22" borderId="136" xfId="0" applyFont="1" applyFill="1" applyBorder="1"/>
    <xf numFmtId="0" fontId="56" fillId="23" borderId="137" xfId="0" applyFont="1" applyFill="1" applyBorder="1"/>
    <xf numFmtId="37" fontId="56" fillId="22" borderId="107" xfId="0" applyNumberFormat="1" applyFont="1" applyFill="1" applyBorder="1"/>
    <xf numFmtId="173" fontId="56" fillId="22" borderId="112" xfId="0" applyNumberFormat="1" applyFont="1" applyFill="1" applyBorder="1"/>
    <xf numFmtId="37" fontId="56" fillId="22" borderId="113" xfId="0" applyNumberFormat="1" applyFont="1" applyFill="1" applyBorder="1"/>
    <xf numFmtId="0" fontId="55" fillId="22" borderId="111" xfId="0" applyFont="1" applyFill="1" applyBorder="1"/>
    <xf numFmtId="37" fontId="55" fillId="22" borderId="114" xfId="0" applyNumberFormat="1" applyFont="1" applyFill="1" applyBorder="1"/>
    <xf numFmtId="173" fontId="55" fillId="22" borderId="53" xfId="0" applyNumberFormat="1" applyFont="1" applyFill="1" applyBorder="1"/>
    <xf numFmtId="37" fontId="55" fillId="22" borderId="114" xfId="0" applyNumberFormat="1" applyFont="1" applyFill="1" applyBorder="1" applyProtection="1">
      <protection locked="0"/>
    </xf>
    <xf numFmtId="173" fontId="56" fillId="23" borderId="117" xfId="0" applyNumberFormat="1" applyFont="1" applyFill="1" applyBorder="1"/>
    <xf numFmtId="0" fontId="56" fillId="23" borderId="138" xfId="0" applyFont="1" applyFill="1" applyBorder="1"/>
    <xf numFmtId="37" fontId="56" fillId="23" borderId="138" xfId="0" applyNumberFormat="1" applyFont="1" applyFill="1" applyBorder="1"/>
    <xf numFmtId="174" fontId="56" fillId="23" borderId="139" xfId="0" applyNumberFormat="1" applyFont="1" applyFill="1" applyBorder="1"/>
    <xf numFmtId="37" fontId="56" fillId="23" borderId="140" xfId="0" applyNumberFormat="1" applyFont="1" applyFill="1" applyBorder="1"/>
    <xf numFmtId="37" fontId="56" fillId="24" borderId="108" xfId="0" applyNumberFormat="1" applyFont="1" applyFill="1" applyBorder="1"/>
    <xf numFmtId="174" fontId="56" fillId="24" borderId="0" xfId="0" applyNumberFormat="1" applyFont="1" applyFill="1"/>
    <xf numFmtId="37" fontId="56" fillId="22" borderId="0" xfId="0" applyNumberFormat="1" applyFont="1" applyFill="1"/>
    <xf numFmtId="0" fontId="56" fillId="23" borderId="141" xfId="0" applyFont="1" applyFill="1" applyBorder="1"/>
    <xf numFmtId="0" fontId="55" fillId="23" borderId="141" xfId="0" applyFont="1" applyFill="1" applyBorder="1"/>
    <xf numFmtId="0" fontId="55" fillId="23" borderId="142" xfId="0" applyFont="1" applyFill="1" applyBorder="1"/>
    <xf numFmtId="37" fontId="56" fillId="23" borderId="143" xfId="0" applyNumberFormat="1" applyFont="1" applyFill="1" applyBorder="1"/>
    <xf numFmtId="0" fontId="71" fillId="22" borderId="1" xfId="0" applyFont="1" applyFill="1" applyBorder="1" applyAlignment="1">
      <alignment horizontal="center" vertical="center"/>
    </xf>
    <xf numFmtId="0" fontId="66" fillId="22" borderId="120" xfId="0" applyFont="1" applyFill="1" applyBorder="1" applyAlignment="1">
      <alignment horizontal="center"/>
    </xf>
    <xf numFmtId="0" fontId="56" fillId="22" borderId="144" xfId="0" applyFont="1" applyFill="1" applyBorder="1" applyAlignment="1">
      <alignment horizontal="center"/>
    </xf>
    <xf numFmtId="0" fontId="55" fillId="22" borderId="145" xfId="0" applyFont="1" applyFill="1" applyBorder="1"/>
    <xf numFmtId="0" fontId="55" fillId="22" borderId="145" xfId="0" applyFont="1" applyFill="1" applyBorder="1" applyAlignment="1">
      <alignment horizontal="center"/>
    </xf>
    <xf numFmtId="0" fontId="55" fillId="22" borderId="103" xfId="0" applyFont="1" applyFill="1" applyBorder="1" applyAlignment="1">
      <alignment horizontal="center"/>
    </xf>
    <xf numFmtId="0" fontId="55" fillId="22" borderId="146" xfId="0" applyFont="1" applyFill="1" applyBorder="1" applyAlignment="1">
      <alignment horizontal="center"/>
    </xf>
    <xf numFmtId="0" fontId="59" fillId="22" borderId="145" xfId="0" applyFont="1" applyFill="1" applyBorder="1"/>
    <xf numFmtId="37" fontId="59" fillId="22" borderId="145" xfId="0" applyNumberFormat="1" applyFont="1" applyFill="1" applyBorder="1"/>
    <xf numFmtId="37" fontId="59" fillId="22" borderId="103" xfId="0" applyNumberFormat="1" applyFont="1" applyFill="1" applyBorder="1"/>
    <xf numFmtId="37" fontId="59" fillId="22" borderId="146" xfId="0" applyNumberFormat="1" applyFont="1" applyFill="1" applyBorder="1"/>
    <xf numFmtId="0" fontId="71" fillId="23" borderId="145" xfId="0" applyFont="1" applyFill="1" applyBorder="1"/>
    <xf numFmtId="37" fontId="71" fillId="23" borderId="145" xfId="0" applyNumberFormat="1" applyFont="1" applyFill="1" applyBorder="1"/>
    <xf numFmtId="37" fontId="71" fillId="23" borderId="103" xfId="0" applyNumberFormat="1" applyFont="1" applyFill="1" applyBorder="1"/>
    <xf numFmtId="37" fontId="71" fillId="23" borderId="146" xfId="0" applyNumberFormat="1" applyFont="1" applyFill="1" applyBorder="1"/>
    <xf numFmtId="0" fontId="71" fillId="22" borderId="70" xfId="0" applyFont="1" applyFill="1" applyBorder="1"/>
    <xf numFmtId="37" fontId="59" fillId="22" borderId="70" xfId="0" applyNumberFormat="1" applyFont="1" applyFill="1" applyBorder="1"/>
    <xf numFmtId="37" fontId="59" fillId="22" borderId="55" xfId="0" applyNumberFormat="1" applyFont="1" applyFill="1" applyBorder="1"/>
    <xf numFmtId="0" fontId="59" fillId="22" borderId="70" xfId="0" applyFont="1" applyFill="1" applyBorder="1"/>
    <xf numFmtId="173" fontId="59" fillId="22" borderId="70" xfId="1" applyNumberFormat="1" applyFont="1" applyFill="1" applyBorder="1"/>
    <xf numFmtId="174" fontId="59" fillId="22" borderId="1" xfId="0" applyNumberFormat="1" applyFont="1" applyFill="1" applyBorder="1"/>
    <xf numFmtId="173" fontId="59" fillId="22" borderId="145" xfId="1" applyNumberFormat="1" applyFont="1" applyFill="1" applyBorder="1"/>
    <xf numFmtId="174" fontId="59" fillId="22" borderId="103" xfId="0" applyNumberFormat="1" applyFont="1" applyFill="1" applyBorder="1"/>
    <xf numFmtId="0" fontId="55" fillId="22" borderId="70" xfId="0" applyFont="1" applyFill="1" applyBorder="1"/>
    <xf numFmtId="0" fontId="71" fillId="23" borderId="147" xfId="0" applyFont="1" applyFill="1" applyBorder="1"/>
    <xf numFmtId="173" fontId="71" fillId="23" borderId="147" xfId="0" applyNumberFormat="1" applyFont="1" applyFill="1" applyBorder="1"/>
    <xf numFmtId="0" fontId="71" fillId="23" borderId="123" xfId="0" applyFont="1" applyFill="1" applyBorder="1"/>
    <xf numFmtId="37" fontId="71" fillId="23" borderId="148" xfId="0" applyNumberFormat="1" applyFont="1" applyFill="1" applyBorder="1"/>
    <xf numFmtId="37" fontId="59" fillId="22" borderId="55" xfId="0" applyNumberFormat="1" applyFont="1" applyFill="1" applyBorder="1" applyProtection="1">
      <protection locked="0"/>
    </xf>
    <xf numFmtId="0" fontId="59" fillId="24" borderId="70" xfId="0" applyFont="1" applyFill="1" applyBorder="1"/>
    <xf numFmtId="174" fontId="71" fillId="23" borderId="123" xfId="0" applyNumberFormat="1" applyFont="1" applyFill="1" applyBorder="1"/>
    <xf numFmtId="0" fontId="59" fillId="22" borderId="149" xfId="0" applyFont="1" applyFill="1" applyBorder="1"/>
    <xf numFmtId="174" fontId="59" fillId="22" borderId="112" xfId="0" applyNumberFormat="1" applyFont="1" applyFill="1" applyBorder="1"/>
    <xf numFmtId="37" fontId="59" fillId="22" borderId="150" xfId="0" applyNumberFormat="1" applyFont="1" applyFill="1" applyBorder="1"/>
    <xf numFmtId="37" fontId="59" fillId="22" borderId="146" xfId="0" applyNumberFormat="1" applyFont="1" applyFill="1" applyBorder="1" applyProtection="1">
      <protection locked="0"/>
    </xf>
    <xf numFmtId="173" fontId="71" fillId="22" borderId="149" xfId="0" applyNumberFormat="1" applyFont="1" applyFill="1" applyBorder="1"/>
    <xf numFmtId="0" fontId="71" fillId="22" borderId="112" xfId="0" applyFont="1" applyFill="1" applyBorder="1"/>
    <xf numFmtId="37" fontId="59" fillId="24" borderId="150" xfId="0" applyNumberFormat="1" applyFont="1" applyFill="1" applyBorder="1"/>
    <xf numFmtId="173" fontId="71" fillId="22" borderId="70" xfId="0" applyNumberFormat="1" applyFont="1" applyFill="1" applyBorder="1"/>
    <xf numFmtId="173" fontId="71" fillId="22" borderId="145" xfId="0" applyNumberFormat="1" applyFont="1" applyFill="1" applyBorder="1"/>
    <xf numFmtId="0" fontId="59" fillId="23" borderId="123" xfId="0" applyFont="1" applyFill="1" applyBorder="1"/>
    <xf numFmtId="0" fontId="71" fillId="24" borderId="149" xfId="0" applyFont="1" applyFill="1" applyBorder="1"/>
    <xf numFmtId="0" fontId="71" fillId="23" borderId="151" xfId="0" applyFont="1" applyFill="1" applyBorder="1"/>
    <xf numFmtId="0" fontId="71" fillId="23" borderId="151" xfId="0" applyFont="1" applyFill="1" applyBorder="1" applyAlignment="1">
      <alignment horizontal="center"/>
    </xf>
    <xf numFmtId="173" fontId="71" fillId="23" borderId="152" xfId="0" applyNumberFormat="1" applyFont="1" applyFill="1" applyBorder="1"/>
    <xf numFmtId="37" fontId="71" fillId="23" borderId="153" xfId="0" applyNumberFormat="1" applyFont="1" applyFill="1" applyBorder="1"/>
    <xf numFmtId="0" fontId="71" fillId="23" borderId="154" xfId="0" applyFont="1" applyFill="1" applyBorder="1" applyAlignment="1">
      <alignment horizontal="center"/>
    </xf>
    <xf numFmtId="173" fontId="71" fillId="23" borderId="142" xfId="0" applyNumberFormat="1" applyFont="1" applyFill="1" applyBorder="1"/>
    <xf numFmtId="37" fontId="71" fillId="23" borderId="155" xfId="0" applyNumberFormat="1" applyFont="1" applyFill="1" applyBorder="1"/>
    <xf numFmtId="39" fontId="59" fillId="22" borderId="0" xfId="0" applyNumberFormat="1" applyFont="1" applyFill="1"/>
    <xf numFmtId="0" fontId="71" fillId="23" borderId="156" xfId="0" applyFont="1" applyFill="1" applyBorder="1"/>
    <xf numFmtId="0" fontId="71" fillId="23" borderId="158" xfId="0" applyFont="1" applyFill="1" applyBorder="1" applyAlignment="1">
      <alignment horizontal="center"/>
    </xf>
    <xf numFmtId="173" fontId="71" fillId="23" borderId="157" xfId="0" applyNumberFormat="1" applyFont="1" applyFill="1" applyBorder="1"/>
    <xf numFmtId="37" fontId="71" fillId="23" borderId="159" xfId="0" applyNumberFormat="1" applyFont="1" applyFill="1" applyBorder="1"/>
    <xf numFmtId="0" fontId="70" fillId="22" borderId="160" xfId="0" applyFont="1" applyFill="1" applyBorder="1"/>
    <xf numFmtId="0" fontId="70" fillId="22" borderId="70" xfId="0" applyFont="1" applyFill="1" applyBorder="1"/>
    <xf numFmtId="0" fontId="70" fillId="22" borderId="55" xfId="0" applyFont="1" applyFill="1" applyBorder="1"/>
    <xf numFmtId="0" fontId="59" fillId="22" borderId="160" xfId="0" applyFont="1" applyFill="1" applyBorder="1"/>
    <xf numFmtId="0" fontId="66" fillId="22" borderId="70" xfId="0" applyFont="1" applyFill="1" applyBorder="1"/>
    <xf numFmtId="0" fontId="55" fillId="22" borderId="1" xfId="0" applyFont="1" applyFill="1" applyBorder="1"/>
    <xf numFmtId="0" fontId="56" fillId="22" borderId="70" xfId="0" applyFont="1" applyFill="1" applyBorder="1"/>
    <xf numFmtId="0" fontId="55" fillId="22" borderId="160" xfId="0" applyFont="1" applyFill="1" applyBorder="1"/>
    <xf numFmtId="0" fontId="55" fillId="22" borderId="162" xfId="0" applyFont="1" applyFill="1" applyBorder="1"/>
    <xf numFmtId="0" fontId="71" fillId="23" borderId="163" xfId="0" applyFont="1" applyFill="1" applyBorder="1"/>
    <xf numFmtId="0" fontId="71" fillId="23" borderId="165" xfId="0" applyFont="1" applyFill="1" applyBorder="1" applyAlignment="1">
      <alignment horizontal="center"/>
    </xf>
    <xf numFmtId="173" fontId="71" fillId="23" borderId="164" xfId="0" applyNumberFormat="1" applyFont="1" applyFill="1" applyBorder="1"/>
    <xf numFmtId="37" fontId="71" fillId="23" borderId="166" xfId="0" applyNumberFormat="1" applyFont="1" applyFill="1" applyBorder="1"/>
    <xf numFmtId="171" fontId="71" fillId="23" borderId="123" xfId="5" applyNumberFormat="1" applyFont="1" applyFill="1" applyBorder="1"/>
    <xf numFmtId="0" fontId="71" fillId="23" borderId="157" xfId="0" applyFont="1" applyFill="1" applyBorder="1" applyAlignment="1">
      <alignment horizontal="center"/>
    </xf>
    <xf numFmtId="37" fontId="71" fillId="23" borderId="157" xfId="0" applyNumberFormat="1" applyFont="1" applyFill="1" applyBorder="1"/>
    <xf numFmtId="0" fontId="71" fillId="23" borderId="164" xfId="0" applyFont="1" applyFill="1" applyBorder="1" applyAlignment="1">
      <alignment horizontal="center"/>
    </xf>
    <xf numFmtId="37" fontId="71" fillId="23" borderId="164" xfId="0" applyNumberFormat="1" applyFont="1" applyFill="1" applyBorder="1"/>
    <xf numFmtId="49" fontId="16" fillId="13" borderId="1" xfId="6" applyNumberFormat="1" applyFill="1" applyAlignment="1">
      <alignment horizontal="left" vertical="center"/>
    </xf>
    <xf numFmtId="178" fontId="16" fillId="13" borderId="1" xfId="6" applyNumberFormat="1" applyFill="1" applyAlignment="1">
      <alignment horizontal="right" vertical="center"/>
    </xf>
    <xf numFmtId="0" fontId="16" fillId="13" borderId="1" xfId="6" applyFill="1"/>
    <xf numFmtId="49" fontId="52" fillId="10" borderId="47" xfId="0" applyNumberFormat="1" applyFont="1" applyFill="1" applyBorder="1" applyAlignment="1">
      <alignment horizontal="left" vertical="top"/>
    </xf>
    <xf numFmtId="49" fontId="52" fillId="10" borderId="44" xfId="0" applyNumberFormat="1" applyFont="1" applyFill="1" applyBorder="1" applyAlignment="1">
      <alignment horizontal="left" vertical="top"/>
    </xf>
    <xf numFmtId="1" fontId="52" fillId="14" borderId="47" xfId="0" applyNumberFormat="1" applyFont="1" applyFill="1" applyBorder="1" applyAlignment="1">
      <alignment horizontal="left" vertical="top"/>
    </xf>
    <xf numFmtId="49" fontId="52" fillId="10" borderId="1" xfId="0" applyNumberFormat="1" applyFont="1" applyFill="1" applyBorder="1" applyAlignment="1">
      <alignment horizontal="left" vertical="top"/>
    </xf>
    <xf numFmtId="0" fontId="52" fillId="10" borderId="45" xfId="0" applyFont="1" applyFill="1" applyBorder="1" applyAlignment="1">
      <alignment horizontal="left" vertical="top"/>
    </xf>
    <xf numFmtId="0" fontId="51" fillId="10" borderId="0" xfId="0" applyFont="1" applyFill="1" applyAlignment="1">
      <alignment horizontal="left" vertical="top"/>
    </xf>
    <xf numFmtId="0" fontId="49" fillId="25" borderId="0" xfId="0" applyFont="1" applyFill="1" applyAlignment="1">
      <alignment horizontal="left" vertical="top"/>
    </xf>
    <xf numFmtId="0" fontId="51" fillId="10" borderId="44" xfId="0" applyFont="1" applyFill="1" applyBorder="1" applyAlignment="1">
      <alignment horizontal="left" vertical="top"/>
    </xf>
    <xf numFmtId="0" fontId="51" fillId="10" borderId="1" xfId="0" applyFont="1" applyFill="1" applyBorder="1" applyAlignment="1">
      <alignment horizontal="left" vertical="top"/>
    </xf>
    <xf numFmtId="0" fontId="51" fillId="10" borderId="48" xfId="0" applyFont="1" applyFill="1" applyBorder="1" applyAlignment="1">
      <alignment horizontal="left" vertical="top"/>
    </xf>
    <xf numFmtId="0" fontId="51" fillId="10" borderId="46" xfId="0" applyFont="1" applyFill="1" applyBorder="1" applyAlignment="1">
      <alignment horizontal="left" vertical="top"/>
    </xf>
    <xf numFmtId="39" fontId="51" fillId="10" borderId="46" xfId="0" applyNumberFormat="1" applyFont="1" applyFill="1" applyBorder="1" applyAlignment="1">
      <alignment horizontal="left" vertical="top"/>
    </xf>
    <xf numFmtId="0" fontId="52" fillId="10" borderId="44" xfId="0" applyFont="1" applyFill="1" applyBorder="1" applyAlignment="1">
      <alignment horizontal="left" vertical="top"/>
    </xf>
    <xf numFmtId="0" fontId="53" fillId="10" borderId="47" xfId="0" applyFont="1" applyFill="1" applyBorder="1" applyAlignment="1">
      <alignment horizontal="left" vertical="top"/>
    </xf>
    <xf numFmtId="0" fontId="52" fillId="10" borderId="0" xfId="0" applyFont="1" applyFill="1" applyAlignment="1">
      <alignment horizontal="left" vertical="top"/>
    </xf>
    <xf numFmtId="0" fontId="19" fillId="0" borderId="0" xfId="0" applyFont="1" applyFill="1"/>
    <xf numFmtId="0" fontId="19" fillId="0" borderId="0" xfId="0" applyFont="1" applyFill="1" applyAlignment="1">
      <alignment horizontal="center"/>
    </xf>
    <xf numFmtId="169" fontId="20" fillId="0" borderId="1" xfId="0" applyNumberFormat="1" applyFont="1" applyFill="1" applyBorder="1" applyAlignment="1">
      <alignment horizontal="center"/>
    </xf>
    <xf numFmtId="0" fontId="0" fillId="0" borderId="0" xfId="0"/>
    <xf numFmtId="49" fontId="20" fillId="13" borderId="1" xfId="0" applyNumberFormat="1" applyFont="1" applyFill="1" applyBorder="1" applyAlignment="1">
      <alignment horizontal="left" vertical="center"/>
    </xf>
    <xf numFmtId="0" fontId="20" fillId="13" borderId="1" xfId="0" applyFont="1" applyFill="1" applyBorder="1" applyAlignment="1">
      <alignment horizontal="left" vertical="top"/>
    </xf>
    <xf numFmtId="0" fontId="20" fillId="13" borderId="1" xfId="0" applyFont="1" applyFill="1" applyBorder="1"/>
    <xf numFmtId="176" fontId="20" fillId="13" borderId="1" xfId="0" applyNumberFormat="1" applyFont="1" applyFill="1" applyBorder="1" applyAlignment="1">
      <alignment horizontal="right" vertical="center"/>
    </xf>
    <xf numFmtId="173" fontId="30" fillId="0" borderId="12" xfId="1" applyNumberFormat="1" applyFont="1" applyBorder="1"/>
    <xf numFmtId="173" fontId="30" fillId="0" borderId="13" xfId="1" applyNumberFormat="1" applyFont="1" applyBorder="1"/>
    <xf numFmtId="3" fontId="29" fillId="0" borderId="0" xfId="0" applyNumberFormat="1" applyFont="1" applyFill="1"/>
    <xf numFmtId="3" fontId="30" fillId="0" borderId="0" xfId="0" applyNumberFormat="1" applyFont="1" applyFill="1"/>
    <xf numFmtId="171" fontId="30" fillId="0" borderId="15" xfId="5" applyNumberFormat="1" applyFont="1" applyBorder="1"/>
    <xf numFmtId="164" fontId="30" fillId="0" borderId="0" xfId="0" applyNumberFormat="1" applyFont="1" applyFill="1"/>
    <xf numFmtId="3" fontId="55" fillId="0" borderId="15" xfId="0" applyNumberFormat="1" applyFont="1" applyFill="1" applyBorder="1"/>
    <xf numFmtId="173" fontId="31" fillId="0" borderId="1" xfId="0" applyNumberFormat="1" applyFont="1" applyFill="1" applyBorder="1"/>
    <xf numFmtId="0" fontId="31" fillId="0" borderId="88" xfId="0" applyFont="1" applyBorder="1" applyAlignment="1">
      <alignment horizontal="center" vertical="center"/>
    </xf>
    <xf numFmtId="0" fontId="82" fillId="27" borderId="170" xfId="3" applyFont="1" applyFill="1" applyBorder="1" applyAlignment="1">
      <alignment horizontal="center"/>
    </xf>
    <xf numFmtId="0" fontId="82" fillId="27" borderId="177" xfId="3" applyFont="1" applyFill="1" applyBorder="1" applyAlignment="1">
      <alignment horizontal="center"/>
    </xf>
    <xf numFmtId="0" fontId="82" fillId="27" borderId="127" xfId="3" applyFont="1" applyFill="1" applyBorder="1" applyAlignment="1">
      <alignment horizontal="center"/>
    </xf>
    <xf numFmtId="0" fontId="82" fillId="27" borderId="178" xfId="3" applyFont="1" applyFill="1" applyBorder="1" applyAlignment="1">
      <alignment horizontal="center"/>
    </xf>
    <xf numFmtId="0" fontId="82" fillId="27" borderId="171" xfId="3" applyFont="1" applyFill="1" applyBorder="1" applyAlignment="1">
      <alignment horizontal="center"/>
    </xf>
    <xf numFmtId="0" fontId="17" fillId="0" borderId="172" xfId="3" applyBorder="1" applyAlignment="1">
      <alignment horizontal="left"/>
    </xf>
    <xf numFmtId="169" fontId="17" fillId="0" borderId="200" xfId="3" applyNumberFormat="1" applyBorder="1" applyAlignment="1">
      <alignment horizontal="center"/>
    </xf>
    <xf numFmtId="169" fontId="17" fillId="0" borderId="184" xfId="3" applyNumberFormat="1" applyBorder="1" applyAlignment="1">
      <alignment horizontal="center"/>
    </xf>
    <xf numFmtId="169" fontId="17" fillId="0" borderId="201" xfId="3" applyNumberFormat="1" applyBorder="1" applyAlignment="1">
      <alignment horizontal="center"/>
    </xf>
    <xf numFmtId="2" fontId="17" fillId="0" borderId="161" xfId="3" applyNumberFormat="1" applyBorder="1" applyAlignment="1">
      <alignment horizontal="center"/>
    </xf>
    <xf numFmtId="2" fontId="17" fillId="0" borderId="181" xfId="3" applyNumberFormat="1" applyBorder="1" applyAlignment="1">
      <alignment horizontal="center"/>
    </xf>
    <xf numFmtId="2" fontId="17" fillId="0" borderId="173" xfId="3" applyNumberFormat="1" applyBorder="1" applyAlignment="1">
      <alignment horizontal="center"/>
    </xf>
    <xf numFmtId="169" fontId="17" fillId="0" borderId="161" xfId="3" applyNumberFormat="1" applyBorder="1" applyAlignment="1">
      <alignment horizontal="center"/>
    </xf>
    <xf numFmtId="169" fontId="17" fillId="0" borderId="181" xfId="3" applyNumberFormat="1" applyBorder="1" applyAlignment="1">
      <alignment horizontal="center"/>
    </xf>
    <xf numFmtId="169" fontId="17" fillId="0" borderId="173" xfId="3" applyNumberFormat="1" applyBorder="1" applyAlignment="1">
      <alignment horizontal="center"/>
    </xf>
    <xf numFmtId="0" fontId="17" fillId="0" borderId="174" xfId="3" applyBorder="1" applyAlignment="1">
      <alignment horizontal="left"/>
    </xf>
    <xf numFmtId="2" fontId="17" fillId="0" borderId="175" xfId="3" applyNumberFormat="1" applyBorder="1" applyAlignment="1">
      <alignment horizontal="center"/>
    </xf>
    <xf numFmtId="2" fontId="17" fillId="0" borderId="187" xfId="3" applyNumberFormat="1" applyBorder="1" applyAlignment="1">
      <alignment horizontal="center"/>
    </xf>
    <xf numFmtId="2" fontId="17" fillId="0" borderId="176" xfId="3" applyNumberFormat="1" applyBorder="1" applyAlignment="1">
      <alignment horizontal="center"/>
    </xf>
    <xf numFmtId="0" fontId="82" fillId="0" borderId="1" xfId="3" applyFont="1"/>
    <xf numFmtId="0" fontId="20" fillId="10" borderId="0" xfId="0" applyFont="1" applyFill="1" applyAlignment="1">
      <alignment horizontal="center"/>
    </xf>
    <xf numFmtId="0" fontId="20" fillId="10" borderId="0" xfId="0" applyFont="1" applyFill="1"/>
    <xf numFmtId="0" fontId="20" fillId="10" borderId="0" xfId="0" applyNumberFormat="1" applyFont="1" applyFill="1" applyAlignment="1">
      <alignment horizontal="center"/>
    </xf>
    <xf numFmtId="0" fontId="54" fillId="10" borderId="0" xfId="0" applyFont="1" applyFill="1" applyAlignment="1">
      <alignment horizontal="center"/>
    </xf>
    <xf numFmtId="0" fontId="54" fillId="25" borderId="0" xfId="0" applyFont="1" applyFill="1" applyAlignment="1">
      <alignment horizontal="center"/>
    </xf>
    <xf numFmtId="49" fontId="14" fillId="13" borderId="1" xfId="8" applyNumberFormat="1" applyFill="1" applyAlignment="1">
      <alignment horizontal="left" vertical="center"/>
    </xf>
    <xf numFmtId="0" fontId="14" fillId="13" borderId="1" xfId="8" applyFill="1"/>
    <xf numFmtId="178" fontId="14" fillId="13" borderId="1" xfId="8" applyNumberFormat="1" applyFill="1" applyAlignment="1">
      <alignment horizontal="right" vertical="center"/>
    </xf>
    <xf numFmtId="49" fontId="20" fillId="5" borderId="47" xfId="0" applyNumberFormat="1" applyFont="1" applyFill="1" applyBorder="1" applyAlignment="1">
      <alignment horizontal="left" vertical="center"/>
    </xf>
    <xf numFmtId="1" fontId="52" fillId="10" borderId="1" xfId="0" applyNumberFormat="1" applyFont="1" applyFill="1" applyBorder="1" applyAlignment="1">
      <alignment horizontal="left" vertical="top"/>
    </xf>
    <xf numFmtId="49" fontId="51" fillId="10" borderId="1" xfId="0" applyNumberFormat="1" applyFont="1" applyFill="1" applyBorder="1" applyAlignment="1">
      <alignment horizontal="left" vertical="top"/>
    </xf>
    <xf numFmtId="0" fontId="51" fillId="10" borderId="202" xfId="0" applyFont="1" applyFill="1" applyBorder="1" applyAlignment="1">
      <alignment horizontal="left" vertical="top"/>
    </xf>
    <xf numFmtId="0" fontId="51" fillId="10" borderId="43" xfId="0" applyFont="1" applyFill="1" applyBorder="1" applyAlignment="1">
      <alignment horizontal="left" vertical="top"/>
    </xf>
    <xf numFmtId="1" fontId="52" fillId="10" borderId="202" xfId="0" applyNumberFormat="1" applyFont="1" applyFill="1" applyBorder="1" applyAlignment="1">
      <alignment horizontal="left" vertical="top"/>
    </xf>
    <xf numFmtId="49" fontId="51" fillId="10" borderId="203" xfId="0" applyNumberFormat="1" applyFont="1" applyFill="1" applyBorder="1" applyAlignment="1">
      <alignment horizontal="left" vertical="top"/>
    </xf>
    <xf numFmtId="0" fontId="51" fillId="10" borderId="203" xfId="0" applyFont="1" applyFill="1" applyBorder="1" applyAlignment="1">
      <alignment horizontal="left" vertical="top"/>
    </xf>
    <xf numFmtId="49" fontId="51" fillId="10" borderId="202" xfId="0" applyNumberFormat="1" applyFont="1" applyFill="1" applyBorder="1" applyAlignment="1">
      <alignment horizontal="left" vertical="top"/>
    </xf>
    <xf numFmtId="49" fontId="51" fillId="10" borderId="204" xfId="0" applyNumberFormat="1" applyFont="1" applyFill="1" applyBorder="1" applyAlignment="1">
      <alignment horizontal="left" vertical="top"/>
    </xf>
    <xf numFmtId="0" fontId="52" fillId="10" borderId="202" xfId="0" applyFont="1" applyFill="1" applyBorder="1" applyAlignment="1">
      <alignment horizontal="left" vertical="top"/>
    </xf>
    <xf numFmtId="39" fontId="51" fillId="10" borderId="204" xfId="0" applyNumberFormat="1" applyFont="1" applyFill="1" applyBorder="1" applyAlignment="1">
      <alignment horizontal="left" vertical="top"/>
    </xf>
    <xf numFmtId="39" fontId="51" fillId="10" borderId="202" xfId="0" applyNumberFormat="1" applyFont="1" applyFill="1" applyBorder="1" applyAlignment="1">
      <alignment horizontal="left" vertical="top"/>
    </xf>
    <xf numFmtId="0" fontId="51" fillId="10" borderId="204" xfId="0" applyFont="1" applyFill="1" applyBorder="1" applyAlignment="1">
      <alignment horizontal="left" vertical="top"/>
    </xf>
    <xf numFmtId="0" fontId="53" fillId="8" borderId="47" xfId="0" applyFont="1" applyFill="1" applyBorder="1" applyAlignment="1">
      <alignment horizontal="left" vertical="top"/>
    </xf>
    <xf numFmtId="37" fontId="86" fillId="0" borderId="0" xfId="0" applyNumberFormat="1" applyFont="1"/>
    <xf numFmtId="37" fontId="33" fillId="0" borderId="32" xfId="0" applyNumberFormat="1" applyFont="1" applyFill="1" applyBorder="1"/>
    <xf numFmtId="4" fontId="14" fillId="13" borderId="1" xfId="8" applyNumberFormat="1" applyFill="1"/>
    <xf numFmtId="0" fontId="56" fillId="22" borderId="104" xfId="0" applyFont="1" applyFill="1" applyBorder="1"/>
    <xf numFmtId="0" fontId="56" fillId="22" borderId="105" xfId="0" applyFont="1" applyFill="1" applyBorder="1"/>
    <xf numFmtId="0" fontId="56" fillId="22" borderId="106" xfId="0" applyFont="1" applyFill="1" applyBorder="1"/>
    <xf numFmtId="3" fontId="30" fillId="0" borderId="12" xfId="0" applyNumberFormat="1" applyFont="1" applyFill="1" applyBorder="1"/>
    <xf numFmtId="169" fontId="13" fillId="0" borderId="180" xfId="3" applyNumberFormat="1" applyFont="1" applyBorder="1" applyAlignment="1">
      <alignment horizontal="center"/>
    </xf>
    <xf numFmtId="169" fontId="13" fillId="0" borderId="161" xfId="3" applyNumberFormat="1" applyFont="1" applyBorder="1" applyAlignment="1">
      <alignment horizontal="center"/>
    </xf>
    <xf numFmtId="169" fontId="13" fillId="0" borderId="181" xfId="3" applyNumberFormat="1" applyFont="1" applyBorder="1" applyAlignment="1">
      <alignment horizontal="center"/>
    </xf>
    <xf numFmtId="169" fontId="13" fillId="0" borderId="173" xfId="3" applyNumberFormat="1" applyFont="1" applyBorder="1" applyAlignment="1">
      <alignment horizontal="center"/>
    </xf>
    <xf numFmtId="9" fontId="13" fillId="0" borderId="180" xfId="4" applyFont="1" applyBorder="1" applyAlignment="1">
      <alignment horizontal="center"/>
    </xf>
    <xf numFmtId="9" fontId="13" fillId="0" borderId="181" xfId="4" applyFont="1" applyBorder="1" applyAlignment="1">
      <alignment horizontal="center"/>
    </xf>
    <xf numFmtId="9" fontId="13" fillId="0" borderId="182" xfId="4" applyFont="1" applyBorder="1" applyAlignment="1">
      <alignment horizontal="center"/>
    </xf>
    <xf numFmtId="9" fontId="13" fillId="0" borderId="180" xfId="4" applyFont="1" applyFill="1" applyBorder="1" applyAlignment="1">
      <alignment horizontal="center"/>
    </xf>
    <xf numFmtId="2" fontId="13" fillId="0" borderId="161" xfId="4" applyNumberFormat="1" applyFont="1" applyBorder="1" applyAlignment="1">
      <alignment horizontal="center"/>
    </xf>
    <xf numFmtId="2" fontId="13" fillId="0" borderId="181" xfId="4" applyNumberFormat="1" applyFont="1" applyBorder="1" applyAlignment="1">
      <alignment horizontal="center"/>
    </xf>
    <xf numFmtId="2" fontId="13" fillId="0" borderId="173" xfId="4" applyNumberFormat="1" applyFont="1" applyBorder="1" applyAlignment="1">
      <alignment horizontal="center"/>
    </xf>
    <xf numFmtId="9" fontId="13" fillId="0" borderId="161" xfId="4" applyFont="1" applyBorder="1" applyAlignment="1">
      <alignment horizontal="center"/>
    </xf>
    <xf numFmtId="9" fontId="13" fillId="0" borderId="173" xfId="4" applyFont="1" applyBorder="1" applyAlignment="1">
      <alignment horizontal="center"/>
    </xf>
    <xf numFmtId="0" fontId="13" fillId="0" borderId="190" xfId="3" applyFont="1" applyBorder="1"/>
    <xf numFmtId="169" fontId="13" fillId="0" borderId="193" xfId="3" applyNumberFormat="1" applyFont="1" applyBorder="1" applyAlignment="1">
      <alignment horizontal="center"/>
    </xf>
    <xf numFmtId="169" fontId="13" fillId="0" borderId="191" xfId="3" applyNumberFormat="1" applyFont="1" applyBorder="1" applyAlignment="1">
      <alignment horizontal="center"/>
    </xf>
    <xf numFmtId="169" fontId="13" fillId="0" borderId="194" xfId="3" applyNumberFormat="1" applyFont="1" applyBorder="1" applyAlignment="1">
      <alignment horizontal="center"/>
    </xf>
    <xf numFmtId="9" fontId="13" fillId="0" borderId="190" xfId="4" applyFont="1" applyBorder="1" applyAlignment="1">
      <alignment horizontal="center"/>
    </xf>
    <xf numFmtId="9" fontId="13" fillId="0" borderId="191" xfId="4" applyFont="1" applyBorder="1" applyAlignment="1">
      <alignment horizontal="center"/>
    </xf>
    <xf numFmtId="9" fontId="13" fillId="0" borderId="192" xfId="4" applyFont="1" applyBorder="1" applyAlignment="1">
      <alignment horizontal="center"/>
    </xf>
    <xf numFmtId="169" fontId="13" fillId="0" borderId="175" xfId="3" applyNumberFormat="1" applyFont="1" applyBorder="1" applyAlignment="1">
      <alignment horizontal="center"/>
    </xf>
    <xf numFmtId="169" fontId="13" fillId="0" borderId="187" xfId="3" applyNumberFormat="1" applyFont="1" applyBorder="1" applyAlignment="1">
      <alignment horizontal="center"/>
    </xf>
    <xf numFmtId="169" fontId="13" fillId="0" borderId="176" xfId="3" applyNumberFormat="1" applyFont="1" applyBorder="1" applyAlignment="1">
      <alignment horizontal="center"/>
    </xf>
    <xf numFmtId="9" fontId="13" fillId="0" borderId="186" xfId="4" applyFont="1" applyBorder="1" applyAlignment="1">
      <alignment horizontal="center"/>
    </xf>
    <xf numFmtId="9" fontId="13" fillId="0" borderId="187" xfId="4" applyFont="1" applyBorder="1" applyAlignment="1">
      <alignment horizontal="center"/>
    </xf>
    <xf numFmtId="9" fontId="13" fillId="0" borderId="188" xfId="4" applyFont="1" applyBorder="1" applyAlignment="1">
      <alignment horizontal="center"/>
    </xf>
    <xf numFmtId="0" fontId="13" fillId="0" borderId="1" xfId="3" applyFont="1"/>
    <xf numFmtId="169" fontId="13" fillId="0" borderId="180" xfId="4" applyNumberFormat="1" applyFont="1" applyFill="1" applyBorder="1" applyAlignment="1">
      <alignment horizontal="center"/>
    </xf>
    <xf numFmtId="9" fontId="13" fillId="0" borderId="180" xfId="1" applyFont="1" applyBorder="1" applyAlignment="1">
      <alignment horizontal="center"/>
    </xf>
    <xf numFmtId="2" fontId="13" fillId="0" borderId="161" xfId="3" applyNumberFormat="1" applyFont="1" applyBorder="1" applyAlignment="1">
      <alignment horizontal="center"/>
    </xf>
    <xf numFmtId="2" fontId="13" fillId="0" borderId="181" xfId="3" applyNumberFormat="1" applyFont="1" applyBorder="1" applyAlignment="1">
      <alignment horizontal="center"/>
    </xf>
    <xf numFmtId="2" fontId="13" fillId="0" borderId="173" xfId="3" applyNumberFormat="1" applyFont="1" applyBorder="1" applyAlignment="1">
      <alignment horizontal="center"/>
    </xf>
    <xf numFmtId="169" fontId="13" fillId="0" borderId="186" xfId="3" applyNumberFormat="1" applyFont="1" applyBorder="1" applyAlignment="1">
      <alignment horizontal="center"/>
    </xf>
    <xf numFmtId="0" fontId="13" fillId="0" borderId="172" xfId="3" applyFont="1" applyBorder="1" applyAlignment="1">
      <alignment horizontal="left" indent="1"/>
    </xf>
    <xf numFmtId="0" fontId="13" fillId="0" borderId="172" xfId="3" applyFont="1" applyBorder="1" applyAlignment="1">
      <alignment horizontal="left"/>
    </xf>
    <xf numFmtId="1" fontId="13" fillId="0" borderId="161" xfId="3" applyNumberFormat="1" applyFont="1" applyBorder="1" applyAlignment="1">
      <alignment horizontal="center"/>
    </xf>
    <xf numFmtId="1" fontId="13" fillId="0" borderId="181" xfId="3" applyNumberFormat="1" applyFont="1" applyBorder="1" applyAlignment="1">
      <alignment horizontal="center"/>
    </xf>
    <xf numFmtId="1" fontId="13" fillId="0" borderId="173" xfId="3" applyNumberFormat="1" applyFont="1" applyBorder="1" applyAlignment="1">
      <alignment horizontal="center"/>
    </xf>
    <xf numFmtId="0" fontId="13" fillId="0" borderId="174" xfId="3" applyFont="1" applyBorder="1" applyAlignment="1">
      <alignment horizontal="left"/>
    </xf>
    <xf numFmtId="169" fontId="13" fillId="0" borderId="180" xfId="1" applyNumberFormat="1" applyFont="1" applyBorder="1" applyAlignment="1">
      <alignment horizontal="center"/>
    </xf>
    <xf numFmtId="173" fontId="13" fillId="0" borderId="180" xfId="1" applyNumberFormat="1" applyFont="1" applyBorder="1" applyAlignment="1">
      <alignment horizontal="center"/>
    </xf>
    <xf numFmtId="173" fontId="13" fillId="0" borderId="186" xfId="1" applyNumberFormat="1" applyFont="1" applyBorder="1" applyAlignment="1">
      <alignment horizontal="center"/>
    </xf>
    <xf numFmtId="3" fontId="29" fillId="0" borderId="0" xfId="0" applyNumberFormat="1" applyFont="1"/>
    <xf numFmtId="166" fontId="29" fillId="0" borderId="0" xfId="5" applyFont="1" applyFill="1"/>
    <xf numFmtId="0" fontId="19" fillId="29" borderId="208" xfId="0" applyFont="1" applyFill="1" applyBorder="1" applyAlignment="1">
      <alignment horizontal="center"/>
    </xf>
    <xf numFmtId="0" fontId="19" fillId="30" borderId="208" xfId="0" applyFont="1" applyFill="1" applyBorder="1" applyAlignment="1">
      <alignment horizontal="center"/>
    </xf>
    <xf numFmtId="0" fontId="19" fillId="31" borderId="208" xfId="0" applyFont="1" applyFill="1" applyBorder="1" applyAlignment="1">
      <alignment horizontal="center"/>
    </xf>
    <xf numFmtId="0" fontId="19" fillId="33" borderId="208" xfId="0" applyFont="1" applyFill="1" applyBorder="1" applyAlignment="1">
      <alignment horizontal="center"/>
    </xf>
    <xf numFmtId="39" fontId="31" fillId="0" borderId="0" xfId="0" applyNumberFormat="1" applyFont="1"/>
    <xf numFmtId="173" fontId="31" fillId="0" borderId="9" xfId="0" applyNumberFormat="1" applyFont="1" applyBorder="1"/>
    <xf numFmtId="0" fontId="55" fillId="0" borderId="1" xfId="0" applyFont="1" applyBorder="1"/>
    <xf numFmtId="37" fontId="31" fillId="0" borderId="1" xfId="0" applyNumberFormat="1" applyFont="1" applyBorder="1"/>
    <xf numFmtId="0" fontId="54" fillId="0" borderId="0" xfId="0" applyFont="1"/>
    <xf numFmtId="3" fontId="28" fillId="0" borderId="0" xfId="0" applyNumberFormat="1" applyFont="1"/>
    <xf numFmtId="166" fontId="28" fillId="0" borderId="0" xfId="5" applyFont="1"/>
    <xf numFmtId="2" fontId="0" fillId="0" borderId="0" xfId="0" applyNumberFormat="1"/>
    <xf numFmtId="3" fontId="0" fillId="0" borderId="0" xfId="0" applyNumberFormat="1"/>
    <xf numFmtId="4" fontId="28" fillId="0" borderId="0" xfId="0" applyNumberFormat="1" applyFont="1"/>
    <xf numFmtId="173" fontId="28" fillId="0" borderId="0" xfId="1" applyNumberFormat="1" applyFont="1"/>
    <xf numFmtId="166" fontId="38" fillId="0" borderId="0" xfId="5" applyFont="1"/>
    <xf numFmtId="173" fontId="38" fillId="0" borderId="0" xfId="1" applyNumberFormat="1" applyFont="1"/>
    <xf numFmtId="166" fontId="0" fillId="0" borderId="0" xfId="0" applyNumberFormat="1"/>
    <xf numFmtId="173" fontId="0" fillId="0" borderId="0" xfId="1" applyNumberFormat="1" applyFont="1" applyAlignment="1"/>
    <xf numFmtId="166" fontId="0" fillId="0" borderId="0" xfId="5" applyFont="1" applyAlignment="1"/>
    <xf numFmtId="4" fontId="38" fillId="0" borderId="0" xfId="0" applyNumberFormat="1" applyFont="1"/>
    <xf numFmtId="4" fontId="0" fillId="0" borderId="0" xfId="0" applyNumberFormat="1"/>
    <xf numFmtId="9" fontId="28" fillId="0" borderId="0" xfId="1" applyFont="1"/>
    <xf numFmtId="171" fontId="33" fillId="0" borderId="35" xfId="5" applyNumberFormat="1" applyFont="1" applyFill="1" applyBorder="1"/>
    <xf numFmtId="179" fontId="30" fillId="0" borderId="1" xfId="0" applyNumberFormat="1" applyFont="1" applyBorder="1"/>
    <xf numFmtId="179" fontId="30" fillId="0" borderId="0" xfId="0" applyNumberFormat="1" applyFont="1" applyFill="1"/>
    <xf numFmtId="9" fontId="30" fillId="0" borderId="0" xfId="1" applyNumberFormat="1" applyFont="1" applyFill="1"/>
    <xf numFmtId="169" fontId="20" fillId="0" borderId="0" xfId="0" applyNumberFormat="1" applyFont="1" applyFill="1" applyAlignment="1">
      <alignment horizontal="center" vertical="top"/>
    </xf>
    <xf numFmtId="169" fontId="48" fillId="0" borderId="0" xfId="0" applyNumberFormat="1" applyFont="1" applyFill="1" applyAlignment="1">
      <alignment horizontal="center" vertical="top"/>
    </xf>
    <xf numFmtId="4" fontId="20" fillId="0" borderId="0" xfId="0" applyNumberFormat="1" applyFont="1" applyFill="1" applyAlignment="1">
      <alignment horizontal="center" vertical="top"/>
    </xf>
    <xf numFmtId="169" fontId="62" fillId="0" borderId="0" xfId="0" applyNumberFormat="1" applyFont="1" applyFill="1" applyAlignment="1">
      <alignment horizontal="center" vertical="top"/>
    </xf>
    <xf numFmtId="169" fontId="0" fillId="0" borderId="0" xfId="0" applyNumberFormat="1" applyFont="1" applyFill="1" applyAlignment="1"/>
    <xf numFmtId="37" fontId="33" fillId="0" borderId="24" xfId="0" applyNumberFormat="1" applyFont="1" applyFill="1" applyBorder="1"/>
    <xf numFmtId="173" fontId="30" fillId="0" borderId="13" xfId="1" applyNumberFormat="1" applyFont="1" applyFill="1" applyBorder="1"/>
    <xf numFmtId="4" fontId="16" fillId="13" borderId="1" xfId="6" applyNumberFormat="1" applyFill="1"/>
    <xf numFmtId="169" fontId="13" fillId="0" borderId="1" xfId="3" applyNumberFormat="1" applyFont="1"/>
    <xf numFmtId="0" fontId="64" fillId="0" borderId="1" xfId="2" applyFont="1" applyAlignment="1">
      <alignment horizontal="center"/>
    </xf>
    <xf numFmtId="0" fontId="56" fillId="22" borderId="104" xfId="0" applyFont="1" applyFill="1" applyBorder="1" applyAlignment="1">
      <alignment horizontal="center"/>
    </xf>
    <xf numFmtId="173" fontId="30" fillId="0" borderId="1" xfId="1" applyNumberFormat="1" applyFont="1" applyBorder="1" applyAlignment="1">
      <alignment horizontal="right"/>
    </xf>
    <xf numFmtId="173" fontId="30" fillId="0" borderId="22" xfId="1" applyNumberFormat="1" applyFont="1" applyBorder="1" applyAlignment="1">
      <alignment horizontal="right"/>
    </xf>
    <xf numFmtId="166" fontId="29" fillId="0" borderId="0" xfId="0" applyNumberFormat="1" applyFont="1" applyFill="1"/>
    <xf numFmtId="0" fontId="54" fillId="0" borderId="1" xfId="11"/>
    <xf numFmtId="0" fontId="0" fillId="0" borderId="1" xfId="12" applyFont="1"/>
    <xf numFmtId="0" fontId="87" fillId="0" borderId="1" xfId="12" applyFont="1" applyAlignment="1">
      <alignment horizontal="center"/>
    </xf>
    <xf numFmtId="3" fontId="88" fillId="26" borderId="1" xfId="12" applyNumberFormat="1" applyFill="1" applyAlignment="1">
      <alignment horizontal="center" vertical="center"/>
    </xf>
    <xf numFmtId="3" fontId="0" fillId="26" borderId="1" xfId="12" applyNumberFormat="1" applyFont="1" applyFill="1" applyAlignment="1">
      <alignment horizontal="center"/>
    </xf>
    <xf numFmtId="0" fontId="52" fillId="10" borderId="47" xfId="0" applyNumberFormat="1" applyFont="1" applyFill="1" applyBorder="1" applyAlignment="1">
      <alignment horizontal="left" vertical="top"/>
    </xf>
    <xf numFmtId="39" fontId="41" fillId="0" borderId="0" xfId="0" applyNumberFormat="1" applyFont="1"/>
    <xf numFmtId="0" fontId="14" fillId="13" borderId="1" xfId="8" applyNumberFormat="1" applyFill="1" applyAlignment="1">
      <alignment horizontal="left" vertical="center"/>
    </xf>
    <xf numFmtId="37" fontId="70" fillId="0" borderId="1" xfId="2" applyNumberFormat="1" applyFont="1"/>
    <xf numFmtId="0" fontId="8" fillId="0" borderId="1" xfId="3" applyFont="1"/>
    <xf numFmtId="165" fontId="17" fillId="0" borderId="1" xfId="13" applyFont="1" applyBorder="1"/>
    <xf numFmtId="165" fontId="8" fillId="0" borderId="1" xfId="13" applyFont="1" applyBorder="1"/>
    <xf numFmtId="0" fontId="51" fillId="10" borderId="47" xfId="0" applyNumberFormat="1" applyFont="1" applyFill="1" applyBorder="1" applyAlignment="1">
      <alignment horizontal="left" vertical="top"/>
    </xf>
    <xf numFmtId="0" fontId="20" fillId="5" borderId="47" xfId="0" applyNumberFormat="1" applyFont="1" applyFill="1" applyBorder="1" applyAlignment="1">
      <alignment horizontal="left" vertical="center"/>
    </xf>
    <xf numFmtId="0" fontId="52" fillId="10" borderId="47" xfId="0" quotePrefix="1" applyNumberFormat="1" applyFont="1" applyFill="1" applyBorder="1" applyAlignment="1">
      <alignment horizontal="left" vertical="top"/>
    </xf>
    <xf numFmtId="0" fontId="52" fillId="10" borderId="202" xfId="0" applyNumberFormat="1" applyFont="1" applyFill="1" applyBorder="1" applyAlignment="1">
      <alignment horizontal="left" vertical="top"/>
    </xf>
    <xf numFmtId="49" fontId="20" fillId="0" borderId="1" xfId="0" applyNumberFormat="1" applyFont="1" applyFill="1" applyBorder="1" applyAlignment="1">
      <alignment horizontal="left" vertical="center"/>
    </xf>
    <xf numFmtId="0" fontId="20" fillId="0" borderId="1" xfId="0" applyFont="1" applyFill="1" applyBorder="1" applyAlignment="1">
      <alignment horizontal="left" vertical="top"/>
    </xf>
    <xf numFmtId="176" fontId="20" fillId="0" borderId="1" xfId="0" applyNumberFormat="1" applyFont="1" applyFill="1" applyBorder="1" applyAlignment="1">
      <alignment horizontal="right" vertical="center"/>
    </xf>
    <xf numFmtId="10" fontId="0" fillId="0" borderId="0" xfId="1" applyNumberFormat="1" applyFont="1" applyFill="1" applyAlignment="1"/>
    <xf numFmtId="178" fontId="16" fillId="0" borderId="1" xfId="6" applyNumberFormat="1" applyFill="1" applyAlignment="1">
      <alignment horizontal="right" vertical="center"/>
    </xf>
    <xf numFmtId="49" fontId="16" fillId="0" borderId="1" xfId="6" applyNumberFormat="1" applyFill="1" applyAlignment="1">
      <alignment horizontal="left" vertical="center"/>
    </xf>
    <xf numFmtId="0" fontId="16" fillId="0" borderId="1" xfId="6" applyNumberFormat="1" applyFill="1" applyAlignment="1">
      <alignment horizontal="left" vertical="center"/>
    </xf>
    <xf numFmtId="49" fontId="20" fillId="0" borderId="1" xfId="0" applyNumberFormat="1" applyFont="1" applyFill="1" applyBorder="1" applyAlignment="1">
      <alignment horizontal="left" vertical="top"/>
    </xf>
    <xf numFmtId="177" fontId="20" fillId="0" borderId="1" xfId="0" applyNumberFormat="1" applyFont="1" applyFill="1" applyBorder="1" applyAlignment="1">
      <alignment horizontal="right" vertical="top"/>
    </xf>
    <xf numFmtId="37" fontId="30" fillId="0" borderId="22" xfId="0" applyNumberFormat="1" applyFont="1" applyFill="1" applyBorder="1"/>
    <xf numFmtId="3" fontId="30" fillId="0" borderId="167" xfId="0" applyNumberFormat="1" applyFont="1" applyFill="1" applyBorder="1"/>
    <xf numFmtId="3" fontId="30" fillId="0" borderId="19" xfId="0" applyNumberFormat="1" applyFont="1" applyFill="1" applyBorder="1"/>
    <xf numFmtId="0" fontId="54" fillId="0" borderId="1" xfId="12" applyFont="1"/>
    <xf numFmtId="173" fontId="55" fillId="22" borderId="1" xfId="0" applyNumberFormat="1" applyFont="1" applyFill="1" applyBorder="1"/>
    <xf numFmtId="173" fontId="55" fillId="22" borderId="0" xfId="1" applyNumberFormat="1" applyFont="1" applyFill="1"/>
    <xf numFmtId="37" fontId="64" fillId="22" borderId="0" xfId="0" applyNumberFormat="1" applyFont="1" applyFill="1"/>
    <xf numFmtId="0" fontId="66" fillId="22" borderId="0" xfId="0" applyFont="1" applyFill="1" applyAlignment="1">
      <alignment horizontal="center"/>
    </xf>
    <xf numFmtId="37" fontId="66" fillId="22" borderId="120" xfId="0" applyNumberFormat="1" applyFont="1" applyFill="1" applyBorder="1" applyAlignment="1">
      <alignment horizontal="center"/>
    </xf>
    <xf numFmtId="0" fontId="59" fillId="22" borderId="0" xfId="0" applyFont="1" applyFill="1"/>
    <xf numFmtId="174" fontId="59" fillId="22" borderId="0" xfId="0" applyNumberFormat="1" applyFont="1" applyFill="1"/>
    <xf numFmtId="173" fontId="59" fillId="22" borderId="103" xfId="1" applyNumberFormat="1" applyFont="1" applyFill="1" applyBorder="1"/>
    <xf numFmtId="173" fontId="59" fillId="22" borderId="0" xfId="1" applyNumberFormat="1" applyFont="1" applyFill="1"/>
    <xf numFmtId="0" fontId="59" fillId="22" borderId="101" xfId="0" applyFont="1" applyFill="1" applyBorder="1"/>
    <xf numFmtId="174" fontId="59" fillId="22" borderId="53" xfId="0" applyNumberFormat="1" applyFont="1" applyFill="1" applyBorder="1"/>
    <xf numFmtId="37" fontId="59" fillId="22" borderId="63" xfId="0" applyNumberFormat="1" applyFont="1" applyFill="1" applyBorder="1"/>
    <xf numFmtId="0" fontId="59" fillId="22" borderId="195" xfId="0" applyFont="1" applyFill="1" applyBorder="1"/>
    <xf numFmtId="174" fontId="59" fillId="22" borderId="54" xfId="0" applyNumberFormat="1" applyFont="1" applyFill="1" applyBorder="1"/>
    <xf numFmtId="0" fontId="90" fillId="22" borderId="70" xfId="0" applyFont="1" applyFill="1" applyBorder="1"/>
    <xf numFmtId="0" fontId="90" fillId="22" borderId="0" xfId="0" applyFont="1" applyFill="1"/>
    <xf numFmtId="37" fontId="90" fillId="22" borderId="55" xfId="0" applyNumberFormat="1" applyFont="1" applyFill="1" applyBorder="1"/>
    <xf numFmtId="0" fontId="71" fillId="22" borderId="0" xfId="0" applyFont="1" applyFill="1"/>
    <xf numFmtId="0" fontId="91" fillId="24" borderId="149" xfId="0" applyFont="1" applyFill="1" applyBorder="1"/>
    <xf numFmtId="0" fontId="90" fillId="24" borderId="112" xfId="0" applyFont="1" applyFill="1" applyBorder="1"/>
    <xf numFmtId="37" fontId="90" fillId="24" borderId="150" xfId="0" applyNumberFormat="1" applyFont="1" applyFill="1" applyBorder="1"/>
    <xf numFmtId="0" fontId="70" fillId="22" borderId="0" xfId="0" applyFont="1" applyFill="1"/>
    <xf numFmtId="37" fontId="59" fillId="22" borderId="0" xfId="0" applyNumberFormat="1" applyFont="1" applyFill="1"/>
    <xf numFmtId="0" fontId="92" fillId="0" borderId="1" xfId="15" applyFont="1"/>
    <xf numFmtId="0" fontId="6" fillId="0" borderId="1" xfId="15"/>
    <xf numFmtId="0" fontId="93" fillId="0" borderId="1" xfId="15" applyFont="1"/>
    <xf numFmtId="0" fontId="94" fillId="0" borderId="1" xfId="15" applyFont="1" applyAlignment="1">
      <alignment horizontal="center"/>
    </xf>
    <xf numFmtId="0" fontId="6" fillId="0" borderId="1" xfId="15" applyAlignment="1">
      <alignment horizontal="center"/>
    </xf>
    <xf numFmtId="0" fontId="82" fillId="0" borderId="1" xfId="15" applyFont="1" applyAlignment="1">
      <alignment horizontal="center"/>
    </xf>
    <xf numFmtId="0" fontId="82" fillId="20" borderId="210" xfId="15" applyFont="1" applyFill="1" applyBorder="1" applyAlignment="1">
      <alignment horizontal="center" vertical="center" wrapText="1"/>
    </xf>
    <xf numFmtId="0" fontId="82" fillId="20" borderId="211" xfId="15" applyFont="1" applyFill="1" applyBorder="1" applyAlignment="1">
      <alignment horizontal="center" vertical="center" wrapText="1"/>
    </xf>
    <xf numFmtId="0" fontId="82" fillId="20" borderId="212" xfId="15" applyFont="1" applyFill="1" applyBorder="1" applyAlignment="1">
      <alignment horizontal="center" vertical="center" wrapText="1"/>
    </xf>
    <xf numFmtId="0" fontId="82" fillId="20" borderId="209" xfId="15" applyFont="1" applyFill="1" applyBorder="1" applyAlignment="1">
      <alignment horizontal="center" vertical="center" wrapText="1"/>
    </xf>
    <xf numFmtId="0" fontId="82" fillId="0" borderId="1" xfId="15" applyFont="1"/>
    <xf numFmtId="169" fontId="83" fillId="11" borderId="214" xfId="15" applyNumberFormat="1" applyFont="1" applyFill="1" applyBorder="1" applyAlignment="1">
      <alignment horizontal="center" vertical="center"/>
    </xf>
    <xf numFmtId="169" fontId="83" fillId="11" borderId="216" xfId="15" applyNumberFormat="1" applyFont="1" applyFill="1" applyBorder="1" applyAlignment="1">
      <alignment horizontal="center" vertical="center"/>
    </xf>
    <xf numFmtId="0" fontId="83" fillId="11" borderId="215" xfId="15" applyFont="1" applyFill="1" applyBorder="1" applyAlignment="1">
      <alignment horizontal="center" vertical="center"/>
    </xf>
    <xf numFmtId="3" fontId="82" fillId="11" borderId="214" xfId="15" applyNumberFormat="1" applyFont="1" applyFill="1" applyBorder="1" applyAlignment="1">
      <alignment horizontal="center" vertical="center"/>
    </xf>
    <xf numFmtId="3" fontId="82" fillId="11" borderId="216" xfId="15" applyNumberFormat="1" applyFont="1" applyFill="1" applyBorder="1" applyAlignment="1">
      <alignment horizontal="center" vertical="center"/>
    </xf>
    <xf numFmtId="0" fontId="6" fillId="11" borderId="217" xfId="15" applyFill="1" applyBorder="1" applyAlignment="1">
      <alignment wrapText="1"/>
    </xf>
    <xf numFmtId="0" fontId="6" fillId="0" borderId="209" xfId="15" applyBorder="1" applyAlignment="1" applyProtection="1">
      <alignment horizontal="center" vertical="center" wrapText="1"/>
      <protection locked="0"/>
    </xf>
    <xf numFmtId="0" fontId="6" fillId="0" borderId="209" xfId="15" applyBorder="1" applyAlignment="1">
      <alignment horizontal="center" vertical="center"/>
    </xf>
    <xf numFmtId="0" fontId="6" fillId="0" borderId="168" xfId="15" applyBorder="1" applyAlignment="1" applyProtection="1">
      <alignment horizontal="center" vertical="center" wrapText="1"/>
      <protection locked="0"/>
    </xf>
    <xf numFmtId="37" fontId="6" fillId="0" borderId="1" xfId="15" applyNumberFormat="1" applyAlignment="1" applyProtection="1">
      <alignment horizontal="center" vertical="center"/>
      <protection locked="0"/>
    </xf>
    <xf numFmtId="37" fontId="6" fillId="0" borderId="218" xfId="15" applyNumberFormat="1" applyBorder="1" applyAlignment="1" applyProtection="1">
      <alignment horizontal="center" vertical="center"/>
      <protection locked="0"/>
    </xf>
    <xf numFmtId="0" fontId="6" fillId="0" borderId="219" xfId="15" applyBorder="1" applyAlignment="1" applyProtection="1">
      <alignment horizontal="center" vertical="center" wrapText="1"/>
      <protection locked="0"/>
    </xf>
    <xf numFmtId="0" fontId="6" fillId="0" borderId="219" xfId="15" applyBorder="1" applyAlignment="1">
      <alignment horizontal="center" vertical="center"/>
    </xf>
    <xf numFmtId="0" fontId="6" fillId="0" borderId="218" xfId="15" applyBorder="1" applyAlignment="1" applyProtection="1">
      <alignment horizontal="center" vertical="center" wrapText="1"/>
      <protection locked="0"/>
    </xf>
    <xf numFmtId="0" fontId="6" fillId="0" borderId="213" xfId="15" applyBorder="1" applyAlignment="1" applyProtection="1">
      <alignment horizontal="center" vertical="center" wrapText="1"/>
      <protection locked="0"/>
    </xf>
    <xf numFmtId="0" fontId="6" fillId="0" borderId="213" xfId="15" applyBorder="1" applyAlignment="1">
      <alignment horizontal="center" vertical="center"/>
    </xf>
    <xf numFmtId="0" fontId="6" fillId="0" borderId="220" xfId="15" applyBorder="1" applyAlignment="1" applyProtection="1">
      <alignment horizontal="center" vertical="center" wrapText="1"/>
      <protection locked="0"/>
    </xf>
    <xf numFmtId="0" fontId="6" fillId="0" borderId="221" xfId="15" applyBorder="1" applyAlignment="1" applyProtection="1">
      <alignment horizontal="center" vertical="center" wrapText="1"/>
      <protection locked="0"/>
    </xf>
    <xf numFmtId="37" fontId="6" fillId="0" borderId="220" xfId="15" applyNumberFormat="1" applyBorder="1" applyAlignment="1" applyProtection="1">
      <alignment horizontal="center" vertical="center"/>
      <protection locked="0"/>
    </xf>
    <xf numFmtId="37" fontId="6" fillId="0" borderId="222" xfId="15" applyNumberFormat="1" applyBorder="1" applyAlignment="1" applyProtection="1">
      <alignment horizontal="center" vertical="center"/>
      <protection locked="0"/>
    </xf>
    <xf numFmtId="0" fontId="6" fillId="0" borderId="1" xfId="15" applyAlignment="1">
      <alignment horizontal="center" wrapText="1"/>
    </xf>
    <xf numFmtId="0" fontId="6" fillId="0" borderId="1" xfId="15" applyAlignment="1">
      <alignment wrapText="1"/>
    </xf>
    <xf numFmtId="1" fontId="39" fillId="0" borderId="1" xfId="0" applyNumberFormat="1" applyFont="1" applyFill="1" applyBorder="1"/>
    <xf numFmtId="37" fontId="39" fillId="34" borderId="17" xfId="0" applyNumberFormat="1" applyFont="1" applyFill="1" applyBorder="1"/>
    <xf numFmtId="173" fontId="39" fillId="34" borderId="17" xfId="0" applyNumberFormat="1" applyFont="1" applyFill="1" applyBorder="1"/>
    <xf numFmtId="9" fontId="0" fillId="0" borderId="0" xfId="1" applyFont="1" applyAlignment="1"/>
    <xf numFmtId="181" fontId="17" fillId="0" borderId="1" xfId="13" applyNumberFormat="1" applyFont="1" applyBorder="1"/>
    <xf numFmtId="166" fontId="39" fillId="0" borderId="39" xfId="5" applyFont="1" applyFill="1" applyBorder="1"/>
    <xf numFmtId="173" fontId="30" fillId="0" borderId="1" xfId="1" applyNumberFormat="1" applyFont="1" applyBorder="1"/>
    <xf numFmtId="1" fontId="35" fillId="0" borderId="0" xfId="0" applyNumberFormat="1" applyFont="1"/>
    <xf numFmtId="173" fontId="39" fillId="0" borderId="1" xfId="1" applyNumberFormat="1" applyFont="1" applyFill="1" applyBorder="1"/>
    <xf numFmtId="49" fontId="85" fillId="13" borderId="1" xfId="10" applyNumberFormat="1" applyFont="1" applyFill="1" applyAlignment="1">
      <alignment horizontal="left" vertical="center"/>
    </xf>
    <xf numFmtId="178" fontId="85" fillId="13" borderId="1" xfId="10" applyNumberFormat="1" applyFont="1" applyFill="1" applyAlignment="1">
      <alignment horizontal="right" vertical="center"/>
    </xf>
    <xf numFmtId="0" fontId="95" fillId="35" borderId="0" xfId="0" applyFont="1" applyFill="1"/>
    <xf numFmtId="49" fontId="10" fillId="13" borderId="1" xfId="10" applyNumberFormat="1" applyFill="1" applyAlignment="1">
      <alignment horizontal="left" vertical="center"/>
    </xf>
    <xf numFmtId="0" fontId="10" fillId="13" borderId="1" xfId="10" applyNumberFormat="1" applyFill="1" applyAlignment="1">
      <alignment horizontal="left" vertical="center"/>
    </xf>
    <xf numFmtId="4" fontId="10" fillId="13" borderId="1" xfId="10" applyNumberFormat="1" applyFill="1"/>
    <xf numFmtId="0" fontId="10" fillId="13" borderId="1" xfId="10" applyFill="1"/>
    <xf numFmtId="178" fontId="10" fillId="13" borderId="1" xfId="10" applyNumberFormat="1" applyFill="1" applyAlignment="1">
      <alignment horizontal="right" vertical="center"/>
    </xf>
    <xf numFmtId="49" fontId="5" fillId="13" borderId="1" xfId="10" applyNumberFormat="1" applyFont="1" applyFill="1" applyAlignment="1">
      <alignment horizontal="left" vertical="center"/>
    </xf>
    <xf numFmtId="8" fontId="10" fillId="13" borderId="1" xfId="10" applyNumberFormat="1" applyFill="1"/>
    <xf numFmtId="49" fontId="7" fillId="13" borderId="1" xfId="10" applyNumberFormat="1" applyFont="1" applyFill="1" applyAlignment="1">
      <alignment horizontal="left" vertical="center"/>
    </xf>
    <xf numFmtId="0" fontId="12" fillId="13" borderId="1" xfId="9" applyFill="1"/>
    <xf numFmtId="178" fontId="12" fillId="13" borderId="1" xfId="9" applyNumberFormat="1" applyFill="1" applyAlignment="1">
      <alignment horizontal="right" vertical="center"/>
    </xf>
    <xf numFmtId="8" fontId="20" fillId="13" borderId="1" xfId="0" applyNumberFormat="1" applyFont="1" applyFill="1" applyBorder="1" applyAlignment="1">
      <alignment horizontal="left" vertical="top"/>
    </xf>
    <xf numFmtId="8" fontId="12" fillId="13" borderId="1" xfId="9" applyNumberFormat="1" applyFill="1"/>
    <xf numFmtId="8" fontId="16" fillId="13" borderId="1" xfId="6" applyNumberFormat="1" applyFill="1"/>
    <xf numFmtId="4" fontId="12" fillId="13" borderId="1" xfId="9" applyNumberFormat="1" applyFill="1"/>
    <xf numFmtId="4" fontId="20" fillId="13" borderId="1" xfId="0" applyNumberFormat="1" applyFont="1" applyFill="1" applyBorder="1" applyAlignment="1">
      <alignment horizontal="left" vertical="top"/>
    </xf>
    <xf numFmtId="0" fontId="28" fillId="0" borderId="0" xfId="0" applyFont="1" applyAlignment="1">
      <alignment horizontal="left" vertical="center"/>
    </xf>
    <xf numFmtId="3" fontId="31" fillId="0" borderId="23" xfId="0" applyNumberFormat="1" applyFont="1" applyFill="1" applyBorder="1"/>
    <xf numFmtId="3" fontId="57" fillId="0" borderId="13" xfId="0" applyNumberFormat="1" applyFont="1" applyFill="1" applyBorder="1"/>
    <xf numFmtId="10" fontId="31" fillId="3" borderId="8" xfId="0" applyNumberFormat="1" applyFont="1" applyFill="1" applyBorder="1"/>
    <xf numFmtId="4" fontId="62" fillId="36" borderId="0" xfId="0" applyNumberFormat="1" applyFont="1" applyFill="1" applyAlignment="1">
      <alignment horizontal="center" vertical="top"/>
    </xf>
    <xf numFmtId="4" fontId="0" fillId="36" borderId="0" xfId="0" applyNumberFormat="1" applyFont="1" applyFill="1" applyAlignment="1"/>
    <xf numFmtId="49" fontId="85" fillId="0" borderId="1" xfId="12" applyNumberFormat="1" applyFont="1" applyFill="1" applyAlignment="1">
      <alignment horizontal="center" vertical="center"/>
    </xf>
    <xf numFmtId="166" fontId="85" fillId="0" borderId="1" xfId="5" applyFont="1" applyFill="1" applyBorder="1" applyAlignment="1">
      <alignment horizontal="center" vertical="center"/>
    </xf>
    <xf numFmtId="180" fontId="85" fillId="0" borderId="1" xfId="12" applyNumberFormat="1" applyFont="1" applyFill="1" applyAlignment="1">
      <alignment horizontal="center" vertical="center"/>
    </xf>
    <xf numFmtId="49" fontId="0" fillId="0" borderId="0" xfId="0" applyNumberFormat="1" applyFill="1" applyAlignment="1">
      <alignment horizontal="left" vertical="center"/>
    </xf>
    <xf numFmtId="49" fontId="0" fillId="0" borderId="0" xfId="0" applyNumberFormat="1" applyFill="1" applyAlignment="1">
      <alignment horizontal="center" vertical="center"/>
    </xf>
    <xf numFmtId="166" fontId="0" fillId="0" borderId="1" xfId="5" applyFont="1" applyFill="1" applyBorder="1" applyAlignment="1">
      <alignment horizontal="center" vertical="center"/>
    </xf>
    <xf numFmtId="166" fontId="0" fillId="0" borderId="0" xfId="5" applyFont="1" applyFill="1"/>
    <xf numFmtId="180" fontId="0" fillId="0" borderId="0" xfId="0" applyNumberFormat="1" applyFill="1" applyAlignment="1">
      <alignment horizontal="center" vertical="center"/>
    </xf>
    <xf numFmtId="166" fontId="0" fillId="0" borderId="0" xfId="5" applyFont="1" applyFill="1" applyBorder="1"/>
    <xf numFmtId="166" fontId="0" fillId="0" borderId="0" xfId="5" applyFont="1" applyFill="1" applyBorder="1" applyAlignment="1">
      <alignment horizontal="center" vertical="center"/>
    </xf>
    <xf numFmtId="0" fontId="0" fillId="0" borderId="1" xfId="12" applyFont="1" applyFill="1" applyAlignment="1">
      <alignment horizontal="center"/>
    </xf>
    <xf numFmtId="166" fontId="0" fillId="0" borderId="1" xfId="5" applyFont="1" applyFill="1" applyBorder="1" applyAlignment="1">
      <alignment horizontal="center"/>
    </xf>
    <xf numFmtId="49" fontId="88" fillId="0" borderId="1" xfId="12" applyNumberFormat="1" applyFill="1" applyAlignment="1">
      <alignment horizontal="center" vertical="center"/>
    </xf>
    <xf numFmtId="49" fontId="0" fillId="0" borderId="1" xfId="12" applyNumberFormat="1" applyFont="1" applyFill="1" applyAlignment="1">
      <alignment horizontal="center" vertical="center"/>
    </xf>
    <xf numFmtId="166" fontId="88" fillId="0" borderId="1" xfId="5" applyFont="1" applyFill="1" applyBorder="1" applyAlignment="1">
      <alignment horizontal="center" vertical="center"/>
    </xf>
    <xf numFmtId="180" fontId="88" fillId="0" borderId="1" xfId="12" applyNumberFormat="1" applyFill="1" applyAlignment="1">
      <alignment horizontal="center" vertical="center"/>
    </xf>
    <xf numFmtId="0" fontId="0" fillId="0" borderId="1" xfId="12" applyFont="1" applyFill="1"/>
    <xf numFmtId="0" fontId="54" fillId="0" borderId="1" xfId="11" applyFill="1"/>
    <xf numFmtId="37" fontId="29" fillId="0" borderId="0" xfId="0" applyNumberFormat="1" applyFont="1" applyFill="1"/>
    <xf numFmtId="173" fontId="28" fillId="0" borderId="0" xfId="0" applyNumberFormat="1" applyFont="1"/>
    <xf numFmtId="49" fontId="85" fillId="20" borderId="1" xfId="6" applyNumberFormat="1" applyFont="1" applyFill="1" applyAlignment="1">
      <alignment horizontal="left" vertical="center"/>
    </xf>
    <xf numFmtId="178" fontId="85" fillId="20" borderId="1" xfId="6" applyNumberFormat="1" applyFont="1" applyFill="1" applyAlignment="1">
      <alignment horizontal="right" vertical="center"/>
    </xf>
    <xf numFmtId="49" fontId="14" fillId="20" borderId="1" xfId="8" applyNumberFormat="1" applyFill="1" applyAlignment="1">
      <alignment horizontal="left" vertical="center"/>
    </xf>
    <xf numFmtId="0" fontId="14" fillId="20" borderId="1" xfId="8" applyNumberFormat="1" applyFill="1" applyAlignment="1">
      <alignment horizontal="left" vertical="center"/>
    </xf>
    <xf numFmtId="0" fontId="14" fillId="20" borderId="1" xfId="8" applyFill="1"/>
    <xf numFmtId="178" fontId="14" fillId="20" borderId="1" xfId="8" applyNumberFormat="1" applyFill="1" applyAlignment="1">
      <alignment horizontal="right" vertical="center"/>
    </xf>
    <xf numFmtId="4" fontId="14" fillId="20" borderId="1" xfId="8" applyNumberFormat="1" applyFill="1"/>
    <xf numFmtId="49" fontId="20" fillId="20" borderId="1" xfId="0" applyNumberFormat="1" applyFont="1" applyFill="1" applyBorder="1" applyAlignment="1">
      <alignment horizontal="left" vertical="center"/>
    </xf>
    <xf numFmtId="0" fontId="20" fillId="20" borderId="1" xfId="0" applyFont="1" applyFill="1" applyBorder="1" applyAlignment="1">
      <alignment horizontal="left" vertical="top"/>
    </xf>
    <xf numFmtId="0" fontId="16" fillId="20" borderId="1" xfId="6" applyFill="1"/>
    <xf numFmtId="178" fontId="16" fillId="20" borderId="1" xfId="6" applyNumberFormat="1" applyFill="1" applyAlignment="1">
      <alignment horizontal="right" vertical="center"/>
    </xf>
    <xf numFmtId="0" fontId="15" fillId="20" borderId="1" xfId="7" applyFill="1"/>
    <xf numFmtId="178" fontId="15" fillId="20" borderId="1" xfId="7" applyNumberFormat="1" applyFill="1" applyAlignment="1">
      <alignment horizontal="right" vertical="center"/>
    </xf>
    <xf numFmtId="4" fontId="16" fillId="20" borderId="1" xfId="6" applyNumberFormat="1" applyFill="1"/>
    <xf numFmtId="0" fontId="20" fillId="20" borderId="1" xfId="0" applyFont="1" applyFill="1" applyBorder="1"/>
    <xf numFmtId="176" fontId="20" fillId="20" borderId="1" xfId="0" applyNumberFormat="1" applyFont="1" applyFill="1" applyBorder="1" applyAlignment="1">
      <alignment horizontal="right" vertical="center"/>
    </xf>
    <xf numFmtId="49" fontId="20" fillId="37" borderId="1" xfId="0" applyNumberFormat="1" applyFont="1" applyFill="1" applyBorder="1" applyAlignment="1">
      <alignment horizontal="left" vertical="center"/>
    </xf>
    <xf numFmtId="0" fontId="20" fillId="37" borderId="1" xfId="0" applyFont="1" applyFill="1" applyBorder="1"/>
    <xf numFmtId="0" fontId="20" fillId="37" borderId="1" xfId="0" applyFont="1" applyFill="1" applyBorder="1" applyAlignment="1">
      <alignment horizontal="left" vertical="top"/>
    </xf>
    <xf numFmtId="49" fontId="14" fillId="0" borderId="1" xfId="8" applyNumberFormat="1" applyFill="1" applyAlignment="1">
      <alignment horizontal="left" vertical="center"/>
    </xf>
    <xf numFmtId="0" fontId="14" fillId="0" borderId="1" xfId="8" applyNumberFormat="1" applyFill="1" applyAlignment="1">
      <alignment horizontal="left" vertical="center"/>
    </xf>
    <xf numFmtId="178" fontId="14" fillId="0" borderId="1" xfId="8" applyNumberFormat="1" applyFill="1" applyAlignment="1">
      <alignment horizontal="right" vertical="center"/>
    </xf>
    <xf numFmtId="0" fontId="6" fillId="0" borderId="212" xfId="15" applyBorder="1" applyAlignment="1" applyProtection="1">
      <alignment horizontal="left" vertical="center" wrapText="1" indent="1"/>
      <protection locked="0"/>
    </xf>
    <xf numFmtId="0" fontId="6" fillId="0" borderId="218" xfId="15" applyBorder="1" applyAlignment="1" applyProtection="1">
      <alignment horizontal="left" vertical="center" wrapText="1" indent="1"/>
      <protection locked="0"/>
    </xf>
    <xf numFmtId="0" fontId="6" fillId="0" borderId="168" xfId="15" applyBorder="1" applyAlignment="1" applyProtection="1">
      <alignment horizontal="left" vertical="center" wrapText="1" indent="1"/>
      <protection locked="0"/>
    </xf>
    <xf numFmtId="0" fontId="96" fillId="38" borderId="0" xfId="0" applyFont="1" applyFill="1" applyAlignment="1"/>
    <xf numFmtId="0" fontId="97" fillId="35" borderId="1" xfId="16" applyFont="1" applyFill="1"/>
    <xf numFmtId="0" fontId="4" fillId="0" borderId="1" xfId="16"/>
    <xf numFmtId="0" fontId="82" fillId="0" borderId="1" xfId="16" applyFont="1" applyAlignment="1">
      <alignment horizontal="left" indent="1"/>
    </xf>
    <xf numFmtId="6" fontId="82" fillId="39" borderId="1" xfId="16" applyNumberFormat="1" applyFont="1" applyFill="1" applyProtection="1">
      <protection locked="0"/>
    </xf>
    <xf numFmtId="6" fontId="82" fillId="0" borderId="1" xfId="16" applyNumberFormat="1" applyFont="1"/>
    <xf numFmtId="6" fontId="82" fillId="39" borderId="1" xfId="17" applyNumberFormat="1" applyFont="1" applyFill="1" applyAlignment="1" applyProtection="1">
      <protection locked="0"/>
    </xf>
    <xf numFmtId="173" fontId="82" fillId="0" borderId="1" xfId="18" applyNumberFormat="1" applyFont="1" applyFill="1" applyAlignment="1" applyProtection="1">
      <alignment horizontal="center"/>
      <protection locked="0"/>
    </xf>
    <xf numFmtId="6" fontId="82" fillId="39" borderId="1" xfId="17" applyNumberFormat="1" applyFont="1" applyFill="1"/>
    <xf numFmtId="3" fontId="82" fillId="39" borderId="1" xfId="16" applyNumberFormat="1" applyFont="1" applyFill="1" applyAlignment="1" applyProtection="1">
      <alignment horizontal="right" indent="2"/>
      <protection locked="0"/>
    </xf>
    <xf numFmtId="173" fontId="4" fillId="0" borderId="1" xfId="18" applyNumberFormat="1" applyFont="1" applyFill="1" applyAlignment="1" applyProtection="1">
      <alignment horizontal="center"/>
      <protection locked="0"/>
    </xf>
    <xf numFmtId="6" fontId="98" fillId="0" borderId="223" xfId="16" applyNumberFormat="1" applyFont="1" applyBorder="1"/>
    <xf numFmtId="6" fontId="98" fillId="0" borderId="223" xfId="17" applyNumberFormat="1" applyFont="1" applyBorder="1"/>
    <xf numFmtId="6" fontId="82" fillId="0" borderId="223" xfId="16" applyNumberFormat="1" applyFont="1" applyBorder="1"/>
    <xf numFmtId="173" fontId="99" fillId="0" borderId="1" xfId="18" applyNumberFormat="1" applyFont="1" applyAlignment="1">
      <alignment horizontal="center" vertical="top"/>
    </xf>
    <xf numFmtId="6" fontId="82" fillId="0" borderId="1" xfId="17" applyNumberFormat="1" applyFont="1" applyAlignment="1"/>
    <xf numFmtId="173" fontId="82" fillId="0" borderId="1" xfId="18" applyNumberFormat="1" applyFont="1" applyAlignment="1">
      <alignment horizontal="center"/>
    </xf>
    <xf numFmtId="3" fontId="82" fillId="0" borderId="1" xfId="16" applyNumberFormat="1" applyFont="1" applyAlignment="1">
      <alignment horizontal="right" indent="2"/>
    </xf>
    <xf numFmtId="6" fontId="100" fillId="0" borderId="1" xfId="16" applyNumberFormat="1" applyFont="1" applyAlignment="1">
      <alignment horizontal="center" vertical="center"/>
    </xf>
    <xf numFmtId="6" fontId="100" fillId="0" borderId="1" xfId="17" applyNumberFormat="1" applyFont="1" applyAlignment="1">
      <alignment horizontal="center" vertical="center"/>
    </xf>
    <xf numFmtId="1" fontId="82" fillId="39" borderId="1" xfId="16" applyNumberFormat="1" applyFont="1" applyFill="1" applyAlignment="1" applyProtection="1">
      <alignment horizontal="right" indent="2"/>
      <protection locked="0"/>
    </xf>
    <xf numFmtId="1" fontId="82" fillId="0" borderId="1" xfId="16" applyNumberFormat="1" applyFont="1" applyAlignment="1">
      <alignment horizontal="right" indent="2"/>
    </xf>
    <xf numFmtId="0" fontId="4" fillId="0" borderId="170" xfId="16" applyFont="1" applyBorder="1" applyAlignment="1">
      <alignment horizontal="center"/>
    </xf>
    <xf numFmtId="0" fontId="4" fillId="0" borderId="1" xfId="16" applyFont="1"/>
    <xf numFmtId="0" fontId="4" fillId="0" borderId="170" xfId="16" applyFont="1" applyBorder="1"/>
    <xf numFmtId="0" fontId="4" fillId="0" borderId="1" xfId="16" applyFont="1" applyAlignment="1">
      <alignment horizontal="left" indent="1"/>
    </xf>
    <xf numFmtId="1" fontId="4" fillId="39" borderId="1" xfId="16" applyNumberFormat="1" applyFont="1" applyFill="1" applyAlignment="1" applyProtection="1">
      <alignment horizontal="right" indent="2"/>
      <protection locked="0"/>
    </xf>
    <xf numFmtId="6" fontId="4" fillId="39" borderId="1" xfId="16" applyNumberFormat="1" applyFont="1" applyFill="1" applyProtection="1">
      <protection locked="0"/>
    </xf>
    <xf numFmtId="6" fontId="4" fillId="0" borderId="1" xfId="16" applyNumberFormat="1" applyFont="1"/>
    <xf numFmtId="6" fontId="4" fillId="39" borderId="1" xfId="17" applyNumberFormat="1" applyFont="1" applyFill="1" applyAlignment="1" applyProtection="1">
      <protection locked="0"/>
    </xf>
    <xf numFmtId="6" fontId="4" fillId="39" borderId="1" xfId="17" applyNumberFormat="1" applyFont="1" applyFill="1"/>
    <xf numFmtId="0" fontId="4" fillId="0" borderId="1" xfId="16" applyFont="1" applyAlignment="1">
      <alignment horizontal="left" indent="2"/>
    </xf>
    <xf numFmtId="1" fontId="4" fillId="0" borderId="223" xfId="16" applyNumberFormat="1" applyFont="1" applyBorder="1" applyAlignment="1">
      <alignment horizontal="right" indent="2"/>
    </xf>
    <xf numFmtId="6" fontId="4" fillId="0" borderId="223" xfId="16" applyNumberFormat="1" applyFont="1" applyBorder="1"/>
    <xf numFmtId="6" fontId="4" fillId="0" borderId="223" xfId="17" applyNumberFormat="1" applyFont="1" applyBorder="1" applyAlignment="1"/>
    <xf numFmtId="173" fontId="4" fillId="0" borderId="223" xfId="18" applyNumberFormat="1" applyFont="1" applyBorder="1" applyAlignment="1">
      <alignment horizontal="center"/>
    </xf>
    <xf numFmtId="1" fontId="4" fillId="0" borderId="1" xfId="16" applyNumberFormat="1" applyFont="1"/>
    <xf numFmtId="6" fontId="4" fillId="0" borderId="1" xfId="17" applyNumberFormat="1" applyFont="1"/>
    <xf numFmtId="173" fontId="4" fillId="0" borderId="1" xfId="16" applyNumberFormat="1" applyFont="1" applyAlignment="1">
      <alignment horizontal="center"/>
    </xf>
    <xf numFmtId="173" fontId="4" fillId="0" borderId="1" xfId="18" applyNumberFormat="1" applyFont="1" applyAlignment="1">
      <alignment horizontal="center"/>
    </xf>
    <xf numFmtId="173" fontId="4" fillId="0" borderId="1" xfId="18" applyNumberFormat="1" applyFont="1" applyBorder="1" applyAlignment="1">
      <alignment horizontal="center"/>
    </xf>
    <xf numFmtId="6" fontId="4" fillId="0" borderId="1" xfId="17" applyNumberFormat="1" applyFont="1" applyBorder="1"/>
    <xf numFmtId="1" fontId="4" fillId="0" borderId="1" xfId="16" applyNumberFormat="1" applyFont="1" applyAlignment="1">
      <alignment horizontal="right" indent="2"/>
    </xf>
    <xf numFmtId="6" fontId="4" fillId="0" borderId="1" xfId="17" applyNumberFormat="1" applyFont="1" applyAlignment="1"/>
    <xf numFmtId="0" fontId="4" fillId="0" borderId="170" xfId="16" applyFont="1" applyBorder="1" applyAlignment="1">
      <alignment horizontal="left"/>
    </xf>
    <xf numFmtId="6" fontId="4" fillId="0" borderId="1" xfId="16" applyNumberFormat="1" applyFont="1" applyAlignment="1">
      <alignment horizontal="center"/>
    </xf>
    <xf numFmtId="6" fontId="4" fillId="0" borderId="1" xfId="17" applyNumberFormat="1" applyFont="1" applyAlignment="1">
      <alignment horizontal="center"/>
    </xf>
    <xf numFmtId="6" fontId="4" fillId="0" borderId="223" xfId="17" applyNumberFormat="1" applyFont="1" applyBorder="1"/>
    <xf numFmtId="0" fontId="4" fillId="0" borderId="1" xfId="16" applyFont="1" applyAlignment="1">
      <alignment horizontal="left"/>
    </xf>
    <xf numFmtId="173" fontId="4" fillId="0" borderId="1" xfId="18" applyNumberFormat="1" applyFont="1" applyAlignment="1">
      <alignment horizontal="right" indent="1"/>
    </xf>
    <xf numFmtId="0" fontId="4" fillId="0" borderId="1" xfId="16" applyFont="1" applyAlignment="1">
      <alignment horizontal="center"/>
    </xf>
    <xf numFmtId="3" fontId="4" fillId="39" borderId="1" xfId="16" applyNumberFormat="1" applyFont="1" applyFill="1" applyAlignment="1" applyProtection="1">
      <alignment horizontal="right" indent="2"/>
      <protection locked="0"/>
    </xf>
    <xf numFmtId="3" fontId="4" fillId="0" borderId="223" xfId="16" applyNumberFormat="1" applyFont="1" applyBorder="1" applyAlignment="1">
      <alignment horizontal="right" indent="2"/>
    </xf>
    <xf numFmtId="3" fontId="4" fillId="0" borderId="1" xfId="16" applyNumberFormat="1" applyFont="1" applyAlignment="1">
      <alignment horizontal="right" indent="2"/>
    </xf>
    <xf numFmtId="0" fontId="82" fillId="0" borderId="224" xfId="16" applyFont="1" applyBorder="1" applyAlignment="1">
      <alignment horizontal="centerContinuous"/>
    </xf>
    <xf numFmtId="0" fontId="82" fillId="0" borderId="225" xfId="16" applyFont="1" applyBorder="1" applyAlignment="1">
      <alignment horizontal="centerContinuous"/>
    </xf>
    <xf numFmtId="0" fontId="82" fillId="0" borderId="226" xfId="16" applyFont="1" applyBorder="1" applyAlignment="1">
      <alignment horizontal="centerContinuous"/>
    </xf>
    <xf numFmtId="0" fontId="95" fillId="35" borderId="0" xfId="0" applyFont="1" applyFill="1" applyAlignment="1">
      <alignment vertical="center"/>
    </xf>
    <xf numFmtId="0" fontId="22" fillId="0" borderId="0" xfId="0" applyFont="1" applyAlignment="1">
      <alignment horizontal="center" vertical="center"/>
    </xf>
    <xf numFmtId="0" fontId="22" fillId="0" borderId="0" xfId="0" applyFont="1" applyAlignment="1">
      <alignment horizontal="right" vertical="center"/>
    </xf>
    <xf numFmtId="0" fontId="33" fillId="0" borderId="0" xfId="0" applyFont="1"/>
    <xf numFmtId="37" fontId="33" fillId="0" borderId="0" xfId="0" applyNumberFormat="1" applyFont="1"/>
    <xf numFmtId="0" fontId="33" fillId="0" borderId="0" xfId="0" applyFont="1" applyAlignment="1">
      <alignment horizontal="center"/>
    </xf>
    <xf numFmtId="166" fontId="33" fillId="0" borderId="0" xfId="5" applyFont="1"/>
    <xf numFmtId="166" fontId="33" fillId="0" borderId="223" xfId="5" applyFont="1" applyBorder="1"/>
    <xf numFmtId="0" fontId="33" fillId="0" borderId="170" xfId="0" applyFont="1" applyBorder="1" applyAlignment="1">
      <alignment horizontal="center"/>
    </xf>
    <xf numFmtId="173" fontId="33" fillId="0" borderId="0" xfId="1" applyNumberFormat="1" applyFont="1" applyAlignment="1">
      <alignment horizontal="left" indent="1"/>
    </xf>
    <xf numFmtId="173" fontId="33" fillId="0" borderId="223" xfId="1" applyNumberFormat="1" applyFont="1" applyBorder="1" applyAlignment="1">
      <alignment horizontal="left" indent="1"/>
    </xf>
    <xf numFmtId="183" fontId="33" fillId="0" borderId="0" xfId="0" applyNumberFormat="1" applyFont="1" applyAlignment="1">
      <alignment horizontal="center"/>
    </xf>
    <xf numFmtId="166" fontId="33" fillId="0" borderId="227" xfId="5" applyFont="1" applyBorder="1"/>
    <xf numFmtId="0" fontId="33" fillId="0" borderId="0" xfId="0" applyFont="1" applyAlignment="1"/>
    <xf numFmtId="0" fontId="33" fillId="0" borderId="0" xfId="0" applyFont="1" applyAlignment="1">
      <alignment horizontal="left" indent="2"/>
    </xf>
    <xf numFmtId="0" fontId="33" fillId="0" borderId="227" xfId="0" applyFont="1" applyBorder="1" applyAlignment="1">
      <alignment horizontal="center"/>
    </xf>
    <xf numFmtId="0" fontId="39" fillId="0" borderId="214" xfId="0" applyFont="1" applyBorder="1" applyAlignment="1"/>
    <xf numFmtId="0" fontId="33" fillId="0" borderId="216" xfId="0" applyFont="1" applyBorder="1"/>
    <xf numFmtId="37" fontId="33" fillId="0" borderId="216" xfId="0" applyNumberFormat="1" applyFont="1" applyBorder="1"/>
    <xf numFmtId="0" fontId="33" fillId="0" borderId="215" xfId="0" applyFont="1" applyBorder="1"/>
    <xf numFmtId="0" fontId="33" fillId="0" borderId="1" xfId="0" applyFont="1" applyBorder="1" applyAlignment="1">
      <alignment horizontal="center"/>
    </xf>
    <xf numFmtId="0" fontId="71" fillId="20" borderId="0" xfId="0" applyFont="1" applyFill="1" applyAlignment="1">
      <alignment horizontal="left" vertical="center" indent="1"/>
    </xf>
    <xf numFmtId="0" fontId="32" fillId="20" borderId="0" xfId="0" applyFont="1" applyFill="1" applyAlignment="1">
      <alignment horizontal="left" vertical="center" indent="1"/>
    </xf>
    <xf numFmtId="1" fontId="30" fillId="0" borderId="12" xfId="0" applyNumberFormat="1" applyFont="1" applyFill="1" applyBorder="1"/>
    <xf numFmtId="0" fontId="101" fillId="17" borderId="229" xfId="0" applyFont="1" applyFill="1" applyBorder="1" applyAlignment="1"/>
    <xf numFmtId="0" fontId="102" fillId="17" borderId="230" xfId="0" applyFont="1" applyFill="1" applyBorder="1"/>
    <xf numFmtId="10" fontId="102" fillId="17" borderId="55" xfId="0" applyNumberFormat="1" applyFont="1" applyFill="1" applyBorder="1"/>
    <xf numFmtId="0" fontId="101" fillId="17" borderId="231" xfId="0" applyFont="1" applyFill="1" applyBorder="1"/>
    <xf numFmtId="10" fontId="102" fillId="17" borderId="232" xfId="0" applyNumberFormat="1" applyFont="1" applyFill="1" applyBorder="1"/>
    <xf numFmtId="0" fontId="103" fillId="17" borderId="228" xfId="0" applyFont="1" applyFill="1" applyBorder="1" applyAlignment="1"/>
    <xf numFmtId="14" fontId="38" fillId="0" borderId="0" xfId="0" applyNumberFormat="1" applyFont="1"/>
    <xf numFmtId="166" fontId="0" fillId="0" borderId="1" xfId="5" applyFont="1" applyFill="1" applyBorder="1" applyAlignment="1">
      <alignment horizontal="right" vertical="center"/>
    </xf>
    <xf numFmtId="0" fontId="97" fillId="35" borderId="1" xfId="19" applyFont="1" applyFill="1"/>
    <xf numFmtId="173" fontId="3" fillId="39" borderId="1" xfId="20" applyNumberFormat="1" applyFont="1" applyFill="1" applyAlignment="1" applyProtection="1">
      <alignment horizontal="center"/>
      <protection locked="0"/>
    </xf>
    <xf numFmtId="0" fontId="3" fillId="0" borderId="127" xfId="19" applyFont="1" applyBorder="1" applyAlignment="1">
      <alignment horizontal="centerContinuous"/>
    </xf>
    <xf numFmtId="0" fontId="3" fillId="0" borderId="129" xfId="19" applyFont="1" applyBorder="1" applyAlignment="1">
      <alignment horizontal="centerContinuous"/>
    </xf>
    <xf numFmtId="0" fontId="3" fillId="0" borderId="171" xfId="19" applyFont="1" applyBorder="1" applyAlignment="1">
      <alignment horizontal="centerContinuous"/>
    </xf>
    <xf numFmtId="0" fontId="3" fillId="0" borderId="1" xfId="19" applyFont="1"/>
    <xf numFmtId="0" fontId="3" fillId="0" borderId="233" xfId="19" applyFont="1" applyBorder="1" applyAlignment="1">
      <alignment horizontal="center"/>
    </xf>
    <xf numFmtId="0" fontId="3" fillId="0" borderId="170" xfId="19" applyFont="1" applyBorder="1" applyAlignment="1">
      <alignment horizontal="center"/>
    </xf>
    <xf numFmtId="0" fontId="3" fillId="0" borderId="174" xfId="19" applyFont="1" applyBorder="1"/>
    <xf numFmtId="6" fontId="3" fillId="39" borderId="1" xfId="19" applyNumberFormat="1" applyFont="1" applyFill="1" applyProtection="1">
      <protection locked="0"/>
    </xf>
    <xf numFmtId="0" fontId="3" fillId="0" borderId="1" xfId="19" applyFont="1" applyProtection="1">
      <protection locked="0"/>
    </xf>
    <xf numFmtId="6" fontId="3" fillId="0" borderId="1" xfId="19" applyNumberFormat="1" applyFont="1"/>
    <xf numFmtId="6" fontId="3" fillId="0" borderId="234" xfId="19" applyNumberFormat="1" applyFont="1" applyBorder="1"/>
    <xf numFmtId="173" fontId="3" fillId="0" borderId="234" xfId="20" applyNumberFormat="1" applyFont="1" applyBorder="1" applyAlignment="1">
      <alignment horizontal="center"/>
    </xf>
    <xf numFmtId="173" fontId="3" fillId="0" borderId="1" xfId="20" applyNumberFormat="1" applyFont="1" applyAlignment="1">
      <alignment horizontal="center"/>
    </xf>
    <xf numFmtId="6" fontId="3" fillId="0" borderId="129" xfId="19" applyNumberFormat="1" applyFont="1" applyBorder="1"/>
    <xf numFmtId="173" fontId="3" fillId="0" borderId="129" xfId="20" applyNumberFormat="1" applyFont="1" applyBorder="1" applyAlignment="1">
      <alignment horizontal="center"/>
    </xf>
    <xf numFmtId="6" fontId="3" fillId="0" borderId="227" xfId="19" applyNumberFormat="1" applyFont="1" applyBorder="1"/>
    <xf numFmtId="173" fontId="3" fillId="0" borderId="227" xfId="20" applyNumberFormat="1" applyFont="1" applyBorder="1" applyAlignment="1">
      <alignment horizontal="center"/>
    </xf>
    <xf numFmtId="3" fontId="3" fillId="0" borderId="1" xfId="19" applyNumberFormat="1" applyFont="1"/>
    <xf numFmtId="0" fontId="3" fillId="0" borderId="1" xfId="19" applyFont="1" applyAlignment="1">
      <alignment horizontal="right"/>
    </xf>
    <xf numFmtId="0" fontId="13" fillId="0" borderId="172" xfId="3" applyFont="1" applyFill="1" applyBorder="1" applyAlignment="1">
      <alignment horizontal="left"/>
    </xf>
    <xf numFmtId="1" fontId="13" fillId="0" borderId="180" xfId="3" applyNumberFormat="1" applyFont="1" applyFill="1" applyBorder="1" applyAlignment="1">
      <alignment horizontal="center"/>
    </xf>
    <xf numFmtId="0" fontId="17" fillId="0" borderId="172" xfId="3" applyFill="1" applyBorder="1" applyAlignment="1">
      <alignment horizontal="left" indent="1"/>
    </xf>
    <xf numFmtId="0" fontId="13" fillId="0" borderId="180" xfId="3" applyFont="1" applyFill="1" applyBorder="1" applyAlignment="1">
      <alignment horizontal="center"/>
    </xf>
    <xf numFmtId="0" fontId="17" fillId="0" borderId="174" xfId="3" applyFill="1" applyBorder="1" applyAlignment="1">
      <alignment horizontal="left" indent="1"/>
    </xf>
    <xf numFmtId="169" fontId="13" fillId="0" borderId="186" xfId="3" applyNumberFormat="1" applyFont="1" applyFill="1" applyBorder="1" applyAlignment="1">
      <alignment horizontal="center"/>
    </xf>
    <xf numFmtId="0" fontId="11" fillId="0" borderId="180" xfId="3" applyFont="1" applyFill="1" applyBorder="1" applyAlignment="1">
      <alignment horizontal="center"/>
    </xf>
    <xf numFmtId="169" fontId="11" fillId="0" borderId="186" xfId="3" applyNumberFormat="1" applyFont="1" applyFill="1" applyBorder="1" applyAlignment="1">
      <alignment horizontal="center"/>
    </xf>
    <xf numFmtId="169" fontId="9" fillId="0" borderId="186" xfId="3" applyNumberFormat="1" applyFont="1" applyFill="1" applyBorder="1" applyAlignment="1">
      <alignment horizontal="center"/>
    </xf>
    <xf numFmtId="173" fontId="31" fillId="3" borderId="74" xfId="1" applyNumberFormat="1" applyFont="1" applyFill="1" applyBorder="1"/>
    <xf numFmtId="1" fontId="20" fillId="26" borderId="0" xfId="0" applyNumberFormat="1" applyFont="1" applyFill="1" applyAlignment="1">
      <alignment horizontal="left" vertical="top"/>
    </xf>
    <xf numFmtId="49" fontId="20" fillId="26" borderId="0" xfId="0" applyNumberFormat="1" applyFont="1" applyFill="1" applyAlignment="1">
      <alignment horizontal="left" vertical="top"/>
    </xf>
    <xf numFmtId="0" fontId="51" fillId="10" borderId="0" xfId="0" applyFont="1" applyFill="1" applyBorder="1" applyAlignment="1">
      <alignment horizontal="left" vertical="top"/>
    </xf>
    <xf numFmtId="39" fontId="55" fillId="0" borderId="103" xfId="0" applyNumberFormat="1" applyFont="1" applyBorder="1" applyAlignment="1">
      <alignment horizontal="center"/>
    </xf>
    <xf numFmtId="39" fontId="31" fillId="4" borderId="22" xfId="0" applyNumberFormat="1" applyFont="1" applyFill="1" applyBorder="1" applyAlignment="1">
      <alignment horizontal="center"/>
    </xf>
    <xf numFmtId="14" fontId="0" fillId="0" borderId="0" xfId="0" applyNumberFormat="1" applyFont="1" applyAlignment="1">
      <alignment horizontal="center"/>
    </xf>
    <xf numFmtId="182" fontId="54" fillId="0" borderId="0" xfId="0" applyNumberFormat="1" applyFont="1" applyAlignment="1">
      <alignment horizontal="center"/>
    </xf>
    <xf numFmtId="0" fontId="54" fillId="0" borderId="0" xfId="0" applyFont="1" applyAlignment="1">
      <alignment horizontal="center"/>
    </xf>
    <xf numFmtId="1" fontId="85" fillId="13" borderId="1" xfId="10" applyNumberFormat="1" applyFont="1" applyFill="1" applyAlignment="1">
      <alignment horizontal="center" vertical="center"/>
    </xf>
    <xf numFmtId="1" fontId="20" fillId="13" borderId="1" xfId="0" applyNumberFormat="1" applyFont="1" applyFill="1" applyBorder="1" applyAlignment="1">
      <alignment horizontal="center" vertical="top"/>
    </xf>
    <xf numFmtId="1" fontId="14" fillId="13" borderId="1" xfId="8" applyNumberFormat="1" applyFill="1" applyAlignment="1">
      <alignment horizontal="center"/>
    </xf>
    <xf numFmtId="1" fontId="12" fillId="13" borderId="1" xfId="9" applyNumberFormat="1" applyFill="1" applyAlignment="1">
      <alignment horizontal="center"/>
    </xf>
    <xf numFmtId="1" fontId="20" fillId="13" borderId="1" xfId="0" applyNumberFormat="1" applyFont="1" applyFill="1" applyBorder="1" applyAlignment="1">
      <alignment horizontal="center" vertical="center"/>
    </xf>
    <xf numFmtId="1" fontId="10" fillId="13" borderId="1" xfId="10" applyNumberFormat="1" applyFill="1" applyAlignment="1">
      <alignment horizontal="center"/>
    </xf>
    <xf numFmtId="1" fontId="10" fillId="13" borderId="1" xfId="10" applyNumberFormat="1" applyFill="1" applyAlignment="1">
      <alignment horizontal="center" vertical="center"/>
    </xf>
    <xf numFmtId="1" fontId="0" fillId="0" borderId="0" xfId="0" applyNumberFormat="1" applyFont="1" applyFill="1" applyAlignment="1">
      <alignment horizontal="center"/>
    </xf>
    <xf numFmtId="4" fontId="62" fillId="26" borderId="0" xfId="0" applyNumberFormat="1" applyFont="1" applyFill="1" applyAlignment="1">
      <alignment horizontal="center" vertical="top"/>
    </xf>
    <xf numFmtId="4" fontId="20" fillId="26" borderId="0" xfId="0" applyNumberFormat="1" applyFont="1" applyFill="1" applyAlignment="1">
      <alignment horizontal="center" vertical="top"/>
    </xf>
    <xf numFmtId="10" fontId="106" fillId="0" borderId="0" xfId="1" applyNumberFormat="1" applyFont="1" applyAlignment="1"/>
    <xf numFmtId="0" fontId="54" fillId="0" borderId="0" xfId="0" applyFont="1" applyAlignment="1"/>
    <xf numFmtId="0" fontId="2" fillId="0" borderId="1" xfId="16" applyFont="1"/>
    <xf numFmtId="0" fontId="2" fillId="0" borderId="1" xfId="16" applyFont="1" applyAlignment="1">
      <alignment horizontal="left" indent="1"/>
    </xf>
    <xf numFmtId="0" fontId="1" fillId="0" borderId="1" xfId="16" applyFont="1" applyAlignment="1">
      <alignment horizontal="left" indent="1"/>
    </xf>
    <xf numFmtId="1" fontId="4" fillId="0" borderId="1" xfId="16" applyNumberFormat="1" applyFont="1" applyAlignment="1">
      <alignment horizontal="center"/>
    </xf>
    <xf numFmtId="0" fontId="0" fillId="0" borderId="1" xfId="12" applyFont="1" applyFill="1" applyAlignment="1">
      <alignment horizontal="left"/>
    </xf>
    <xf numFmtId="0" fontId="0" fillId="0" borderId="1" xfId="12" applyFont="1" applyAlignment="1">
      <alignment horizontal="center"/>
    </xf>
    <xf numFmtId="165" fontId="0" fillId="0" borderId="1" xfId="13" applyFont="1" applyBorder="1"/>
    <xf numFmtId="0" fontId="1" fillId="0" borderId="127" xfId="16" applyFont="1" applyBorder="1"/>
    <xf numFmtId="0" fontId="4" fillId="0" borderId="129" xfId="16" applyFont="1" applyBorder="1"/>
    <xf numFmtId="0" fontId="4" fillId="0" borderId="171" xfId="16" applyFont="1" applyBorder="1"/>
    <xf numFmtId="0" fontId="19" fillId="32" borderId="205" xfId="0" applyFont="1" applyFill="1" applyBorder="1" applyAlignment="1">
      <alignment horizontal="center"/>
    </xf>
    <xf numFmtId="0" fontId="56" fillId="22" borderId="104" xfId="0" applyFont="1" applyFill="1" applyBorder="1" applyAlignment="1">
      <alignment horizontal="center"/>
    </xf>
    <xf numFmtId="0" fontId="56" fillId="22" borderId="105" xfId="0" applyFont="1" applyFill="1" applyBorder="1" applyAlignment="1">
      <alignment horizontal="center"/>
    </xf>
    <xf numFmtId="0" fontId="56" fillId="22" borderId="106" xfId="0" applyFont="1" applyFill="1" applyBorder="1" applyAlignment="1">
      <alignment horizontal="center"/>
    </xf>
    <xf numFmtId="0" fontId="64" fillId="0" borderId="53" xfId="2" applyFont="1" applyBorder="1" applyAlignment="1">
      <alignment horizontal="center"/>
    </xf>
    <xf numFmtId="0" fontId="64" fillId="0" borderId="1" xfId="2" applyFont="1" applyAlignment="1">
      <alignment horizontal="center"/>
    </xf>
    <xf numFmtId="0" fontId="82" fillId="20" borderId="209" xfId="15" applyFont="1" applyFill="1" applyBorder="1" applyAlignment="1">
      <alignment horizontal="center" vertical="center" wrapText="1"/>
    </xf>
    <xf numFmtId="0" fontId="82" fillId="20" borderId="213" xfId="15" applyFont="1" applyFill="1" applyBorder="1" applyAlignment="1">
      <alignment horizontal="center" vertical="center" wrapText="1"/>
    </xf>
    <xf numFmtId="0" fontId="83" fillId="11" borderId="214" xfId="15" applyFont="1" applyFill="1" applyBorder="1" applyAlignment="1">
      <alignment horizontal="center" vertical="center" wrapText="1"/>
    </xf>
    <xf numFmtId="0" fontId="83" fillId="11" borderId="215" xfId="15" applyFont="1" applyFill="1" applyBorder="1" applyAlignment="1">
      <alignment horizontal="center" vertical="center" wrapText="1"/>
    </xf>
    <xf numFmtId="0" fontId="20" fillId="28" borderId="205" xfId="0" applyFont="1" applyFill="1" applyBorder="1" applyAlignment="1">
      <alignment horizontal="left" vertical="top" wrapText="1"/>
    </xf>
    <xf numFmtId="0" fontId="62" fillId="0" borderId="206" xfId="0" applyFont="1" applyBorder="1"/>
    <xf numFmtId="0" fontId="62" fillId="0" borderId="207" xfId="0" applyFont="1" applyBorder="1"/>
    <xf numFmtId="0" fontId="83" fillId="0" borderId="53" xfId="3" applyFont="1" applyBorder="1" applyAlignment="1">
      <alignment horizontal="center"/>
    </xf>
    <xf numFmtId="0" fontId="20" fillId="28" borderId="233" xfId="0" applyFont="1" applyFill="1" applyBorder="1" applyAlignment="1">
      <alignment horizontal="left" vertical="top" wrapText="1"/>
    </xf>
    <xf numFmtId="0" fontId="62" fillId="0" borderId="172" xfId="0" applyFont="1" applyBorder="1"/>
    <xf numFmtId="0" fontId="62" fillId="0" borderId="174" xfId="0" applyFont="1" applyBorder="1"/>
    <xf numFmtId="0" fontId="31" fillId="0" borderId="66" xfId="0" applyFont="1" applyBorder="1" applyAlignment="1">
      <alignment horizontal="center"/>
    </xf>
    <xf numFmtId="0" fontId="32" fillId="0" borderId="66" xfId="0" applyFont="1" applyBorder="1"/>
    <xf numFmtId="0" fontId="32" fillId="0" borderId="67" xfId="0" applyFont="1" applyBorder="1"/>
    <xf numFmtId="0" fontId="31" fillId="0" borderId="69" xfId="0" applyFont="1" applyBorder="1" applyAlignment="1">
      <alignment horizontal="center"/>
    </xf>
    <xf numFmtId="0" fontId="32" fillId="0" borderId="62" xfId="0" applyFont="1" applyBorder="1"/>
    <xf numFmtId="0" fontId="31" fillId="0" borderId="90" xfId="0" applyFont="1" applyBorder="1" applyAlignment="1">
      <alignment horizontal="center" vertical="center"/>
    </xf>
    <xf numFmtId="0" fontId="32" fillId="0" borderId="88" xfId="0" applyFont="1" applyBorder="1"/>
    <xf numFmtId="0" fontId="32" fillId="0" borderId="91" xfId="0" applyFont="1" applyBorder="1"/>
    <xf numFmtId="0" fontId="31" fillId="0" borderId="88" xfId="0" applyFont="1" applyBorder="1" applyAlignment="1">
      <alignment horizontal="center" vertical="center"/>
    </xf>
    <xf numFmtId="0" fontId="32" fillId="0" borderId="89" xfId="0" applyFont="1" applyBorder="1"/>
    <xf numFmtId="0" fontId="31" fillId="0" borderId="67" xfId="0" applyFont="1" applyBorder="1" applyAlignment="1">
      <alignment horizontal="center"/>
    </xf>
    <xf numFmtId="0" fontId="31" fillId="0" borderId="62" xfId="0" applyFont="1" applyBorder="1" applyAlignment="1">
      <alignment horizontal="center"/>
    </xf>
  </cellXfs>
  <cellStyles count="21">
    <cellStyle name="Milliers" xfId="5" builtinId="3"/>
    <cellStyle name="Milliers 2" xfId="14" xr:uid="{00000000-0005-0000-0000-000002000000}"/>
    <cellStyle name="Monétaire" xfId="13" builtinId="4"/>
    <cellStyle name="Monétaire 2" xfId="17" xr:uid="{413739D1-F8D3-493B-A7A6-81FEE974ED6A}"/>
    <cellStyle name="Normal" xfId="0" builtinId="0"/>
    <cellStyle name="Normal 10" xfId="16" xr:uid="{98AF4AD5-E7EE-4341-B3F3-F217B7C8A199}"/>
    <cellStyle name="Normal 11" xfId="19" xr:uid="{F13983C9-95F5-43E7-BC03-8FAFF78BC89C}"/>
    <cellStyle name="Normal 16 2" xfId="15" xr:uid="{00000000-0005-0000-0000-000005000000}"/>
    <cellStyle name="Normal 2" xfId="2" xr:uid="{00000000-0005-0000-0000-000006000000}"/>
    <cellStyle name="Normal 3" xfId="3" xr:uid="{00000000-0005-0000-0000-000007000000}"/>
    <cellStyle name="Normal 4" xfId="6" xr:uid="{00000000-0005-0000-0000-000008000000}"/>
    <cellStyle name="Normal 5" xfId="7" xr:uid="{00000000-0005-0000-0000-000009000000}"/>
    <cellStyle name="Normal 6" xfId="8" xr:uid="{00000000-0005-0000-0000-00000A000000}"/>
    <cellStyle name="Normal 7" xfId="9" xr:uid="{00000000-0005-0000-0000-00000B000000}"/>
    <cellStyle name="Normal 8" xfId="10" xr:uid="{00000000-0005-0000-0000-00000C000000}"/>
    <cellStyle name="Normal 9" xfId="11" xr:uid="{00000000-0005-0000-0000-00000D000000}"/>
    <cellStyle name="Normal 9 2" xfId="12" xr:uid="{00000000-0005-0000-0000-00000E000000}"/>
    <cellStyle name="Pourcentage" xfId="1" builtinId="5"/>
    <cellStyle name="Pourcentage 2" xfId="4" xr:uid="{00000000-0005-0000-0000-000010000000}"/>
    <cellStyle name="Pourcentage 3" xfId="18" xr:uid="{DF8400D4-EEDF-49AA-82FC-FE4B29B5DAE2}"/>
    <cellStyle name="Pourcentage 4" xfId="20" xr:uid="{989601B3-EE8E-4D88-9B27-60EA36897D28}"/>
  </cellStyles>
  <dxfs count="707">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706"/>
      <tableStyleElement type="firstRowStripe" dxfId="705"/>
      <tableStyleElement type="secondRowStripe" dxfId="704"/>
    </tableStyle>
    <tableStyle name="Data_Validation ex-style" pivot="0" count="3" xr9:uid="{00000000-0011-0000-FFFF-FFFF01000000}">
      <tableStyleElement type="headerRow" dxfId="703"/>
      <tableStyleElement type="firstRowStripe" dxfId="702"/>
      <tableStyleElement type="secondRowStripe" dxfId="701"/>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6" Type="http://schemas.openxmlformats.org/officeDocument/2006/relationships/printerSettings" Target="../printerSettings/printerSettings13.bin"/><Relationship Id="rId5" Type="http://schemas.openxmlformats.org/officeDocument/2006/relationships/hyperlink" Target="mailto:4503@" TargetMode="External"/><Relationship Id="rId4" Type="http://schemas.openxmlformats.org/officeDocument/2006/relationships/hyperlink" Target="mailto:4715@"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3" t="s">
        <v>1990</v>
      </c>
    </row>
    <row r="2" spans="1:14" ht="14.4">
      <c r="A2" s="1"/>
      <c r="G2" s="2" t="s">
        <v>1</v>
      </c>
      <c r="M2" s="155" t="s">
        <v>1928</v>
      </c>
      <c r="N2" s="155" t="s">
        <v>1939</v>
      </c>
    </row>
    <row r="3" spans="1:14" ht="14.4">
      <c r="A3" s="1" t="s">
        <v>2</v>
      </c>
      <c r="B3" s="3" t="s">
        <v>1933</v>
      </c>
      <c r="C3" s="155">
        <f>+VLOOKUP(B3,$K$3:$L$14,2,0)</f>
        <v>5</v>
      </c>
      <c r="G3" s="2" t="s">
        <v>4</v>
      </c>
      <c r="K3" t="s">
        <v>1929</v>
      </c>
      <c r="L3" s="155">
        <v>1</v>
      </c>
      <c r="M3" s="155" t="str">
        <f t="shared" ref="M3:M14" si="0">+IF($K3=$B$3,"X","")</f>
        <v/>
      </c>
      <c r="N3" s="155" t="str">
        <f>+IF(K3=B3,"X",IF(L3&lt;=$C$3,"X",""))</f>
        <v>X</v>
      </c>
    </row>
    <row r="4" spans="1:14" ht="14.4">
      <c r="A4" s="1" t="s">
        <v>5</v>
      </c>
      <c r="B4" s="3">
        <v>2022</v>
      </c>
      <c r="K4" t="s">
        <v>1930</v>
      </c>
      <c r="L4" s="155">
        <v>2</v>
      </c>
      <c r="M4" s="155" t="str">
        <f t="shared" si="0"/>
        <v/>
      </c>
      <c r="N4" s="155" t="str">
        <f t="shared" ref="N4:N14" si="1">+IF(K4=B4,"X",IF(L4&lt;=$C$3,"X",""))</f>
        <v>X</v>
      </c>
    </row>
    <row r="5" spans="1:14" ht="15" customHeight="1">
      <c r="K5" t="s">
        <v>1931</v>
      </c>
      <c r="L5" s="155">
        <v>3</v>
      </c>
      <c r="M5" s="155" t="str">
        <f t="shared" si="0"/>
        <v/>
      </c>
      <c r="N5" s="155" t="str">
        <f t="shared" si="1"/>
        <v>X</v>
      </c>
    </row>
    <row r="6" spans="1:14" ht="14.4">
      <c r="A6" s="944"/>
      <c r="B6" s="945"/>
      <c r="K6" t="s">
        <v>1932</v>
      </c>
      <c r="L6" s="155">
        <v>4</v>
      </c>
      <c r="M6" s="155" t="str">
        <f t="shared" si="0"/>
        <v/>
      </c>
      <c r="N6" s="155" t="str">
        <f t="shared" si="1"/>
        <v>X</v>
      </c>
    </row>
    <row r="7" spans="1:14" ht="14.4">
      <c r="A7" s="539"/>
      <c r="B7" s="946"/>
      <c r="K7" t="s">
        <v>1933</v>
      </c>
      <c r="L7" s="155">
        <v>5</v>
      </c>
      <c r="M7" s="155" t="str">
        <f t="shared" si="0"/>
        <v>X</v>
      </c>
      <c r="N7" s="155" t="str">
        <f t="shared" si="1"/>
        <v>X</v>
      </c>
    </row>
    <row r="8" spans="1:14" ht="14.4">
      <c r="A8" s="539"/>
      <c r="B8" s="946"/>
      <c r="K8" t="s">
        <v>1912</v>
      </c>
      <c r="L8" s="155">
        <v>6</v>
      </c>
      <c r="M8" s="155" t="str">
        <f t="shared" si="0"/>
        <v/>
      </c>
      <c r="N8" s="155" t="str">
        <f t="shared" si="1"/>
        <v/>
      </c>
    </row>
    <row r="9" spans="1:14" ht="15" customHeight="1">
      <c r="A9" s="947" t="s">
        <v>2853</v>
      </c>
      <c r="K9" t="s">
        <v>1934</v>
      </c>
      <c r="L9" s="155">
        <v>7</v>
      </c>
      <c r="M9" s="155" t="str">
        <f t="shared" si="0"/>
        <v/>
      </c>
      <c r="N9" s="155" t="str">
        <f t="shared" si="1"/>
        <v/>
      </c>
    </row>
    <row r="10" spans="1:14" ht="14.4">
      <c r="A10" s="2" t="s">
        <v>2851</v>
      </c>
      <c r="I10" s="2"/>
      <c r="K10" t="s">
        <v>1935</v>
      </c>
      <c r="L10" s="155">
        <v>8</v>
      </c>
      <c r="M10" s="155" t="str">
        <f t="shared" si="0"/>
        <v/>
      </c>
      <c r="N10" s="155" t="str">
        <f t="shared" si="1"/>
        <v/>
      </c>
    </row>
    <row r="11" spans="1:14" ht="14.4">
      <c r="A11" s="2" t="s">
        <v>2852</v>
      </c>
      <c r="I11" s="2"/>
      <c r="K11" t="s">
        <v>3</v>
      </c>
      <c r="L11" s="155">
        <v>9</v>
      </c>
      <c r="M11" s="155" t="str">
        <f t="shared" si="0"/>
        <v/>
      </c>
      <c r="N11" s="155" t="str">
        <f t="shared" si="1"/>
        <v/>
      </c>
    </row>
    <row r="12" spans="1:14" ht="14.4">
      <c r="A12" s="2" t="s">
        <v>2850</v>
      </c>
      <c r="I12" s="2"/>
      <c r="K12" t="s">
        <v>1936</v>
      </c>
      <c r="L12" s="155">
        <v>10</v>
      </c>
      <c r="M12" s="155" t="str">
        <f t="shared" si="0"/>
        <v/>
      </c>
      <c r="N12" s="155" t="str">
        <f t="shared" si="1"/>
        <v/>
      </c>
    </row>
    <row r="13" spans="1:14" ht="14.4">
      <c r="A13" s="2"/>
      <c r="I13" s="2"/>
      <c r="K13" t="s">
        <v>1937</v>
      </c>
      <c r="L13" s="155">
        <v>11</v>
      </c>
      <c r="M13" s="155" t="str">
        <f t="shared" si="0"/>
        <v/>
      </c>
      <c r="N13" s="155" t="str">
        <f t="shared" si="1"/>
        <v/>
      </c>
    </row>
    <row r="14" spans="1:14" ht="14.4">
      <c r="A14" s="2"/>
      <c r="I14" s="2"/>
      <c r="K14" t="s">
        <v>1938</v>
      </c>
      <c r="L14" s="155">
        <v>12</v>
      </c>
      <c r="M14" s="155" t="str">
        <f t="shared" si="0"/>
        <v/>
      </c>
      <c r="N14" s="155" t="str">
        <f t="shared" si="1"/>
        <v/>
      </c>
    </row>
    <row r="15" spans="1:14" ht="14.4">
      <c r="A15" s="2"/>
      <c r="I15" s="2"/>
    </row>
    <row r="16" spans="1:14" ht="14.4">
      <c r="I16" s="2"/>
    </row>
    <row r="17" spans="1:9" ht="14.4">
      <c r="I17" s="2"/>
    </row>
    <row r="18" spans="1:9" ht="14.4">
      <c r="I18" s="2"/>
    </row>
    <row r="19" spans="1:9" ht="14.4">
      <c r="I19" s="2"/>
    </row>
    <row r="20" spans="1:9" ht="14.4">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heetViews>
  <sheetFormatPr baseColWidth="10" defaultColWidth="12.59765625" defaultRowHeight="15" customHeight="1"/>
  <cols>
    <col min="1" max="1" width="59.59765625" customWidth="1"/>
    <col min="2" max="2" width="14.69921875" customWidth="1"/>
    <col min="3" max="3" width="14.69921875" style="183" customWidth="1"/>
    <col min="4" max="4" width="67" customWidth="1"/>
    <col min="5" max="5" width="14.8984375" customWidth="1"/>
    <col min="6" max="6" width="10" customWidth="1"/>
    <col min="7" max="7" width="39.09765625" customWidth="1"/>
    <col min="8" max="25" width="10" customWidth="1"/>
  </cols>
  <sheetData>
    <row r="1" spans="1:25" ht="21">
      <c r="A1" s="4" t="s">
        <v>7</v>
      </c>
      <c r="B1" s="2"/>
      <c r="C1" s="159"/>
      <c r="D1" s="2"/>
      <c r="E1" s="2"/>
      <c r="F1" s="2"/>
      <c r="G1" s="2"/>
      <c r="H1" s="2"/>
      <c r="I1" s="2"/>
      <c r="J1" s="2"/>
      <c r="K1" s="2"/>
      <c r="L1" s="2"/>
      <c r="M1" s="2"/>
      <c r="N1" s="2"/>
      <c r="O1" s="2"/>
      <c r="P1" s="2"/>
      <c r="Q1" s="2"/>
      <c r="R1" s="2"/>
      <c r="S1" s="2"/>
      <c r="T1" s="2"/>
      <c r="U1" s="2"/>
      <c r="V1" s="2"/>
      <c r="W1" s="2"/>
      <c r="X1" s="2"/>
      <c r="Y1" s="2"/>
    </row>
    <row r="2" spans="1:25" ht="35.4">
      <c r="A2" s="4" t="str">
        <f>+Parametres!B1</f>
        <v>Volks</v>
      </c>
      <c r="B2" s="2"/>
      <c r="C2" s="159"/>
      <c r="D2" s="5"/>
      <c r="E2" s="2"/>
      <c r="F2" s="2"/>
      <c r="G2" s="2"/>
      <c r="H2" s="2"/>
      <c r="I2" s="2"/>
      <c r="J2" s="6"/>
      <c r="K2" s="2"/>
      <c r="L2" s="2"/>
      <c r="M2" s="2"/>
      <c r="N2" s="2"/>
      <c r="O2" s="2"/>
      <c r="P2" s="2"/>
      <c r="Q2" s="2"/>
      <c r="R2" s="2"/>
      <c r="S2" s="2"/>
      <c r="T2" s="2"/>
      <c r="U2" s="2"/>
      <c r="V2" s="2"/>
      <c r="W2" s="2"/>
      <c r="X2" s="2"/>
      <c r="Y2" s="2"/>
    </row>
    <row r="3" spans="1:25" ht="21">
      <c r="A3" s="7" t="str">
        <f>CONCATENATE("",,Parametres!B3," ",Parametres!B4)</f>
        <v>Mai 2022</v>
      </c>
      <c r="B3" s="2"/>
      <c r="C3" s="159"/>
      <c r="D3" s="2"/>
      <c r="E3" s="2"/>
      <c r="F3" s="2"/>
      <c r="G3" s="2"/>
      <c r="H3" s="2"/>
      <c r="I3" s="2"/>
      <c r="J3" s="2"/>
      <c r="K3" s="2"/>
      <c r="L3" s="2"/>
      <c r="M3" s="2"/>
      <c r="N3" s="2"/>
      <c r="O3" s="2"/>
      <c r="P3" s="2"/>
      <c r="Q3" s="2"/>
      <c r="R3" s="2"/>
      <c r="S3" s="2"/>
      <c r="T3" s="2"/>
      <c r="U3" s="2"/>
      <c r="V3" s="2"/>
      <c r="W3" s="2"/>
      <c r="X3" s="2"/>
      <c r="Y3" s="2"/>
    </row>
    <row r="4" spans="1:25" thickBot="1">
      <c r="A4" s="2"/>
      <c r="B4" s="2"/>
      <c r="C4" s="159"/>
      <c r="D4" s="2"/>
      <c r="E4" s="552"/>
      <c r="F4" s="2"/>
      <c r="G4" s="2"/>
      <c r="H4" s="2"/>
      <c r="I4" s="2"/>
      <c r="J4" s="2"/>
      <c r="K4" s="2"/>
      <c r="L4" s="2"/>
      <c r="M4" s="2"/>
      <c r="N4" s="2"/>
      <c r="O4" s="2"/>
      <c r="P4" s="2"/>
      <c r="Q4" s="2"/>
      <c r="R4" s="2"/>
      <c r="S4" s="2"/>
      <c r="T4" s="2"/>
      <c r="U4" s="2"/>
      <c r="V4" s="2"/>
      <c r="W4" s="2"/>
      <c r="X4" s="2"/>
      <c r="Y4" s="2"/>
    </row>
    <row r="5" spans="1:25" thickTop="1">
      <c r="A5" s="8" t="s">
        <v>8</v>
      </c>
      <c r="B5" s="561">
        <f>SUMIFS(BV_Data_An_Cour!$P:$P,BV_Data_An_Cour!$U:$U,$A$1,BV_Data_An_Cour!$V:$V,$A5)</f>
        <v>1128193.1600000001</v>
      </c>
      <c r="C5" s="533"/>
      <c r="D5" s="8" t="s">
        <v>9</v>
      </c>
      <c r="E5" s="553">
        <f>-SUMIFS(BV_Data_An_Cour!$P:$P,BV_Data_An_Cour!$U:$U,$A$1,BV_Data_An_Cour!$V:$V,$D5)</f>
        <v>0</v>
      </c>
      <c r="F5" s="2"/>
      <c r="G5" s="2"/>
      <c r="H5" s="2"/>
      <c r="I5" s="2"/>
      <c r="J5" s="2"/>
      <c r="K5" s="2"/>
      <c r="L5" s="2"/>
      <c r="M5" s="2"/>
      <c r="N5" s="2"/>
      <c r="O5" s="2"/>
      <c r="P5" s="2"/>
      <c r="Q5" s="2"/>
      <c r="R5" s="2"/>
      <c r="S5" s="2"/>
      <c r="T5" s="2"/>
      <c r="U5" s="2"/>
      <c r="V5" s="2"/>
      <c r="W5" s="2"/>
      <c r="X5" s="2"/>
      <c r="Y5" s="2"/>
    </row>
    <row r="6" spans="1:25" ht="14.4">
      <c r="A6" s="9" t="s">
        <v>10</v>
      </c>
      <c r="B6" s="557">
        <f>SUM(B5)</f>
        <v>1128193.1600000001</v>
      </c>
      <c r="C6" s="534"/>
      <c r="D6" s="10"/>
      <c r="E6" s="554"/>
      <c r="F6" s="2"/>
      <c r="G6" s="2"/>
      <c r="H6" s="2"/>
      <c r="I6" s="2"/>
      <c r="J6" s="2"/>
      <c r="K6" s="2"/>
      <c r="L6" s="2"/>
      <c r="M6" s="2"/>
      <c r="N6" s="2"/>
      <c r="O6" s="2"/>
      <c r="P6" s="2"/>
      <c r="Q6" s="2"/>
      <c r="R6" s="2"/>
      <c r="S6" s="2"/>
      <c r="T6" s="2"/>
      <c r="U6" s="2"/>
      <c r="V6" s="2"/>
      <c r="W6" s="2"/>
      <c r="X6" s="2"/>
      <c r="Y6" s="2"/>
    </row>
    <row r="7" spans="1:25" ht="14.4">
      <c r="A7" s="11"/>
      <c r="B7" s="554"/>
      <c r="C7" s="533"/>
      <c r="D7" s="9" t="s">
        <v>11</v>
      </c>
      <c r="E7" s="560">
        <f>-SUMIFS(BV_Data_An_Cour!$P:$P,BV_Data_An_Cour!$U:$U,$A$1,BV_Data_An_Cour!$V:$V,$D7)</f>
        <v>15810</v>
      </c>
      <c r="F7" s="2"/>
      <c r="G7" s="2"/>
      <c r="H7" s="2"/>
      <c r="I7" s="2"/>
      <c r="J7" s="2"/>
      <c r="K7" s="2"/>
      <c r="L7" s="2"/>
      <c r="M7" s="2"/>
      <c r="N7" s="2"/>
      <c r="O7" s="2"/>
      <c r="P7" s="2"/>
      <c r="Q7" s="2"/>
      <c r="R7" s="2"/>
      <c r="S7" s="2"/>
      <c r="T7" s="2"/>
      <c r="U7" s="2"/>
      <c r="V7" s="2"/>
      <c r="W7" s="2"/>
      <c r="X7" s="2"/>
      <c r="Y7" s="2"/>
    </row>
    <row r="8" spans="1:25" ht="14.4">
      <c r="A8" s="10" t="s">
        <v>12</v>
      </c>
      <c r="B8" s="554">
        <f>SUMIFS(BV_Data_An_Cour!$P:$P,BV_Data_An_Cour!$U:$U,$A$1,BV_Data_An_Cour!$V:$V,$A8)</f>
        <v>1272589.95</v>
      </c>
      <c r="C8" s="533"/>
      <c r="D8" s="10"/>
      <c r="E8" s="554"/>
      <c r="F8" s="2"/>
      <c r="G8" s="2"/>
      <c r="H8" s="2"/>
      <c r="I8" s="2"/>
      <c r="J8" s="2"/>
      <c r="K8" s="2"/>
      <c r="L8" s="2"/>
      <c r="M8" s="2"/>
      <c r="N8" s="2"/>
      <c r="O8" s="2"/>
      <c r="P8" s="2"/>
      <c r="Q8" s="2"/>
      <c r="R8" s="2"/>
      <c r="S8" s="2"/>
      <c r="T8" s="2"/>
      <c r="U8" s="2"/>
      <c r="V8" s="2"/>
      <c r="W8" s="2"/>
      <c r="X8" s="2"/>
      <c r="Y8" s="2"/>
    </row>
    <row r="9" spans="1:25" ht="14.4">
      <c r="A9" s="10" t="s">
        <v>13</v>
      </c>
      <c r="B9" s="554">
        <f>SUMIFS(BV_Data_An_Cour!$P:$P,BV_Data_An_Cour!$U:$U,$A$1,BV_Data_An_Cour!$V:$V,$A9)</f>
        <v>-9939.2200000000012</v>
      </c>
      <c r="C9" s="533"/>
      <c r="D9" s="10" t="s">
        <v>14</v>
      </c>
      <c r="E9" s="554">
        <f>-SUMIFS(BV_Data_An_Cour!$P:$P,BV_Data_An_Cour!$U:$U,$A$1,BV_Data_An_Cour!$V:$V,$D9)</f>
        <v>0</v>
      </c>
      <c r="F9" s="2"/>
      <c r="G9" s="2"/>
      <c r="H9" s="2"/>
      <c r="I9" s="2"/>
      <c r="J9" s="2"/>
      <c r="K9" s="2"/>
      <c r="L9" s="2"/>
      <c r="M9" s="2"/>
      <c r="N9" s="2"/>
      <c r="O9" s="2"/>
      <c r="P9" s="2"/>
      <c r="Q9" s="2"/>
      <c r="R9" s="2"/>
      <c r="S9" s="2"/>
      <c r="T9" s="2"/>
      <c r="U9" s="2"/>
      <c r="V9" s="2"/>
      <c r="W9" s="2"/>
      <c r="X9" s="2"/>
      <c r="Y9" s="2"/>
    </row>
    <row r="10" spans="1:25" ht="14.4">
      <c r="A10" s="10" t="s">
        <v>15</v>
      </c>
      <c r="B10" s="554">
        <f>SUMIFS(BV_Data_An_Cour!$P:$P,BV_Data_An_Cour!$U:$U,$A$1,BV_Data_An_Cour!$V:$V,$A10)</f>
        <v>71227.739999999991</v>
      </c>
      <c r="C10" s="533"/>
      <c r="D10" s="10" t="s">
        <v>16</v>
      </c>
      <c r="E10" s="554">
        <f>-SUMIFS(BV_Data_An_Cour!$P:$P,BV_Data_An_Cour!$U:$U,$A$1,BV_Data_An_Cour!$V:$V,$D10)</f>
        <v>201419.27</v>
      </c>
      <c r="F10" s="2"/>
      <c r="G10" s="2"/>
      <c r="H10" s="2"/>
      <c r="I10" s="2"/>
      <c r="J10" s="2"/>
      <c r="K10" s="2"/>
      <c r="L10" s="2"/>
      <c r="M10" s="2"/>
      <c r="N10" s="2"/>
      <c r="O10" s="2"/>
      <c r="P10" s="2"/>
      <c r="Q10" s="2"/>
      <c r="R10" s="2"/>
      <c r="S10" s="2"/>
      <c r="T10" s="2"/>
      <c r="U10" s="2"/>
      <c r="V10" s="2"/>
      <c r="W10" s="2"/>
      <c r="X10" s="2"/>
      <c r="Y10" s="2"/>
    </row>
    <row r="11" spans="1:25" ht="14.4">
      <c r="A11" s="10" t="s">
        <v>17</v>
      </c>
      <c r="B11" s="554">
        <f>SUMIFS(BV_Data_An_Cour!$P:$P,BV_Data_An_Cour!$U:$U,$A$1,BV_Data_An_Cour!$V:$V,$A11)</f>
        <v>97183.219999999987</v>
      </c>
      <c r="C11" s="533"/>
      <c r="D11" s="10" t="s">
        <v>18</v>
      </c>
      <c r="E11" s="554">
        <f>-SUMIFS(BV_Data_An_Cour!$P:$P,BV_Data_An_Cour!$U:$U,$A$1,BV_Data_An_Cour!$V:$V,$D11)</f>
        <v>47849.570000000007</v>
      </c>
      <c r="F11" s="2"/>
      <c r="G11" s="2"/>
      <c r="H11" s="2"/>
      <c r="I11" s="2"/>
      <c r="J11" s="2"/>
      <c r="K11" s="2"/>
      <c r="L11" s="2"/>
      <c r="M11" s="2"/>
      <c r="N11" s="2"/>
      <c r="O11" s="2"/>
      <c r="P11" s="2"/>
      <c r="Q11" s="2"/>
      <c r="R11" s="2"/>
      <c r="S11" s="2"/>
      <c r="T11" s="2"/>
      <c r="U11" s="2"/>
      <c r="V11" s="2"/>
      <c r="W11" s="2"/>
      <c r="X11" s="2"/>
      <c r="Y11" s="2"/>
    </row>
    <row r="12" spans="1:25" ht="14.4">
      <c r="A12" s="10" t="s">
        <v>19</v>
      </c>
      <c r="B12" s="554">
        <f>SUMIFS(BV_Data_An_Cour!$P:$P,BV_Data_An_Cour!$U:$U,$A$1,BV_Data_An_Cour!$V:$V,$A12)</f>
        <v>82327.58</v>
      </c>
      <c r="C12" s="533"/>
      <c r="D12" s="10" t="s">
        <v>20</v>
      </c>
      <c r="E12" s="554">
        <f>-SUMIFS(BV_Data_An_Cour!$P:$P,BV_Data_An_Cour!$U:$U,$A$1,BV_Data_An_Cour!$V:$V,$D12)</f>
        <v>0</v>
      </c>
      <c r="F12" s="2"/>
      <c r="G12" s="2"/>
      <c r="H12" s="2"/>
      <c r="I12" s="2"/>
      <c r="J12" s="2"/>
      <c r="K12" s="2"/>
      <c r="L12" s="2"/>
      <c r="M12" s="2"/>
      <c r="N12" s="2"/>
      <c r="O12" s="2"/>
      <c r="P12" s="2"/>
      <c r="Q12" s="2"/>
      <c r="R12" s="2"/>
      <c r="S12" s="2"/>
      <c r="T12" s="2"/>
      <c r="U12" s="2"/>
      <c r="V12" s="2"/>
      <c r="W12" s="2"/>
      <c r="X12" s="2"/>
      <c r="Y12" s="2"/>
    </row>
    <row r="13" spans="1:25" ht="14.4">
      <c r="A13" s="10" t="s">
        <v>21</v>
      </c>
      <c r="B13" s="554">
        <f>SUMIFS(BV_Data_An_Cour!$P:$P,BV_Data_An_Cour!$U:$U,$A$1,BV_Data_An_Cour!$V:$V,$A13)</f>
        <v>53373</v>
      </c>
      <c r="C13" s="533"/>
      <c r="D13" s="10" t="s">
        <v>22</v>
      </c>
      <c r="E13" s="554">
        <f>-SUMIFS(BV_Data_An_Cour!$P:$P,BV_Data_An_Cour!$U:$U,$A$1,BV_Data_An_Cour!$V:$V,$D13)</f>
        <v>20470</v>
      </c>
      <c r="F13" s="2"/>
      <c r="G13" s="2"/>
      <c r="H13" s="2"/>
      <c r="I13" s="2"/>
      <c r="J13" s="2"/>
      <c r="K13" s="2"/>
      <c r="L13" s="2"/>
      <c r="M13" s="2"/>
      <c r="N13" s="2"/>
      <c r="O13" s="2"/>
      <c r="P13" s="2"/>
      <c r="Q13" s="2"/>
      <c r="R13" s="2"/>
      <c r="S13" s="2"/>
      <c r="T13" s="2"/>
      <c r="U13" s="2"/>
      <c r="V13" s="2"/>
      <c r="W13" s="2"/>
      <c r="X13" s="2"/>
      <c r="Y13" s="2"/>
    </row>
    <row r="14" spans="1:25" ht="14.4">
      <c r="A14" s="10" t="s">
        <v>23</v>
      </c>
      <c r="B14" s="554">
        <f>SUMIFS(BV_Data_An_Cour!$P:$P,BV_Data_An_Cour!$U:$U,$A$1,BV_Data_An_Cour!$V:$V,$A14)</f>
        <v>228096.94</v>
      </c>
      <c r="C14" s="533"/>
      <c r="D14" s="10" t="s">
        <v>24</v>
      </c>
      <c r="E14" s="554">
        <f>-SUMIFS(BV_Data_An_Cour!$P:$P,BV_Data_An_Cour!$U:$U,$A$1,BV_Data_An_Cour!$V:$V,$D14)</f>
        <v>94718.57</v>
      </c>
      <c r="F14" s="2"/>
      <c r="G14" s="2"/>
      <c r="H14" s="2"/>
      <c r="I14" s="2"/>
      <c r="J14" s="2"/>
      <c r="K14" s="2"/>
      <c r="L14" s="2"/>
      <c r="M14" s="2"/>
      <c r="N14" s="2"/>
      <c r="O14" s="2"/>
      <c r="P14" s="2"/>
      <c r="Q14" s="2"/>
      <c r="R14" s="2"/>
      <c r="S14" s="2"/>
      <c r="T14" s="2"/>
      <c r="U14" s="2"/>
      <c r="V14" s="2"/>
      <c r="W14" s="2"/>
      <c r="X14" s="2"/>
      <c r="Y14" s="2"/>
    </row>
    <row r="15" spans="1:25" ht="14.4">
      <c r="A15" s="10" t="s">
        <v>25</v>
      </c>
      <c r="B15" s="554">
        <f>SUMIFS(BV_Data_An_Cour!$P:$P,BV_Data_An_Cour!$U:$U,$A$1,BV_Data_An_Cour!$V:$V,$A15)</f>
        <v>10367.380000000001</v>
      </c>
      <c r="C15" s="533"/>
      <c r="D15" s="10" t="s">
        <v>26</v>
      </c>
      <c r="E15" s="554">
        <f>-SUMIFS(BV_Data_An_Cour!$P:$P,BV_Data_An_Cour!$U:$U,$A$1,BV_Data_An_Cour!$V:$V,$D15)</f>
        <v>223407.58</v>
      </c>
      <c r="F15" s="2"/>
      <c r="G15" s="2"/>
      <c r="H15" s="2"/>
      <c r="I15" s="2"/>
      <c r="J15" s="2"/>
      <c r="K15" s="2"/>
      <c r="L15" s="2"/>
      <c r="M15" s="2"/>
      <c r="N15" s="2"/>
      <c r="O15" s="2"/>
      <c r="P15" s="2"/>
      <c r="Q15" s="2"/>
      <c r="R15" s="2"/>
      <c r="S15" s="2"/>
      <c r="T15" s="2"/>
      <c r="U15" s="2"/>
      <c r="V15" s="2"/>
      <c r="W15" s="2"/>
      <c r="X15" s="2"/>
      <c r="Y15" s="2"/>
    </row>
    <row r="16" spans="1:25" ht="14.4">
      <c r="A16" s="9" t="s">
        <v>27</v>
      </c>
      <c r="B16" s="557">
        <f>+SUM(B8:B15)</f>
        <v>1805226.5899999999</v>
      </c>
      <c r="C16" s="534"/>
      <c r="D16" s="9" t="s">
        <v>28</v>
      </c>
      <c r="E16" s="560">
        <f>+SUM(E10:E15)</f>
        <v>587864.99</v>
      </c>
      <c r="F16" s="2"/>
      <c r="G16" s="2"/>
      <c r="H16" s="2"/>
      <c r="I16" s="2"/>
      <c r="J16" s="2"/>
      <c r="K16" s="2"/>
      <c r="L16" s="2"/>
      <c r="M16" s="2"/>
      <c r="N16" s="2"/>
      <c r="O16" s="2"/>
      <c r="P16" s="2"/>
      <c r="Q16" s="2"/>
      <c r="R16" s="2"/>
      <c r="S16" s="2"/>
      <c r="T16" s="2"/>
      <c r="U16" s="2"/>
      <c r="V16" s="2"/>
      <c r="W16" s="2"/>
      <c r="X16" s="2"/>
      <c r="Y16" s="2"/>
    </row>
    <row r="17" spans="1:25" ht="14.4">
      <c r="A17" s="10"/>
      <c r="B17" s="554"/>
      <c r="C17" s="533"/>
      <c r="D17" s="11"/>
      <c r="E17" s="554"/>
      <c r="F17" s="2"/>
      <c r="G17" s="2"/>
      <c r="H17" s="2"/>
      <c r="I17" s="2"/>
      <c r="J17" s="2"/>
      <c r="K17" s="2"/>
      <c r="L17" s="2"/>
      <c r="M17" s="2"/>
      <c r="N17" s="2"/>
      <c r="O17" s="2"/>
      <c r="P17" s="2"/>
      <c r="Q17" s="2"/>
      <c r="R17" s="2"/>
      <c r="S17" s="2"/>
      <c r="T17" s="2"/>
      <c r="U17" s="2"/>
      <c r="V17" s="2"/>
      <c r="W17" s="2"/>
      <c r="X17" s="2"/>
      <c r="Y17" s="2"/>
    </row>
    <row r="18" spans="1:25" ht="14.4">
      <c r="A18" s="10" t="s">
        <v>29</v>
      </c>
      <c r="B18" s="554">
        <f>SUMIFS(BV_Data_An_Cour!$P:$P,BV_Data_An_Cour!$U:$U,$A$1,BV_Data_An_Cour!$V:$V,$A18)</f>
        <v>1089551.72</v>
      </c>
      <c r="C18" s="533"/>
      <c r="D18" s="10" t="s">
        <v>30</v>
      </c>
      <c r="E18" s="554">
        <f>-SUMIFS(BV_Data_An_Cour!$P:$P,BV_Data_An_Cour!$U:$U,$A$1,BV_Data_An_Cour!$V:$V,$D18)</f>
        <v>2111279.54</v>
      </c>
      <c r="F18" s="2"/>
      <c r="G18" s="2"/>
      <c r="H18" s="2"/>
      <c r="I18" s="2"/>
      <c r="J18" s="2"/>
      <c r="K18" s="2"/>
      <c r="L18" s="2"/>
      <c r="M18" s="2"/>
      <c r="N18" s="2"/>
      <c r="O18" s="2"/>
      <c r="P18" s="2"/>
      <c r="Q18" s="2"/>
      <c r="R18" s="2"/>
      <c r="S18" s="2"/>
      <c r="T18" s="2"/>
      <c r="U18" s="2"/>
      <c r="V18" s="2"/>
      <c r="W18" s="2"/>
      <c r="X18" s="2"/>
      <c r="Y18" s="2"/>
    </row>
    <row r="19" spans="1:25" ht="14.4">
      <c r="A19" s="10" t="s">
        <v>31</v>
      </c>
      <c r="B19" s="554">
        <f>SUMIFS(BV_Data_An_Cour!$P:$P,BV_Data_An_Cour!$U:$U,$A$1,BV_Data_An_Cour!$V:$V,$A19)</f>
        <v>2662651.27</v>
      </c>
      <c r="C19" s="533"/>
      <c r="D19" s="10" t="s">
        <v>32</v>
      </c>
      <c r="E19" s="554">
        <f>-SUMIFS(BV_Data_An_Cour!$P:$P,BV_Data_An_Cour!$U:$U,$A$1,BV_Data_An_Cour!$V:$V,$D19)</f>
        <v>1384167.9</v>
      </c>
      <c r="F19" s="2"/>
      <c r="G19" s="2"/>
      <c r="H19" s="2"/>
      <c r="I19" s="2"/>
      <c r="J19" s="2"/>
      <c r="K19" s="2"/>
      <c r="L19" s="2"/>
      <c r="M19" s="2"/>
      <c r="N19" s="2"/>
      <c r="O19" s="2"/>
      <c r="P19" s="2"/>
      <c r="Q19" s="2"/>
      <c r="R19" s="2"/>
      <c r="S19" s="2"/>
      <c r="T19" s="2"/>
      <c r="U19" s="2"/>
      <c r="V19" s="2"/>
      <c r="W19" s="2"/>
      <c r="X19" s="2"/>
      <c r="Y19" s="2"/>
    </row>
    <row r="20" spans="1:25" ht="14.4">
      <c r="A20" s="10" t="s">
        <v>33</v>
      </c>
      <c r="B20" s="554">
        <f>SUMIFS(BV_Data_An_Cour!$P:$P,BV_Data_An_Cour!$U:$U,$A$1,BV_Data_An_Cour!$V:$V,$A20)</f>
        <v>357967.99999999994</v>
      </c>
      <c r="C20" s="533"/>
      <c r="D20" s="9" t="s">
        <v>34</v>
      </c>
      <c r="E20" s="560">
        <f>+SUM(E18:E19)</f>
        <v>3495447.44</v>
      </c>
      <c r="F20" s="2"/>
      <c r="G20" s="2"/>
      <c r="H20" s="2"/>
      <c r="I20" s="2"/>
      <c r="J20" s="2"/>
      <c r="K20" s="2"/>
      <c r="L20" s="2"/>
      <c r="M20" s="2"/>
      <c r="N20" s="2"/>
      <c r="O20" s="2"/>
      <c r="P20" s="2"/>
      <c r="Q20" s="2"/>
      <c r="R20" s="2"/>
      <c r="S20" s="2"/>
      <c r="T20" s="2"/>
      <c r="U20" s="2"/>
      <c r="V20" s="2"/>
      <c r="W20" s="2"/>
      <c r="X20" s="2"/>
      <c r="Y20" s="2"/>
    </row>
    <row r="21" spans="1:25" ht="15.75" customHeight="1">
      <c r="A21" s="9" t="s">
        <v>35</v>
      </c>
      <c r="B21" s="557">
        <f>SUM(B18:B20)</f>
        <v>4110170.99</v>
      </c>
      <c r="C21" s="534"/>
      <c r="D21" s="10"/>
      <c r="E21" s="554"/>
      <c r="F21" s="2"/>
      <c r="G21" s="2"/>
      <c r="H21" s="2"/>
      <c r="I21" s="2"/>
      <c r="J21" s="2"/>
      <c r="K21" s="2"/>
      <c r="L21" s="2"/>
      <c r="M21" s="2"/>
      <c r="N21" s="2"/>
      <c r="O21" s="2"/>
      <c r="P21" s="2"/>
      <c r="Q21" s="2"/>
      <c r="R21" s="2"/>
      <c r="S21" s="2"/>
      <c r="T21" s="2"/>
      <c r="U21" s="2"/>
      <c r="V21" s="2"/>
      <c r="W21" s="2"/>
      <c r="X21" s="2"/>
      <c r="Y21" s="2"/>
    </row>
    <row r="22" spans="1:25" ht="15.75" customHeight="1">
      <c r="A22" s="11"/>
      <c r="B22" s="554"/>
      <c r="C22" s="533"/>
      <c r="D22" s="10" t="s">
        <v>36</v>
      </c>
      <c r="E22" s="554">
        <f>-SUMIFS(BV_Data_An_Cour!$P:$P,BV_Data_An_Cour!$U:$U,$A$1,BV_Data_An_Cour!$V:$V,$D22)</f>
        <v>505504.43</v>
      </c>
      <c r="F22" s="2"/>
      <c r="G22" s="2"/>
      <c r="H22" s="2"/>
      <c r="I22" s="2"/>
      <c r="J22" s="2"/>
      <c r="K22" s="2"/>
      <c r="L22" s="2"/>
      <c r="M22" s="2"/>
      <c r="N22" s="2"/>
      <c r="O22" s="2"/>
      <c r="P22" s="2"/>
      <c r="Q22" s="2"/>
      <c r="R22" s="2"/>
      <c r="S22" s="2"/>
      <c r="T22" s="2"/>
      <c r="U22" s="2"/>
      <c r="V22" s="2"/>
      <c r="W22" s="2"/>
      <c r="X22" s="2"/>
      <c r="Y22" s="2"/>
    </row>
    <row r="23" spans="1:25" ht="15.75" customHeight="1">
      <c r="A23" s="10" t="s">
        <v>37</v>
      </c>
      <c r="B23" s="554">
        <f>SUMIFS(BV_Data_An_Cour!$P:$P,BV_Data_An_Cour!$U:$U,$A$1,BV_Data_An_Cour!$V:$V,$A23)</f>
        <v>0</v>
      </c>
      <c r="C23" s="533"/>
      <c r="D23" s="10" t="s">
        <v>38</v>
      </c>
      <c r="E23" s="554">
        <f>-SUMIFS(BV_Data_An_Cour!$P:$P,BV_Data_An_Cour!$U:$U,$A$1,BV_Data_An_Cour!$V:$V,$D23)</f>
        <v>19224.22</v>
      </c>
      <c r="F23" s="2"/>
      <c r="G23" s="2"/>
      <c r="H23" s="2"/>
      <c r="I23" s="2"/>
      <c r="J23" s="2"/>
      <c r="K23" s="2"/>
      <c r="L23" s="2"/>
      <c r="M23" s="2"/>
      <c r="N23" s="2"/>
      <c r="O23" s="2"/>
      <c r="P23" s="2"/>
      <c r="Q23" s="2"/>
      <c r="R23" s="2"/>
      <c r="S23" s="2"/>
      <c r="T23" s="2"/>
      <c r="U23" s="2"/>
      <c r="V23" s="2"/>
      <c r="W23" s="2"/>
      <c r="X23" s="2"/>
      <c r="Y23" s="2"/>
    </row>
    <row r="24" spans="1:25" ht="15.75" customHeight="1">
      <c r="A24" s="10" t="s">
        <v>39</v>
      </c>
      <c r="B24" s="554">
        <f>SUMIFS(BV_Data_An_Cour!$P:$P,BV_Data_An_Cour!$U:$U,$A$1,BV_Data_An_Cour!$V:$V,$A24)</f>
        <v>8206.25</v>
      </c>
      <c r="C24" s="533"/>
      <c r="D24" s="10" t="s">
        <v>40</v>
      </c>
      <c r="E24" s="554">
        <f>-SUMIFS(BV_Data_An_Cour!$P:$P,BV_Data_An_Cour!$U:$U,$A$1,BV_Data_An_Cour!$V:$V,$D24)</f>
        <v>308308.01999999996</v>
      </c>
      <c r="F24" s="2"/>
      <c r="G24" s="2"/>
      <c r="H24" s="2"/>
      <c r="I24" s="2"/>
      <c r="J24" s="2"/>
      <c r="K24" s="2"/>
      <c r="L24" s="2"/>
      <c r="M24" s="2"/>
      <c r="N24" s="2"/>
      <c r="O24" s="2"/>
      <c r="P24" s="2"/>
      <c r="Q24" s="2"/>
      <c r="R24" s="2"/>
      <c r="S24" s="2"/>
      <c r="T24" s="2"/>
      <c r="U24" s="2"/>
      <c r="V24" s="2"/>
      <c r="W24" s="2"/>
      <c r="X24" s="2"/>
      <c r="Y24" s="2"/>
    </row>
    <row r="25" spans="1:25" ht="15.75" customHeight="1">
      <c r="A25" s="10" t="s">
        <v>41</v>
      </c>
      <c r="B25" s="554">
        <f>SUMIFS(BV_Data_An_Cour!$P:$P,BV_Data_An_Cour!$U:$U,$A$1,BV_Data_An_Cour!$V:$V,$A25)</f>
        <v>26265.17</v>
      </c>
      <c r="C25" s="533"/>
      <c r="D25" s="10" t="s">
        <v>42</v>
      </c>
      <c r="E25" s="554">
        <f>-SUMIFS(BV_Data_An_Cour!$P:$P,BV_Data_An_Cour!$U:$U,$A$1,BV_Data_An_Cour!$V:$V,$D25)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54">
        <f>SUMIFS(BV_Data_An_Cour!$P:$P,BV_Data_An_Cour!$U:$U,$A$1,BV_Data_An_Cour!$V:$V,$A26)</f>
        <v>-13170.369999999995</v>
      </c>
      <c r="C26" s="533"/>
      <c r="D26" s="10" t="s">
        <v>42</v>
      </c>
      <c r="E26" s="554">
        <f>-SUMIFS(BV_Data_An_Cour!$P:$P,BV_Data_An_Cour!$U:$U,$A$1,BV_Data_An_Cour!$V:$V,$D26)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54">
        <f>SUMIFS(BV_Data_An_Cour!$P:$P,BV_Data_An_Cour!$U:$U,$A$1,BV_Data_An_Cour!$V:$V,$A27)</f>
        <v>0</v>
      </c>
      <c r="C27" s="533"/>
      <c r="D27" s="10" t="s">
        <v>42</v>
      </c>
      <c r="E27" s="554">
        <f>-SUMIFS(BV_Data_An_Cour!$P:$P,BV_Data_An_Cour!$U:$U,$A$1,BV_Data_An_Cour!$V:$V,$D27)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54">
        <f>SUMIFS(BV_Data_An_Cour!$P:$P,BV_Data_An_Cour!$U:$U,$A$1,BV_Data_An_Cour!$V:$V,$A28)</f>
        <v>0</v>
      </c>
      <c r="C28" s="533"/>
      <c r="D28" s="9" t="s">
        <v>44</v>
      </c>
      <c r="E28" s="560">
        <f>SUM(E22:E24)</f>
        <v>833036.66999999993</v>
      </c>
      <c r="F28" s="2"/>
      <c r="G28" s="2"/>
      <c r="H28" s="2"/>
      <c r="I28" s="2"/>
      <c r="J28" s="2"/>
      <c r="K28" s="2"/>
      <c r="L28" s="2"/>
      <c r="M28" s="2"/>
      <c r="N28" s="2"/>
      <c r="O28" s="2"/>
      <c r="P28" s="2"/>
      <c r="Q28" s="2"/>
      <c r="R28" s="2"/>
      <c r="S28" s="2"/>
      <c r="T28" s="2"/>
      <c r="U28" s="2"/>
      <c r="V28" s="2"/>
      <c r="W28" s="2"/>
      <c r="X28" s="2"/>
      <c r="Y28" s="2"/>
    </row>
    <row r="29" spans="1:25" ht="15.75" customHeight="1">
      <c r="A29" s="10" t="s">
        <v>42</v>
      </c>
      <c r="B29" s="554">
        <f>SUMIFS(BV_Data_An_Cour!$P:$P,BV_Data_An_Cour!$U:$U,$A$1,BV_Data_An_Cour!$V:$V,$A29)</f>
        <v>0</v>
      </c>
      <c r="C29" s="533"/>
      <c r="D29" s="10"/>
      <c r="E29" s="554"/>
      <c r="F29" s="2"/>
      <c r="G29" s="2"/>
      <c r="H29" s="2"/>
      <c r="I29" s="2"/>
      <c r="J29" s="2"/>
      <c r="K29" s="2"/>
      <c r="L29" s="2"/>
      <c r="M29" s="2"/>
      <c r="N29" s="2"/>
      <c r="O29" s="2"/>
      <c r="P29" s="2"/>
      <c r="Q29" s="2"/>
      <c r="R29" s="2"/>
      <c r="S29" s="2"/>
      <c r="T29" s="2"/>
      <c r="U29" s="2"/>
      <c r="V29" s="2"/>
      <c r="W29" s="2"/>
      <c r="X29" s="2"/>
      <c r="Y29" s="2"/>
    </row>
    <row r="30" spans="1:25" ht="15.75" customHeight="1">
      <c r="A30" s="9" t="s">
        <v>45</v>
      </c>
      <c r="B30" s="557">
        <f>SUM(B23:B29)</f>
        <v>21301.050000000003</v>
      </c>
      <c r="C30" s="534"/>
      <c r="D30" s="12" t="s">
        <v>46</v>
      </c>
      <c r="E30" s="555">
        <f>+E5+E7+E16+E20+E28</f>
        <v>4932159.0999999996</v>
      </c>
      <c r="F30" s="2"/>
      <c r="G30" s="2"/>
      <c r="H30" s="2"/>
      <c r="I30" s="2"/>
      <c r="J30" s="2"/>
      <c r="K30" s="2"/>
      <c r="L30" s="2"/>
      <c r="M30" s="2"/>
      <c r="N30" s="2"/>
      <c r="O30" s="2"/>
      <c r="P30" s="2"/>
      <c r="Q30" s="2"/>
      <c r="R30" s="2"/>
      <c r="S30" s="2"/>
      <c r="T30" s="2"/>
      <c r="U30" s="2"/>
      <c r="V30" s="2"/>
      <c r="W30" s="2"/>
      <c r="X30" s="2"/>
      <c r="Y30" s="2"/>
    </row>
    <row r="31" spans="1:25" ht="15.75" customHeight="1">
      <c r="A31" s="10"/>
      <c r="B31" s="554"/>
      <c r="C31" s="533"/>
      <c r="D31" s="13"/>
      <c r="E31" s="556"/>
      <c r="F31" s="2"/>
      <c r="G31" s="2"/>
      <c r="H31" s="2"/>
      <c r="I31" s="2"/>
      <c r="J31" s="2"/>
      <c r="K31" s="2"/>
      <c r="L31" s="2"/>
      <c r="M31" s="2"/>
      <c r="N31" s="2"/>
      <c r="O31" s="2"/>
      <c r="P31" s="2"/>
      <c r="Q31" s="2"/>
      <c r="R31" s="2"/>
      <c r="S31" s="2"/>
      <c r="T31" s="2"/>
      <c r="U31" s="2"/>
      <c r="V31" s="2"/>
      <c r="W31" s="2"/>
      <c r="X31" s="2"/>
      <c r="Y31" s="2"/>
    </row>
    <row r="32" spans="1:25" ht="15.75" customHeight="1">
      <c r="A32" s="12" t="s">
        <v>47</v>
      </c>
      <c r="B32" s="555">
        <f>+B6+B16+B21+B30</f>
        <v>7064891.79</v>
      </c>
      <c r="C32" s="535"/>
      <c r="D32" s="14"/>
      <c r="E32" s="554"/>
      <c r="F32" s="2"/>
      <c r="G32" s="2"/>
      <c r="H32" s="2"/>
      <c r="I32" s="2"/>
      <c r="J32" s="2"/>
      <c r="K32" s="2"/>
      <c r="L32" s="2"/>
      <c r="M32" s="2"/>
      <c r="N32" s="2"/>
      <c r="O32" s="2"/>
      <c r="P32" s="2"/>
      <c r="Q32" s="2"/>
      <c r="R32" s="2"/>
      <c r="S32" s="2"/>
      <c r="T32" s="2"/>
      <c r="U32" s="2"/>
      <c r="V32" s="2"/>
      <c r="W32" s="2"/>
      <c r="X32" s="2"/>
      <c r="Y32" s="2"/>
    </row>
    <row r="33" spans="1:25" ht="15.75" customHeight="1">
      <c r="A33" s="13"/>
      <c r="B33" s="556"/>
      <c r="C33" s="536"/>
      <c r="D33" s="9" t="s">
        <v>48</v>
      </c>
      <c r="E33" s="559">
        <f>-SUMIFS(BV_Data_An_Cour!$P:$P,BV_Data_An_Cour!$U:$U,$A$1,BV_Data_An_Cour!$V:$V,$D33)</f>
        <v>0</v>
      </c>
      <c r="F33" s="2"/>
      <c r="G33" s="2"/>
      <c r="H33" s="2"/>
      <c r="I33" s="2"/>
      <c r="J33" s="2"/>
      <c r="K33" s="2"/>
      <c r="L33" s="2"/>
      <c r="M33" s="2"/>
      <c r="N33" s="2"/>
      <c r="O33" s="2"/>
      <c r="P33" s="2"/>
      <c r="Q33" s="2"/>
      <c r="R33" s="2"/>
      <c r="S33" s="2"/>
      <c r="T33" s="2"/>
      <c r="U33" s="2"/>
      <c r="V33" s="2"/>
      <c r="W33" s="2"/>
      <c r="X33" s="2"/>
      <c r="Y33" s="2"/>
    </row>
    <row r="34" spans="1:25" ht="15.75" customHeight="1">
      <c r="A34" s="14"/>
      <c r="B34" s="554"/>
      <c r="C34" s="537"/>
      <c r="D34" s="10"/>
      <c r="E34" s="554"/>
      <c r="F34" s="2"/>
      <c r="G34" s="2"/>
      <c r="H34" s="2"/>
      <c r="I34" s="2"/>
      <c r="J34" s="2"/>
      <c r="K34" s="2"/>
      <c r="L34" s="2"/>
      <c r="M34" s="2"/>
      <c r="N34" s="2"/>
      <c r="O34" s="2"/>
      <c r="P34" s="2"/>
      <c r="Q34" s="2"/>
      <c r="R34" s="2"/>
      <c r="S34" s="2"/>
      <c r="T34" s="2"/>
      <c r="U34" s="2"/>
      <c r="V34" s="2"/>
      <c r="W34" s="2"/>
      <c r="X34" s="2"/>
      <c r="Y34" s="2"/>
    </row>
    <row r="35" spans="1:25" ht="15.75" customHeight="1">
      <c r="A35" s="10" t="s">
        <v>49</v>
      </c>
      <c r="B35" s="554">
        <f>SUMIFS(BV_Data_An_Cour!$P:$P,BV_Data_An_Cour!$U:$U,$A$1,BV_Data_An_Cour!$V:$V,$A35)</f>
        <v>0</v>
      </c>
      <c r="C35" s="537"/>
      <c r="D35" s="10" t="s">
        <v>50</v>
      </c>
      <c r="E35" s="554">
        <f>-SUMIFS(BV_Data_An_Cour!$P:$P,BV_Data_An_Cour!$U:$U,$A$1,BV_Data_An_Cour!$V:$V,$D35)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54">
        <f>SUMIFS(BV_Data_An_Cour!$P:$P,BV_Data_An_Cour!$U:$U,$A$1,BV_Data_An_Cour!$V:$V,$A36)</f>
        <v>0</v>
      </c>
      <c r="C36" s="537"/>
      <c r="D36" s="10" t="s">
        <v>52</v>
      </c>
      <c r="E36" s="554">
        <f>-SUMIFS(BV_Data_An_Cour!$P:$P,BV_Data_An_Cour!$U:$U,$A$1,BV_Data_An_Cour!$V:$V,$D36)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54">
        <f>SUMIFS(BV_Data_An_Cour!$P:$P,BV_Data_An_Cour!$U:$U,$A$1,BV_Data_An_Cour!$V:$V,$A37)</f>
        <v>44145.259999999995</v>
      </c>
      <c r="C37" s="537"/>
      <c r="D37" s="10" t="s">
        <v>54</v>
      </c>
      <c r="E37" s="554">
        <f>-SUMIFS(BV_Data_An_Cour!$P:$P,BV_Data_An_Cour!$U:$U,$A$1,BV_Data_An_Cour!$V:$V,$D37)</f>
        <v>5761.25</v>
      </c>
      <c r="F37" s="2"/>
      <c r="G37" s="2"/>
      <c r="H37" s="2"/>
      <c r="I37" s="2"/>
      <c r="J37" s="2"/>
      <c r="K37" s="2"/>
      <c r="L37" s="2"/>
      <c r="M37" s="2"/>
      <c r="N37" s="2"/>
      <c r="O37" s="2"/>
      <c r="P37" s="2"/>
      <c r="Q37" s="2"/>
      <c r="R37" s="2"/>
      <c r="S37" s="2"/>
      <c r="T37" s="2"/>
      <c r="U37" s="2"/>
      <c r="V37" s="2"/>
      <c r="W37" s="2"/>
      <c r="X37" s="2"/>
      <c r="Y37" s="2"/>
    </row>
    <row r="38" spans="1:25" ht="15.75" customHeight="1">
      <c r="A38" s="10" t="s">
        <v>55</v>
      </c>
      <c r="B38" s="554">
        <f>SUMIFS(BV_Data_An_Cour!$P:$P,BV_Data_An_Cour!$U:$U,$A$1,BV_Data_An_Cour!$V:$V,$A38)</f>
        <v>0</v>
      </c>
      <c r="C38" s="537"/>
      <c r="D38" s="10" t="s">
        <v>56</v>
      </c>
      <c r="E38" s="554">
        <f>-SUMIFS(BV_Data_An_Cour!$P:$P,BV_Data_An_Cour!$U:$U,$A$1,BV_Data_An_Cour!$V:$V,$D38)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54">
        <f>SUMIFS(BV_Data_An_Cour!$P:$P,BV_Data_An_Cour!$U:$U,$A$1,BV_Data_An_Cour!$V:$V,$A39)</f>
        <v>156025.21</v>
      </c>
      <c r="C39" s="537"/>
      <c r="D39" s="10" t="s">
        <v>42</v>
      </c>
      <c r="E39" s="554">
        <f>-SUMIFS(BV_Data_An_Cour!$P:$P,BV_Data_An_Cour!$U:$U,$A$1,BV_Data_An_Cour!$V:$V,$D39)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54">
        <f>SUMIFS(BV_Data_An_Cour!$P:$P,BV_Data_An_Cour!$U:$U,$A$1,BV_Data_An_Cour!$V:$V,$A40)</f>
        <v>30519.789999999979</v>
      </c>
      <c r="C40" s="537"/>
      <c r="D40" s="10" t="s">
        <v>42</v>
      </c>
      <c r="E40" s="554">
        <f>-SUMIFS(BV_Data_An_Cour!$P:$P,BV_Data_An_Cour!$U:$U,$A$1,BV_Data_An_Cour!$V:$V,$D40)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54">
        <f>SUMIFS(BV_Data_An_Cour!$P:$P,BV_Data_An_Cour!$U:$U,$A$1,BV_Data_An_Cour!$V:$V,$A41)</f>
        <v>16217.060000000012</v>
      </c>
      <c r="C41" s="537"/>
      <c r="D41" s="10" t="s">
        <v>42</v>
      </c>
      <c r="E41" s="554">
        <f>-SUMIFS(BV_Data_An_Cour!$P:$P,BV_Data_An_Cour!$U:$U,$A$1,BV_Data_An_Cour!$V:$V,$D41)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54">
        <f>SUMIFS(BV_Data_An_Cour!$P:$P,BV_Data_An_Cour!$U:$U,$A$1,BV_Data_An_Cour!$V:$V,$A42)</f>
        <v>0</v>
      </c>
      <c r="C42" s="537"/>
      <c r="D42" s="12" t="s">
        <v>61</v>
      </c>
      <c r="E42" s="555">
        <f>+SUM(E33:E38)</f>
        <v>5761.25</v>
      </c>
      <c r="F42" s="2"/>
      <c r="G42" s="2"/>
      <c r="H42" s="2"/>
      <c r="I42" s="2"/>
      <c r="J42" s="2"/>
      <c r="K42" s="2"/>
      <c r="L42" s="2"/>
      <c r="M42" s="2"/>
      <c r="N42" s="2"/>
      <c r="O42" s="2"/>
      <c r="P42" s="2"/>
      <c r="Q42" s="2"/>
      <c r="R42" s="2"/>
      <c r="S42" s="2"/>
      <c r="T42" s="2"/>
      <c r="U42" s="2"/>
      <c r="V42" s="2"/>
      <c r="W42" s="2"/>
      <c r="X42" s="2"/>
      <c r="Y42" s="2"/>
    </row>
    <row r="43" spans="1:25" ht="15.75" customHeight="1">
      <c r="A43" s="10" t="s">
        <v>62</v>
      </c>
      <c r="B43" s="554">
        <f>SUMIFS(BV_Data_An_Cour!$P:$P,BV_Data_An_Cour!$U:$U,$A$1,BV_Data_An_Cour!$V:$V,$A43)</f>
        <v>1.0000000009313226E-2</v>
      </c>
      <c r="C43" s="537"/>
      <c r="D43" s="13"/>
      <c r="E43" s="556"/>
      <c r="F43" s="2"/>
      <c r="G43" s="2"/>
      <c r="H43" s="2"/>
      <c r="I43" s="2"/>
      <c r="J43" s="2"/>
      <c r="K43" s="2"/>
      <c r="L43" s="2"/>
      <c r="M43" s="2"/>
      <c r="N43" s="2"/>
      <c r="O43" s="2"/>
      <c r="P43" s="2"/>
      <c r="Q43" s="2"/>
      <c r="R43" s="2"/>
      <c r="S43" s="2"/>
      <c r="T43" s="2"/>
      <c r="U43" s="2"/>
      <c r="V43" s="2"/>
      <c r="W43" s="2"/>
      <c r="X43" s="2"/>
      <c r="Y43" s="2"/>
    </row>
    <row r="44" spans="1:25" ht="15.75" customHeight="1">
      <c r="A44" s="9" t="s">
        <v>63</v>
      </c>
      <c r="B44" s="557">
        <f>SUM(B35:B43)</f>
        <v>246907.32999999996</v>
      </c>
      <c r="C44" s="538"/>
      <c r="D44" s="10"/>
      <c r="E44" s="554"/>
      <c r="F44" s="2"/>
      <c r="G44" s="2"/>
      <c r="H44" s="2"/>
      <c r="I44" s="2"/>
      <c r="J44" s="2"/>
      <c r="K44" s="2"/>
      <c r="L44" s="2"/>
      <c r="M44" s="2"/>
      <c r="N44" s="2"/>
      <c r="O44" s="2"/>
      <c r="P44" s="2"/>
      <c r="Q44" s="2"/>
      <c r="R44" s="2"/>
      <c r="S44" s="2"/>
      <c r="T44" s="2"/>
      <c r="U44" s="2"/>
      <c r="V44" s="2"/>
      <c r="W44" s="2"/>
      <c r="X44" s="2"/>
      <c r="Y44" s="2"/>
    </row>
    <row r="45" spans="1:25" ht="15.75" customHeight="1">
      <c r="A45" s="11"/>
      <c r="B45" s="554"/>
      <c r="C45" s="537"/>
      <c r="D45" s="12" t="s">
        <v>64</v>
      </c>
      <c r="E45" s="555">
        <f>+E42+E30</f>
        <v>4937920.3499999996</v>
      </c>
      <c r="F45" s="2"/>
      <c r="G45" s="2"/>
      <c r="H45" s="2"/>
      <c r="I45" s="2"/>
      <c r="J45" s="2"/>
      <c r="K45" s="2"/>
      <c r="L45" s="2"/>
      <c r="M45" s="2"/>
      <c r="N45" s="2"/>
      <c r="O45" s="2"/>
      <c r="P45" s="2"/>
      <c r="Q45" s="2"/>
      <c r="R45" s="2"/>
      <c r="S45" s="2"/>
      <c r="T45" s="2"/>
      <c r="U45" s="2"/>
      <c r="V45" s="2"/>
      <c r="W45" s="2"/>
      <c r="X45" s="2"/>
      <c r="Y45" s="2"/>
    </row>
    <row r="46" spans="1:25" ht="15.75" customHeight="1">
      <c r="A46" s="9" t="s">
        <v>65</v>
      </c>
      <c r="B46" s="560">
        <f>SUMIFS(BV_Data_An_Cour!$P:$P,BV_Data_An_Cour!$U:$U,$A$1,BV_Data_An_Cour!$V:$V,$A46)</f>
        <v>5873600</v>
      </c>
      <c r="C46" s="538"/>
      <c r="D46" s="13"/>
      <c r="E46" s="556"/>
      <c r="F46" s="2"/>
      <c r="G46" s="2"/>
      <c r="H46" s="2"/>
      <c r="I46" s="2"/>
      <c r="J46" s="2"/>
      <c r="K46" s="2"/>
      <c r="L46" s="2"/>
      <c r="M46" s="2"/>
      <c r="N46" s="2"/>
      <c r="O46" s="2"/>
      <c r="P46" s="2"/>
      <c r="Q46" s="2"/>
      <c r="R46" s="2"/>
      <c r="S46" s="2"/>
      <c r="T46" s="2"/>
      <c r="U46" s="2"/>
      <c r="V46" s="2"/>
      <c r="W46" s="2"/>
      <c r="X46" s="2"/>
      <c r="Y46" s="2"/>
    </row>
    <row r="47" spans="1:25" ht="15.75" customHeight="1">
      <c r="A47" s="10"/>
      <c r="B47" s="554"/>
      <c r="C47" s="537"/>
      <c r="D47" s="10"/>
      <c r="E47" s="554"/>
      <c r="F47" s="2"/>
      <c r="G47" s="2"/>
      <c r="H47" s="2"/>
      <c r="I47" s="2"/>
      <c r="J47" s="2"/>
      <c r="K47" s="2"/>
      <c r="L47" s="2"/>
      <c r="M47" s="2"/>
      <c r="N47" s="2"/>
      <c r="O47" s="2"/>
      <c r="P47" s="2"/>
      <c r="Q47" s="2"/>
      <c r="R47" s="2"/>
      <c r="S47" s="2"/>
      <c r="T47" s="2"/>
      <c r="U47" s="2"/>
      <c r="V47" s="2"/>
      <c r="W47" s="2"/>
      <c r="X47" s="2"/>
      <c r="Y47" s="2"/>
    </row>
    <row r="48" spans="1:25" ht="15.75" customHeight="1">
      <c r="A48" s="9" t="s">
        <v>66</v>
      </c>
      <c r="B48" s="560">
        <f>SUMIFS(BV_Data_An_Cour!$P:$P,BV_Data_An_Cour!$U:$U,$A$1,BV_Data_An_Cour!$V:$V,$A48)</f>
        <v>0</v>
      </c>
      <c r="C48" s="538"/>
      <c r="D48" s="10" t="s">
        <v>67</v>
      </c>
      <c r="E48" s="554">
        <f>-SUMIFS(BV_Data_An_Cour!$P:$P,BV_Data_An_Cour!$U:$U,$A$1,BV_Data_An_Cour!$V:$V,$D48)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54"/>
      <c r="C49" s="537"/>
      <c r="D49" s="10" t="s">
        <v>68</v>
      </c>
      <c r="E49" s="554">
        <f>-SUMIFS(BV_Data_An_Cour!$P:$P,BV_Data_An_Cour!$U:$U,$A$1,BV_Data_An_Cour!$V:$V,$D49)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54">
        <f>SUMIFS(BV_Data_An_Cour!$P:$P,BV_Data_An_Cour!$U:$U,$A$1,BV_Data_An_Cour!$V:$V,$A50)</f>
        <v>0</v>
      </c>
      <c r="C50" s="537"/>
      <c r="D50" s="10" t="s">
        <v>69</v>
      </c>
      <c r="E50" s="554">
        <f>-SUMIFS(BV_Data_An_Cour!$P:$P,BV_Data_An_Cour!$U:$U,$A$1,BV_Data_An_Cour!$V:$V,$D50)+Print_AAD!AF497</f>
        <v>3826314.2699999982</v>
      </c>
      <c r="F50" s="2"/>
      <c r="G50" s="2"/>
      <c r="H50" s="2"/>
      <c r="I50" s="2"/>
      <c r="J50" s="2"/>
      <c r="K50" s="2"/>
      <c r="L50" s="2"/>
      <c r="M50" s="2"/>
      <c r="N50" s="2"/>
      <c r="O50" s="2"/>
      <c r="P50" s="2"/>
      <c r="Q50" s="2"/>
      <c r="R50" s="2"/>
      <c r="S50" s="2"/>
      <c r="T50" s="2"/>
      <c r="U50" s="2"/>
      <c r="V50" s="2"/>
      <c r="W50" s="2"/>
      <c r="X50" s="2"/>
      <c r="Y50" s="2"/>
    </row>
    <row r="51" spans="1:25" ht="15.75" customHeight="1">
      <c r="A51" s="14" t="s">
        <v>42</v>
      </c>
      <c r="B51" s="554">
        <f>SUMIFS(BV_Data_An_Cour!$P:$P,BV_Data_An_Cour!$U:$U,$A$1,BV_Data_An_Cour!$V:$V,$A51)</f>
        <v>0</v>
      </c>
      <c r="C51" s="537"/>
      <c r="D51" s="10" t="s">
        <v>70</v>
      </c>
      <c r="E51" s="554">
        <f>-SUMIFS(BV_Data_An_Cour!$P:$P,BV_Data_An_Cour!$U:$U,$A$1,BV_Data_An_Cour!$V:$V,$D51)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54">
        <f>SUMIFS(BV_Data_An_Cour!$P:$P,BV_Data_An_Cour!$U:$U,$A$1,BV_Data_An_Cour!$V:$V,$A52)</f>
        <v>0</v>
      </c>
      <c r="C52" s="537"/>
      <c r="D52" s="16"/>
      <c r="E52" s="558"/>
      <c r="F52" s="2"/>
      <c r="G52" s="2"/>
      <c r="H52" s="2"/>
      <c r="I52" s="2"/>
      <c r="J52" s="2"/>
      <c r="K52" s="2"/>
      <c r="L52" s="2"/>
      <c r="M52" s="2"/>
      <c r="N52" s="2"/>
      <c r="O52" s="2"/>
      <c r="P52" s="2"/>
      <c r="Q52" s="2"/>
      <c r="R52" s="2"/>
      <c r="S52" s="2"/>
      <c r="T52" s="2"/>
      <c r="U52" s="2"/>
      <c r="V52" s="2"/>
      <c r="W52" s="2"/>
      <c r="X52" s="2"/>
      <c r="Y52" s="2"/>
    </row>
    <row r="53" spans="1:25" ht="15.75" customHeight="1">
      <c r="A53" s="12" t="s">
        <v>71</v>
      </c>
      <c r="B53" s="555">
        <f>+B44+B48+B46</f>
        <v>6120507.3300000001</v>
      </c>
      <c r="C53" s="535"/>
      <c r="D53" s="12" t="s">
        <v>72</v>
      </c>
      <c r="E53" s="555">
        <f>SUM(E48:E51)</f>
        <v>8247478.7699999977</v>
      </c>
      <c r="F53" s="2"/>
      <c r="G53" s="2"/>
      <c r="H53" s="2"/>
      <c r="I53" s="2"/>
      <c r="J53" s="2"/>
      <c r="K53" s="2"/>
      <c r="L53" s="2"/>
      <c r="M53" s="2"/>
      <c r="N53" s="2"/>
      <c r="O53" s="2"/>
      <c r="P53" s="2"/>
      <c r="Q53" s="2"/>
      <c r="R53" s="2"/>
      <c r="S53" s="2"/>
      <c r="T53" s="2"/>
      <c r="U53" s="2"/>
      <c r="V53" s="2"/>
      <c r="W53" s="2"/>
      <c r="X53" s="2"/>
      <c r="Y53" s="2"/>
    </row>
    <row r="54" spans="1:25" ht="15.75" customHeight="1">
      <c r="A54" s="13"/>
      <c r="B54" s="556"/>
      <c r="C54" s="536"/>
      <c r="D54" s="13"/>
      <c r="E54" s="556"/>
      <c r="F54" s="2"/>
      <c r="G54" s="2"/>
      <c r="H54" s="2"/>
      <c r="I54" s="2"/>
      <c r="J54" s="2"/>
      <c r="K54" s="2"/>
      <c r="L54" s="2"/>
      <c r="M54" s="2"/>
      <c r="N54" s="2"/>
      <c r="O54" s="2"/>
      <c r="P54" s="2"/>
      <c r="Q54" s="2"/>
      <c r="R54" s="2"/>
      <c r="S54" s="2"/>
      <c r="T54" s="2"/>
      <c r="U54" s="2"/>
      <c r="V54" s="2"/>
      <c r="W54" s="2"/>
      <c r="X54" s="2"/>
      <c r="Y54" s="2"/>
    </row>
    <row r="55" spans="1:25" ht="15.75" customHeight="1">
      <c r="A55" s="14"/>
      <c r="B55" s="554"/>
      <c r="C55" s="537"/>
      <c r="D55" s="14"/>
      <c r="E55" s="554"/>
      <c r="F55" s="2"/>
      <c r="G55" s="2"/>
      <c r="H55" s="2"/>
      <c r="I55" s="2"/>
      <c r="J55" s="2"/>
      <c r="K55" s="2"/>
      <c r="L55" s="2"/>
      <c r="M55" s="2"/>
      <c r="N55" s="2"/>
      <c r="O55" s="2"/>
      <c r="P55" s="2"/>
      <c r="Q55" s="2"/>
      <c r="R55" s="2"/>
      <c r="S55" s="2"/>
      <c r="T55" s="2"/>
      <c r="U55" s="2"/>
      <c r="V55" s="2"/>
      <c r="W55" s="2"/>
      <c r="X55" s="2"/>
      <c r="Y55" s="2"/>
    </row>
    <row r="56" spans="1:25" ht="15.75" customHeight="1">
      <c r="A56" s="12" t="s">
        <v>73</v>
      </c>
      <c r="B56" s="555">
        <f>+B32+B53</f>
        <v>13185399.120000001</v>
      </c>
      <c r="C56" s="535"/>
      <c r="D56" s="12" t="s">
        <v>74</v>
      </c>
      <c r="E56" s="555">
        <f>+E53+E45</f>
        <v>13185399.119999997</v>
      </c>
      <c r="F56" s="2"/>
      <c r="G56" s="2"/>
      <c r="H56" s="2"/>
      <c r="I56" s="2"/>
      <c r="J56" s="2"/>
      <c r="K56" s="2"/>
      <c r="L56" s="2"/>
      <c r="M56" s="2"/>
      <c r="N56" s="2"/>
      <c r="O56" s="2"/>
      <c r="P56" s="2"/>
      <c r="Q56" s="2"/>
      <c r="R56" s="2"/>
      <c r="S56" s="2"/>
      <c r="T56" s="2"/>
      <c r="U56" s="2"/>
      <c r="V56" s="2"/>
      <c r="W56" s="2"/>
      <c r="X56" s="2"/>
      <c r="Y56" s="2"/>
    </row>
    <row r="57" spans="1:25" ht="15.75" customHeight="1">
      <c r="A57" s="13"/>
      <c r="B57" s="556"/>
      <c r="C57" s="536"/>
      <c r="D57" s="13"/>
      <c r="E57" s="556"/>
      <c r="F57" s="2"/>
      <c r="G57" s="2"/>
      <c r="H57" s="2"/>
      <c r="I57" s="2"/>
      <c r="J57" s="2"/>
      <c r="K57" s="2"/>
      <c r="L57" s="2"/>
      <c r="M57" s="2"/>
      <c r="N57" s="2"/>
      <c r="O57" s="2"/>
      <c r="P57" s="2"/>
      <c r="Q57" s="2"/>
      <c r="R57" s="2"/>
      <c r="S57" s="2"/>
      <c r="T57" s="2"/>
      <c r="U57" s="2"/>
      <c r="V57" s="2"/>
      <c r="W57" s="2"/>
      <c r="X57" s="2"/>
      <c r="Y57" s="2"/>
    </row>
    <row r="58" spans="1:25" ht="15.75" customHeight="1">
      <c r="A58" s="2"/>
      <c r="B58" s="2"/>
      <c r="C58" s="539"/>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59"/>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59"/>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59"/>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59"/>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59"/>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59"/>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59"/>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59"/>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59"/>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59"/>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59"/>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59"/>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59"/>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59"/>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59"/>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59"/>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59"/>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59"/>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59"/>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59"/>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59"/>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59"/>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59"/>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59"/>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59"/>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59"/>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59"/>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59"/>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59"/>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59"/>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59"/>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59"/>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59"/>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59"/>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59"/>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59"/>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59"/>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59"/>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59"/>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59"/>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59"/>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59"/>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59"/>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59"/>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59"/>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59"/>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59"/>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59"/>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59"/>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59"/>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59"/>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59"/>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59"/>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59"/>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59"/>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59"/>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59"/>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59"/>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59"/>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59"/>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59"/>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59"/>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59"/>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59"/>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59"/>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59"/>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59"/>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59"/>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59"/>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59"/>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59"/>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59"/>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59"/>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59"/>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59"/>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59"/>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59"/>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59"/>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59"/>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59"/>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59"/>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59"/>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59"/>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59"/>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59"/>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59"/>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59"/>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59"/>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59"/>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59"/>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59"/>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59"/>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59"/>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59"/>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59"/>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59"/>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59"/>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59"/>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59"/>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59"/>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59"/>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59"/>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59"/>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59"/>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59"/>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59"/>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59"/>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59"/>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59"/>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59"/>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59"/>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59"/>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59"/>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59"/>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59"/>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59"/>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59"/>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59"/>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59"/>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59"/>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59"/>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59"/>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59"/>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59"/>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59"/>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59"/>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59"/>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59"/>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59"/>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59"/>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59"/>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59"/>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59"/>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59"/>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59"/>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59"/>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59"/>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59"/>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59"/>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59"/>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59"/>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59"/>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59"/>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59"/>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59"/>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59"/>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59"/>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59"/>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59"/>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59"/>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59"/>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59"/>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59"/>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59"/>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59"/>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59"/>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59"/>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59"/>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59"/>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59"/>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59"/>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59"/>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59"/>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59"/>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59"/>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59"/>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59"/>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59"/>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59"/>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59"/>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59"/>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59"/>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59"/>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59"/>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59"/>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59"/>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59"/>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59"/>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59"/>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59"/>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59"/>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59"/>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59"/>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59"/>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59"/>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59"/>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59"/>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59"/>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59"/>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59"/>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59"/>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59"/>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59"/>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59"/>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59"/>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59"/>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59"/>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59"/>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59"/>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59"/>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59"/>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59"/>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59"/>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59"/>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59"/>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31"/>
  <sheetViews>
    <sheetView topLeftCell="A3" zoomScale="60" zoomScaleNormal="60" workbookViewId="0">
      <pane xSplit="1" ySplit="4" topLeftCell="B7" activePane="bottomRight" state="frozen"/>
      <selection activeCell="A3" sqref="A3"/>
      <selection pane="topRight" activeCell="B3" sqref="B3"/>
      <selection pane="bottomLeft" activeCell="A7" sqref="A7"/>
      <selection pane="bottomRight" activeCell="E7" sqref="E7"/>
    </sheetView>
  </sheetViews>
  <sheetFormatPr baseColWidth="10" defaultColWidth="11" defaultRowHeight="14.4"/>
  <cols>
    <col min="1" max="1" width="56.19921875" style="608" customWidth="1"/>
    <col min="2" max="2" width="34.59765625" style="578" customWidth="1"/>
    <col min="3" max="3" width="16.69921875" style="578" customWidth="1"/>
    <col min="4" max="4" width="14.5" style="578" customWidth="1"/>
    <col min="5" max="5" width="17.3984375" style="578" bestFit="1" customWidth="1"/>
    <col min="6" max="6" width="16.69921875" style="578" customWidth="1"/>
    <col min="7" max="7" width="14.5" style="578" customWidth="1"/>
    <col min="8" max="8" width="15.8984375" style="578" customWidth="1"/>
    <col min="9" max="9" width="16.69921875" style="578" customWidth="1"/>
    <col min="10" max="10" width="14.5" style="578" customWidth="1"/>
    <col min="11" max="11" width="15.8984375" style="578" customWidth="1"/>
    <col min="12" max="12" width="16.69921875" style="578" customWidth="1"/>
    <col min="13" max="13" width="14.5" style="578" customWidth="1"/>
    <col min="14" max="14" width="15.8984375" style="578" customWidth="1"/>
    <col min="15" max="15" width="16.69921875" style="578" customWidth="1"/>
    <col min="16" max="16" width="14.5" style="578" customWidth="1"/>
    <col min="17" max="17" width="15.8984375" style="578" customWidth="1"/>
    <col min="18" max="18" width="16.69921875" style="578" customWidth="1"/>
    <col min="19" max="19" width="14.5" style="578" customWidth="1"/>
    <col min="20" max="20" width="15.8984375" style="578" customWidth="1"/>
    <col min="21" max="21" width="16.69921875" style="578" customWidth="1"/>
    <col min="22" max="22" width="14.5" style="578" customWidth="1"/>
    <col min="23" max="23" width="15.8984375" style="578" customWidth="1"/>
    <col min="24" max="24" width="16.69921875" style="578" customWidth="1"/>
    <col min="25" max="25" width="14.5" style="578" customWidth="1"/>
    <col min="26" max="26" width="15.8984375" style="578" customWidth="1"/>
    <col min="27" max="27" width="16.69921875" style="578" customWidth="1"/>
    <col min="28" max="28" width="14.5" style="578" customWidth="1"/>
    <col min="29" max="29" width="15.8984375" style="578" customWidth="1"/>
    <col min="30" max="30" width="16.69921875" style="578" customWidth="1"/>
    <col min="31" max="31" width="14.5" style="578" customWidth="1"/>
    <col min="32" max="32" width="15.8984375" style="578" customWidth="1"/>
    <col min="33" max="33" width="16.69921875" style="578" customWidth="1"/>
    <col min="34" max="34" width="14.5" style="578" customWidth="1"/>
    <col min="35" max="35" width="15.8984375" style="578" customWidth="1"/>
    <col min="36" max="36" width="16.69921875" style="578" customWidth="1"/>
    <col min="37" max="37" width="14.5" style="578" customWidth="1"/>
    <col min="38" max="38" width="15.8984375" style="578" customWidth="1"/>
    <col min="39" max="39" width="16.69921875" style="578" customWidth="1"/>
    <col min="40" max="40" width="14.5" style="578" customWidth="1"/>
    <col min="41" max="41" width="15.8984375" style="578" customWidth="1"/>
    <col min="42" max="228" width="11" style="578"/>
    <col min="229" max="229" width="32.69921875" style="578" customWidth="1"/>
    <col min="230" max="230" width="14.5" style="578" customWidth="1"/>
    <col min="231" max="231" width="15.59765625" style="578" bestFit="1" customWidth="1"/>
    <col min="232" max="232" width="15.5" style="578" customWidth="1"/>
    <col min="233" max="233" width="15.59765625" style="578" customWidth="1"/>
    <col min="234" max="234" width="15.59765625" style="578" bestFit="1" customWidth="1"/>
    <col min="235" max="235" width="15.8984375" style="578" customWidth="1"/>
    <col min="236" max="236" width="14.8984375" style="578" customWidth="1"/>
    <col min="237" max="237" width="14.5" style="578" customWidth="1"/>
    <col min="238" max="238" width="15.8984375" style="578" customWidth="1"/>
    <col min="239" max="239" width="12" style="578" bestFit="1" customWidth="1"/>
    <col min="240" max="240" width="18.59765625" style="578" customWidth="1"/>
    <col min="241" max="241" width="15.09765625" style="578" customWidth="1"/>
    <col min="242" max="242" width="15.59765625" style="578" bestFit="1" customWidth="1"/>
    <col min="243" max="243" width="16.3984375" style="578" customWidth="1"/>
    <col min="244" max="244" width="13.8984375" style="578" customWidth="1"/>
    <col min="245" max="245" width="18.59765625" style="578" customWidth="1"/>
    <col min="246" max="246" width="3" style="578" customWidth="1"/>
    <col min="247" max="247" width="4" style="578" customWidth="1"/>
    <col min="248" max="248" width="24.5" style="578" customWidth="1"/>
    <col min="249" max="249" width="8.8984375" style="578" customWidth="1"/>
    <col min="250" max="250" width="10.8984375" style="578" customWidth="1"/>
    <col min="251" max="251" width="10" style="578" customWidth="1"/>
    <col min="252" max="252" width="17.3984375" style="578" customWidth="1"/>
    <col min="253" max="253" width="10.8984375" style="578" customWidth="1"/>
    <col min="254" max="254" width="10" style="578" customWidth="1"/>
    <col min="255" max="255" width="16.09765625" style="578" customWidth="1"/>
    <col min="256" max="256" width="10.8984375" style="578" customWidth="1"/>
    <col min="257" max="257" width="12" style="578" customWidth="1"/>
    <col min="258" max="258" width="18.8984375" style="578" customWidth="1"/>
    <col min="259" max="259" width="10.8984375" style="578" customWidth="1"/>
    <col min="260" max="260" width="16.19921875" style="578" bestFit="1" customWidth="1"/>
    <col min="261" max="261" width="12.3984375" style="578" bestFit="1" customWidth="1"/>
    <col min="262" max="262" width="10.8984375" style="578" customWidth="1"/>
    <col min="263" max="263" width="10" style="578" customWidth="1"/>
    <col min="264" max="264" width="17.5" style="578" customWidth="1"/>
    <col min="265" max="265" width="10.8984375" style="578" customWidth="1"/>
    <col min="266" max="266" width="16" style="578" customWidth="1"/>
    <col min="267" max="267" width="12.3984375" style="578" bestFit="1" customWidth="1"/>
    <col min="268" max="484" width="11" style="578"/>
    <col min="485" max="485" width="32.69921875" style="578" customWidth="1"/>
    <col min="486" max="486" width="14.5" style="578" customWidth="1"/>
    <col min="487" max="487" width="15.59765625" style="578" bestFit="1" customWidth="1"/>
    <col min="488" max="488" width="15.5" style="578" customWidth="1"/>
    <col min="489" max="489" width="15.59765625" style="578" customWidth="1"/>
    <col min="490" max="490" width="15.59765625" style="578" bestFit="1" customWidth="1"/>
    <col min="491" max="491" width="15.8984375" style="578" customWidth="1"/>
    <col min="492" max="492" width="14.8984375" style="578" customWidth="1"/>
    <col min="493" max="493" width="14.5" style="578" customWidth="1"/>
    <col min="494" max="494" width="15.8984375" style="578" customWidth="1"/>
    <col min="495" max="495" width="12" style="578" bestFit="1" customWidth="1"/>
    <col min="496" max="496" width="18.59765625" style="578" customWidth="1"/>
    <col min="497" max="497" width="15.09765625" style="578" customWidth="1"/>
    <col min="498" max="498" width="15.59765625" style="578" bestFit="1" customWidth="1"/>
    <col min="499" max="499" width="16.3984375" style="578" customWidth="1"/>
    <col min="500" max="500" width="13.8984375" style="578" customWidth="1"/>
    <col min="501" max="501" width="18.59765625" style="578" customWidth="1"/>
    <col min="502" max="502" width="3" style="578" customWidth="1"/>
    <col min="503" max="503" width="4" style="578" customWidth="1"/>
    <col min="504" max="504" width="24.5" style="578" customWidth="1"/>
    <col min="505" max="505" width="8.8984375" style="578" customWidth="1"/>
    <col min="506" max="506" width="10.8984375" style="578" customWidth="1"/>
    <col min="507" max="507" width="10" style="578" customWidth="1"/>
    <col min="508" max="508" width="17.3984375" style="578" customWidth="1"/>
    <col min="509" max="509" width="10.8984375" style="578" customWidth="1"/>
    <col min="510" max="510" width="10" style="578" customWidth="1"/>
    <col min="511" max="511" width="16.09765625" style="578" customWidth="1"/>
    <col min="512" max="512" width="10.8984375" style="578" customWidth="1"/>
    <col min="513" max="513" width="12" style="578" customWidth="1"/>
    <col min="514" max="514" width="18.8984375" style="578" customWidth="1"/>
    <col min="515" max="515" width="10.8984375" style="578" customWidth="1"/>
    <col min="516" max="516" width="16.19921875" style="578" bestFit="1" customWidth="1"/>
    <col min="517" max="517" width="12.3984375" style="578" bestFit="1" customWidth="1"/>
    <col min="518" max="518" width="10.8984375" style="578" customWidth="1"/>
    <col min="519" max="519" width="10" style="578" customWidth="1"/>
    <col min="520" max="520" width="17.5" style="578" customWidth="1"/>
    <col min="521" max="521" width="10.8984375" style="578" customWidth="1"/>
    <col min="522" max="522" width="16" style="578" customWidth="1"/>
    <col min="523" max="523" width="12.3984375" style="578" bestFit="1" customWidth="1"/>
    <col min="524" max="740" width="11" style="578"/>
    <col min="741" max="741" width="32.69921875" style="578" customWidth="1"/>
    <col min="742" max="742" width="14.5" style="578" customWidth="1"/>
    <col min="743" max="743" width="15.59765625" style="578" bestFit="1" customWidth="1"/>
    <col min="744" max="744" width="15.5" style="578" customWidth="1"/>
    <col min="745" max="745" width="15.59765625" style="578" customWidth="1"/>
    <col min="746" max="746" width="15.59765625" style="578" bestFit="1" customWidth="1"/>
    <col min="747" max="747" width="15.8984375" style="578" customWidth="1"/>
    <col min="748" max="748" width="14.8984375" style="578" customWidth="1"/>
    <col min="749" max="749" width="14.5" style="578" customWidth="1"/>
    <col min="750" max="750" width="15.8984375" style="578" customWidth="1"/>
    <col min="751" max="751" width="12" style="578" bestFit="1" customWidth="1"/>
    <col min="752" max="752" width="18.59765625" style="578" customWidth="1"/>
    <col min="753" max="753" width="15.09765625" style="578" customWidth="1"/>
    <col min="754" max="754" width="15.59765625" style="578" bestFit="1" customWidth="1"/>
    <col min="755" max="755" width="16.3984375" style="578" customWidth="1"/>
    <col min="756" max="756" width="13.8984375" style="578" customWidth="1"/>
    <col min="757" max="757" width="18.59765625" style="578" customWidth="1"/>
    <col min="758" max="758" width="3" style="578" customWidth="1"/>
    <col min="759" max="759" width="4" style="578" customWidth="1"/>
    <col min="760" max="760" width="24.5" style="578" customWidth="1"/>
    <col min="761" max="761" width="8.8984375" style="578" customWidth="1"/>
    <col min="762" max="762" width="10.8984375" style="578" customWidth="1"/>
    <col min="763" max="763" width="10" style="578" customWidth="1"/>
    <col min="764" max="764" width="17.3984375" style="578" customWidth="1"/>
    <col min="765" max="765" width="10.8984375" style="578" customWidth="1"/>
    <col min="766" max="766" width="10" style="578" customWidth="1"/>
    <col min="767" max="767" width="16.09765625" style="578" customWidth="1"/>
    <col min="768" max="768" width="10.8984375" style="578" customWidth="1"/>
    <col min="769" max="769" width="12" style="578" customWidth="1"/>
    <col min="770" max="770" width="18.8984375" style="578" customWidth="1"/>
    <col min="771" max="771" width="10.8984375" style="578" customWidth="1"/>
    <col min="772" max="772" width="16.19921875" style="578" bestFit="1" customWidth="1"/>
    <col min="773" max="773" width="12.3984375" style="578" bestFit="1" customWidth="1"/>
    <col min="774" max="774" width="10.8984375" style="578" customWidth="1"/>
    <col min="775" max="775" width="10" style="578" customWidth="1"/>
    <col min="776" max="776" width="17.5" style="578" customWidth="1"/>
    <col min="777" max="777" width="10.8984375" style="578" customWidth="1"/>
    <col min="778" max="778" width="16" style="578" customWidth="1"/>
    <col min="779" max="779" width="12.3984375" style="578" bestFit="1" customWidth="1"/>
    <col min="780" max="996" width="11" style="578"/>
    <col min="997" max="997" width="32.69921875" style="578" customWidth="1"/>
    <col min="998" max="998" width="14.5" style="578" customWidth="1"/>
    <col min="999" max="999" width="15.59765625" style="578" bestFit="1" customWidth="1"/>
    <col min="1000" max="1000" width="15.5" style="578" customWidth="1"/>
    <col min="1001" max="1001" width="15.59765625" style="578" customWidth="1"/>
    <col min="1002" max="1002" width="15.59765625" style="578" bestFit="1" customWidth="1"/>
    <col min="1003" max="1003" width="15.8984375" style="578" customWidth="1"/>
    <col min="1004" max="1004" width="14.8984375" style="578" customWidth="1"/>
    <col min="1005" max="1005" width="14.5" style="578" customWidth="1"/>
    <col min="1006" max="1006" width="15.8984375" style="578" customWidth="1"/>
    <col min="1007" max="1007" width="12" style="578" bestFit="1" customWidth="1"/>
    <col min="1008" max="1008" width="18.59765625" style="578" customWidth="1"/>
    <col min="1009" max="1009" width="15.09765625" style="578" customWidth="1"/>
    <col min="1010" max="1010" width="15.59765625" style="578" bestFit="1" customWidth="1"/>
    <col min="1011" max="1011" width="16.3984375" style="578" customWidth="1"/>
    <col min="1012" max="1012" width="13.8984375" style="578" customWidth="1"/>
    <col min="1013" max="1013" width="18.59765625" style="578" customWidth="1"/>
    <col min="1014" max="1014" width="3" style="578" customWidth="1"/>
    <col min="1015" max="1015" width="4" style="578" customWidth="1"/>
    <col min="1016" max="1016" width="24.5" style="578" customWidth="1"/>
    <col min="1017" max="1017" width="8.8984375" style="578" customWidth="1"/>
    <col min="1018" max="1018" width="10.8984375" style="578" customWidth="1"/>
    <col min="1019" max="1019" width="10" style="578" customWidth="1"/>
    <col min="1020" max="1020" width="17.3984375" style="578" customWidth="1"/>
    <col min="1021" max="1021" width="10.8984375" style="578" customWidth="1"/>
    <col min="1022" max="1022" width="10" style="578" customWidth="1"/>
    <col min="1023" max="1023" width="16.09765625" style="578" customWidth="1"/>
    <col min="1024" max="1024" width="10.8984375" style="578" customWidth="1"/>
    <col min="1025" max="1025" width="12" style="578" customWidth="1"/>
    <col min="1026" max="1026" width="18.8984375" style="578" customWidth="1"/>
    <col min="1027" max="1027" width="10.8984375" style="578" customWidth="1"/>
    <col min="1028" max="1028" width="16.19921875" style="578" bestFit="1" customWidth="1"/>
    <col min="1029" max="1029" width="12.3984375" style="578" bestFit="1" customWidth="1"/>
    <col min="1030" max="1030" width="10.8984375" style="578" customWidth="1"/>
    <col min="1031" max="1031" width="10" style="578" customWidth="1"/>
    <col min="1032" max="1032" width="17.5" style="578" customWidth="1"/>
    <col min="1033" max="1033" width="10.8984375" style="578" customWidth="1"/>
    <col min="1034" max="1034" width="16" style="578" customWidth="1"/>
    <col min="1035" max="1035" width="12.3984375" style="578" bestFit="1" customWidth="1"/>
    <col min="1036" max="1252" width="11" style="578"/>
    <col min="1253" max="1253" width="32.69921875" style="578" customWidth="1"/>
    <col min="1254" max="1254" width="14.5" style="578" customWidth="1"/>
    <col min="1255" max="1255" width="15.59765625" style="578" bestFit="1" customWidth="1"/>
    <col min="1256" max="1256" width="15.5" style="578" customWidth="1"/>
    <col min="1257" max="1257" width="15.59765625" style="578" customWidth="1"/>
    <col min="1258" max="1258" width="15.59765625" style="578" bestFit="1" customWidth="1"/>
    <col min="1259" max="1259" width="15.8984375" style="578" customWidth="1"/>
    <col min="1260" max="1260" width="14.8984375" style="578" customWidth="1"/>
    <col min="1261" max="1261" width="14.5" style="578" customWidth="1"/>
    <col min="1262" max="1262" width="15.8984375" style="578" customWidth="1"/>
    <col min="1263" max="1263" width="12" style="578" bestFit="1" customWidth="1"/>
    <col min="1264" max="1264" width="18.59765625" style="578" customWidth="1"/>
    <col min="1265" max="1265" width="15.09765625" style="578" customWidth="1"/>
    <col min="1266" max="1266" width="15.59765625" style="578" bestFit="1" customWidth="1"/>
    <col min="1267" max="1267" width="16.3984375" style="578" customWidth="1"/>
    <col min="1268" max="1268" width="13.8984375" style="578" customWidth="1"/>
    <col min="1269" max="1269" width="18.59765625" style="578" customWidth="1"/>
    <col min="1270" max="1270" width="3" style="578" customWidth="1"/>
    <col min="1271" max="1271" width="4" style="578" customWidth="1"/>
    <col min="1272" max="1272" width="24.5" style="578" customWidth="1"/>
    <col min="1273" max="1273" width="8.8984375" style="578" customWidth="1"/>
    <col min="1274" max="1274" width="10.8984375" style="578" customWidth="1"/>
    <col min="1275" max="1275" width="10" style="578" customWidth="1"/>
    <col min="1276" max="1276" width="17.3984375" style="578" customWidth="1"/>
    <col min="1277" max="1277" width="10.8984375" style="578" customWidth="1"/>
    <col min="1278" max="1278" width="10" style="578" customWidth="1"/>
    <col min="1279" max="1279" width="16.09765625" style="578" customWidth="1"/>
    <col min="1280" max="1280" width="10.8984375" style="578" customWidth="1"/>
    <col min="1281" max="1281" width="12" style="578" customWidth="1"/>
    <col min="1282" max="1282" width="18.8984375" style="578" customWidth="1"/>
    <col min="1283" max="1283" width="10.8984375" style="578" customWidth="1"/>
    <col min="1284" max="1284" width="16.19921875" style="578" bestFit="1" customWidth="1"/>
    <col min="1285" max="1285" width="12.3984375" style="578" bestFit="1" customWidth="1"/>
    <col min="1286" max="1286" width="10.8984375" style="578" customWidth="1"/>
    <col min="1287" max="1287" width="10" style="578" customWidth="1"/>
    <col min="1288" max="1288" width="17.5" style="578" customWidth="1"/>
    <col min="1289" max="1289" width="10.8984375" style="578" customWidth="1"/>
    <col min="1290" max="1290" width="16" style="578" customWidth="1"/>
    <col min="1291" max="1291" width="12.3984375" style="578" bestFit="1" customWidth="1"/>
    <col min="1292" max="1508" width="11" style="578"/>
    <col min="1509" max="1509" width="32.69921875" style="578" customWidth="1"/>
    <col min="1510" max="1510" width="14.5" style="578" customWidth="1"/>
    <col min="1511" max="1511" width="15.59765625" style="578" bestFit="1" customWidth="1"/>
    <col min="1512" max="1512" width="15.5" style="578" customWidth="1"/>
    <col min="1513" max="1513" width="15.59765625" style="578" customWidth="1"/>
    <col min="1514" max="1514" width="15.59765625" style="578" bestFit="1" customWidth="1"/>
    <col min="1515" max="1515" width="15.8984375" style="578" customWidth="1"/>
    <col min="1516" max="1516" width="14.8984375" style="578" customWidth="1"/>
    <col min="1517" max="1517" width="14.5" style="578" customWidth="1"/>
    <col min="1518" max="1518" width="15.8984375" style="578" customWidth="1"/>
    <col min="1519" max="1519" width="12" style="578" bestFit="1" customWidth="1"/>
    <col min="1520" max="1520" width="18.59765625" style="578" customWidth="1"/>
    <col min="1521" max="1521" width="15.09765625" style="578" customWidth="1"/>
    <col min="1522" max="1522" width="15.59765625" style="578" bestFit="1" customWidth="1"/>
    <col min="1523" max="1523" width="16.3984375" style="578" customWidth="1"/>
    <col min="1524" max="1524" width="13.8984375" style="578" customWidth="1"/>
    <col min="1525" max="1525" width="18.59765625" style="578" customWidth="1"/>
    <col min="1526" max="1526" width="3" style="578" customWidth="1"/>
    <col min="1527" max="1527" width="4" style="578" customWidth="1"/>
    <col min="1528" max="1528" width="24.5" style="578" customWidth="1"/>
    <col min="1529" max="1529" width="8.8984375" style="578" customWidth="1"/>
    <col min="1530" max="1530" width="10.8984375" style="578" customWidth="1"/>
    <col min="1531" max="1531" width="10" style="578" customWidth="1"/>
    <col min="1532" max="1532" width="17.3984375" style="578" customWidth="1"/>
    <col min="1533" max="1533" width="10.8984375" style="578" customWidth="1"/>
    <col min="1534" max="1534" width="10" style="578" customWidth="1"/>
    <col min="1535" max="1535" width="16.09765625" style="578" customWidth="1"/>
    <col min="1536" max="1536" width="10.8984375" style="578" customWidth="1"/>
    <col min="1537" max="1537" width="12" style="578" customWidth="1"/>
    <col min="1538" max="1538" width="18.8984375" style="578" customWidth="1"/>
    <col min="1539" max="1539" width="10.8984375" style="578" customWidth="1"/>
    <col min="1540" max="1540" width="16.19921875" style="578" bestFit="1" customWidth="1"/>
    <col min="1541" max="1541" width="12.3984375" style="578" bestFit="1" customWidth="1"/>
    <col min="1542" max="1542" width="10.8984375" style="578" customWidth="1"/>
    <col min="1543" max="1543" width="10" style="578" customWidth="1"/>
    <col min="1544" max="1544" width="17.5" style="578" customWidth="1"/>
    <col min="1545" max="1545" width="10.8984375" style="578" customWidth="1"/>
    <col min="1546" max="1546" width="16" style="578" customWidth="1"/>
    <col min="1547" max="1547" width="12.3984375" style="578" bestFit="1" customWidth="1"/>
    <col min="1548" max="1764" width="11" style="578"/>
    <col min="1765" max="1765" width="32.69921875" style="578" customWidth="1"/>
    <col min="1766" max="1766" width="14.5" style="578" customWidth="1"/>
    <col min="1767" max="1767" width="15.59765625" style="578" bestFit="1" customWidth="1"/>
    <col min="1768" max="1768" width="15.5" style="578" customWidth="1"/>
    <col min="1769" max="1769" width="15.59765625" style="578" customWidth="1"/>
    <col min="1770" max="1770" width="15.59765625" style="578" bestFit="1" customWidth="1"/>
    <col min="1771" max="1771" width="15.8984375" style="578" customWidth="1"/>
    <col min="1772" max="1772" width="14.8984375" style="578" customWidth="1"/>
    <col min="1773" max="1773" width="14.5" style="578" customWidth="1"/>
    <col min="1774" max="1774" width="15.8984375" style="578" customWidth="1"/>
    <col min="1775" max="1775" width="12" style="578" bestFit="1" customWidth="1"/>
    <col min="1776" max="1776" width="18.59765625" style="578" customWidth="1"/>
    <col min="1777" max="1777" width="15.09765625" style="578" customWidth="1"/>
    <col min="1778" max="1778" width="15.59765625" style="578" bestFit="1" customWidth="1"/>
    <col min="1779" max="1779" width="16.3984375" style="578" customWidth="1"/>
    <col min="1780" max="1780" width="13.8984375" style="578" customWidth="1"/>
    <col min="1781" max="1781" width="18.59765625" style="578" customWidth="1"/>
    <col min="1782" max="1782" width="3" style="578" customWidth="1"/>
    <col min="1783" max="1783" width="4" style="578" customWidth="1"/>
    <col min="1784" max="1784" width="24.5" style="578" customWidth="1"/>
    <col min="1785" max="1785" width="8.8984375" style="578" customWidth="1"/>
    <col min="1786" max="1786" width="10.8984375" style="578" customWidth="1"/>
    <col min="1787" max="1787" width="10" style="578" customWidth="1"/>
    <col min="1788" max="1788" width="17.3984375" style="578" customWidth="1"/>
    <col min="1789" max="1789" width="10.8984375" style="578" customWidth="1"/>
    <col min="1790" max="1790" width="10" style="578" customWidth="1"/>
    <col min="1791" max="1791" width="16.09765625" style="578" customWidth="1"/>
    <col min="1792" max="1792" width="10.8984375" style="578" customWidth="1"/>
    <col min="1793" max="1793" width="12" style="578" customWidth="1"/>
    <col min="1794" max="1794" width="18.8984375" style="578" customWidth="1"/>
    <col min="1795" max="1795" width="10.8984375" style="578" customWidth="1"/>
    <col min="1796" max="1796" width="16.19921875" style="578" bestFit="1" customWidth="1"/>
    <col min="1797" max="1797" width="12.3984375" style="578" bestFit="1" customWidth="1"/>
    <col min="1798" max="1798" width="10.8984375" style="578" customWidth="1"/>
    <col min="1799" max="1799" width="10" style="578" customWidth="1"/>
    <col min="1800" max="1800" width="17.5" style="578" customWidth="1"/>
    <col min="1801" max="1801" width="10.8984375" style="578" customWidth="1"/>
    <col min="1802" max="1802" width="16" style="578" customWidth="1"/>
    <col min="1803" max="1803" width="12.3984375" style="578" bestFit="1" customWidth="1"/>
    <col min="1804" max="2020" width="11" style="578"/>
    <col min="2021" max="2021" width="32.69921875" style="578" customWidth="1"/>
    <col min="2022" max="2022" width="14.5" style="578" customWidth="1"/>
    <col min="2023" max="2023" width="15.59765625" style="578" bestFit="1" customWidth="1"/>
    <col min="2024" max="2024" width="15.5" style="578" customWidth="1"/>
    <col min="2025" max="2025" width="15.59765625" style="578" customWidth="1"/>
    <col min="2026" max="2026" width="15.59765625" style="578" bestFit="1" customWidth="1"/>
    <col min="2027" max="2027" width="15.8984375" style="578" customWidth="1"/>
    <col min="2028" max="2028" width="14.8984375" style="578" customWidth="1"/>
    <col min="2029" max="2029" width="14.5" style="578" customWidth="1"/>
    <col min="2030" max="2030" width="15.8984375" style="578" customWidth="1"/>
    <col min="2031" max="2031" width="12" style="578" bestFit="1" customWidth="1"/>
    <col min="2032" max="2032" width="18.59765625" style="578" customWidth="1"/>
    <col min="2033" max="2033" width="15.09765625" style="578" customWidth="1"/>
    <col min="2034" max="2034" width="15.59765625" style="578" bestFit="1" customWidth="1"/>
    <col min="2035" max="2035" width="16.3984375" style="578" customWidth="1"/>
    <col min="2036" max="2036" width="13.8984375" style="578" customWidth="1"/>
    <col min="2037" max="2037" width="18.59765625" style="578" customWidth="1"/>
    <col min="2038" max="2038" width="3" style="578" customWidth="1"/>
    <col min="2039" max="2039" width="4" style="578" customWidth="1"/>
    <col min="2040" max="2040" width="24.5" style="578" customWidth="1"/>
    <col min="2041" max="2041" width="8.8984375" style="578" customWidth="1"/>
    <col min="2042" max="2042" width="10.8984375" style="578" customWidth="1"/>
    <col min="2043" max="2043" width="10" style="578" customWidth="1"/>
    <col min="2044" max="2044" width="17.3984375" style="578" customWidth="1"/>
    <col min="2045" max="2045" width="10.8984375" style="578" customWidth="1"/>
    <col min="2046" max="2046" width="10" style="578" customWidth="1"/>
    <col min="2047" max="2047" width="16.09765625" style="578" customWidth="1"/>
    <col min="2048" max="2048" width="10.8984375" style="578" customWidth="1"/>
    <col min="2049" max="2049" width="12" style="578" customWidth="1"/>
    <col min="2050" max="2050" width="18.8984375" style="578" customWidth="1"/>
    <col min="2051" max="2051" width="10.8984375" style="578" customWidth="1"/>
    <col min="2052" max="2052" width="16.19921875" style="578" bestFit="1" customWidth="1"/>
    <col min="2053" max="2053" width="12.3984375" style="578" bestFit="1" customWidth="1"/>
    <col min="2054" max="2054" width="10.8984375" style="578" customWidth="1"/>
    <col min="2055" max="2055" width="10" style="578" customWidth="1"/>
    <col min="2056" max="2056" width="17.5" style="578" customWidth="1"/>
    <col min="2057" max="2057" width="10.8984375" style="578" customWidth="1"/>
    <col min="2058" max="2058" width="16" style="578" customWidth="1"/>
    <col min="2059" max="2059" width="12.3984375" style="578" bestFit="1" customWidth="1"/>
    <col min="2060" max="2276" width="11" style="578"/>
    <col min="2277" max="2277" width="32.69921875" style="578" customWidth="1"/>
    <col min="2278" max="2278" width="14.5" style="578" customWidth="1"/>
    <col min="2279" max="2279" width="15.59765625" style="578" bestFit="1" customWidth="1"/>
    <col min="2280" max="2280" width="15.5" style="578" customWidth="1"/>
    <col min="2281" max="2281" width="15.59765625" style="578" customWidth="1"/>
    <col min="2282" max="2282" width="15.59765625" style="578" bestFit="1" customWidth="1"/>
    <col min="2283" max="2283" width="15.8984375" style="578" customWidth="1"/>
    <col min="2284" max="2284" width="14.8984375" style="578" customWidth="1"/>
    <col min="2285" max="2285" width="14.5" style="578" customWidth="1"/>
    <col min="2286" max="2286" width="15.8984375" style="578" customWidth="1"/>
    <col min="2287" max="2287" width="12" style="578" bestFit="1" customWidth="1"/>
    <col min="2288" max="2288" width="18.59765625" style="578" customWidth="1"/>
    <col min="2289" max="2289" width="15.09765625" style="578" customWidth="1"/>
    <col min="2290" max="2290" width="15.59765625" style="578" bestFit="1" customWidth="1"/>
    <col min="2291" max="2291" width="16.3984375" style="578" customWidth="1"/>
    <col min="2292" max="2292" width="13.8984375" style="578" customWidth="1"/>
    <col min="2293" max="2293" width="18.59765625" style="578" customWidth="1"/>
    <col min="2294" max="2294" width="3" style="578" customWidth="1"/>
    <col min="2295" max="2295" width="4" style="578" customWidth="1"/>
    <col min="2296" max="2296" width="24.5" style="578" customWidth="1"/>
    <col min="2297" max="2297" width="8.8984375" style="578" customWidth="1"/>
    <col min="2298" max="2298" width="10.8984375" style="578" customWidth="1"/>
    <col min="2299" max="2299" width="10" style="578" customWidth="1"/>
    <col min="2300" max="2300" width="17.3984375" style="578" customWidth="1"/>
    <col min="2301" max="2301" width="10.8984375" style="578" customWidth="1"/>
    <col min="2302" max="2302" width="10" style="578" customWidth="1"/>
    <col min="2303" max="2303" width="16.09765625" style="578" customWidth="1"/>
    <col min="2304" max="2304" width="10.8984375" style="578" customWidth="1"/>
    <col min="2305" max="2305" width="12" style="578" customWidth="1"/>
    <col min="2306" max="2306" width="18.8984375" style="578" customWidth="1"/>
    <col min="2307" max="2307" width="10.8984375" style="578" customWidth="1"/>
    <col min="2308" max="2308" width="16.19921875" style="578" bestFit="1" customWidth="1"/>
    <col min="2309" max="2309" width="12.3984375" style="578" bestFit="1" customWidth="1"/>
    <col min="2310" max="2310" width="10.8984375" style="578" customWidth="1"/>
    <col min="2311" max="2311" width="10" style="578" customWidth="1"/>
    <col min="2312" max="2312" width="17.5" style="578" customWidth="1"/>
    <col min="2313" max="2313" width="10.8984375" style="578" customWidth="1"/>
    <col min="2314" max="2314" width="16" style="578" customWidth="1"/>
    <col min="2315" max="2315" width="12.3984375" style="578" bestFit="1" customWidth="1"/>
    <col min="2316" max="2532" width="11" style="578"/>
    <col min="2533" max="2533" width="32.69921875" style="578" customWidth="1"/>
    <col min="2534" max="2534" width="14.5" style="578" customWidth="1"/>
    <col min="2535" max="2535" width="15.59765625" style="578" bestFit="1" customWidth="1"/>
    <col min="2536" max="2536" width="15.5" style="578" customWidth="1"/>
    <col min="2537" max="2537" width="15.59765625" style="578" customWidth="1"/>
    <col min="2538" max="2538" width="15.59765625" style="578" bestFit="1" customWidth="1"/>
    <col min="2539" max="2539" width="15.8984375" style="578" customWidth="1"/>
    <col min="2540" max="2540" width="14.8984375" style="578" customWidth="1"/>
    <col min="2541" max="2541" width="14.5" style="578" customWidth="1"/>
    <col min="2542" max="2542" width="15.8984375" style="578" customWidth="1"/>
    <col min="2543" max="2543" width="12" style="578" bestFit="1" customWidth="1"/>
    <col min="2544" max="2544" width="18.59765625" style="578" customWidth="1"/>
    <col min="2545" max="2545" width="15.09765625" style="578" customWidth="1"/>
    <col min="2546" max="2546" width="15.59765625" style="578" bestFit="1" customWidth="1"/>
    <col min="2547" max="2547" width="16.3984375" style="578" customWidth="1"/>
    <col min="2548" max="2548" width="13.8984375" style="578" customWidth="1"/>
    <col min="2549" max="2549" width="18.59765625" style="578" customWidth="1"/>
    <col min="2550" max="2550" width="3" style="578" customWidth="1"/>
    <col min="2551" max="2551" width="4" style="578" customWidth="1"/>
    <col min="2552" max="2552" width="24.5" style="578" customWidth="1"/>
    <col min="2553" max="2553" width="8.8984375" style="578" customWidth="1"/>
    <col min="2554" max="2554" width="10.8984375" style="578" customWidth="1"/>
    <col min="2555" max="2555" width="10" style="578" customWidth="1"/>
    <col min="2556" max="2556" width="17.3984375" style="578" customWidth="1"/>
    <col min="2557" max="2557" width="10.8984375" style="578" customWidth="1"/>
    <col min="2558" max="2558" width="10" style="578" customWidth="1"/>
    <col min="2559" max="2559" width="16.09765625" style="578" customWidth="1"/>
    <col min="2560" max="2560" width="10.8984375" style="578" customWidth="1"/>
    <col min="2561" max="2561" width="12" style="578" customWidth="1"/>
    <col min="2562" max="2562" width="18.8984375" style="578" customWidth="1"/>
    <col min="2563" max="2563" width="10.8984375" style="578" customWidth="1"/>
    <col min="2564" max="2564" width="16.19921875" style="578" bestFit="1" customWidth="1"/>
    <col min="2565" max="2565" width="12.3984375" style="578" bestFit="1" customWidth="1"/>
    <col min="2566" max="2566" width="10.8984375" style="578" customWidth="1"/>
    <col min="2567" max="2567" width="10" style="578" customWidth="1"/>
    <col min="2568" max="2568" width="17.5" style="578" customWidth="1"/>
    <col min="2569" max="2569" width="10.8984375" style="578" customWidth="1"/>
    <col min="2570" max="2570" width="16" style="578" customWidth="1"/>
    <col min="2571" max="2571" width="12.3984375" style="578" bestFit="1" customWidth="1"/>
    <col min="2572" max="2788" width="11" style="578"/>
    <col min="2789" max="2789" width="32.69921875" style="578" customWidth="1"/>
    <col min="2790" max="2790" width="14.5" style="578" customWidth="1"/>
    <col min="2791" max="2791" width="15.59765625" style="578" bestFit="1" customWidth="1"/>
    <col min="2792" max="2792" width="15.5" style="578" customWidth="1"/>
    <col min="2793" max="2793" width="15.59765625" style="578" customWidth="1"/>
    <col min="2794" max="2794" width="15.59765625" style="578" bestFit="1" customWidth="1"/>
    <col min="2795" max="2795" width="15.8984375" style="578" customWidth="1"/>
    <col min="2796" max="2796" width="14.8984375" style="578" customWidth="1"/>
    <col min="2797" max="2797" width="14.5" style="578" customWidth="1"/>
    <col min="2798" max="2798" width="15.8984375" style="578" customWidth="1"/>
    <col min="2799" max="2799" width="12" style="578" bestFit="1" customWidth="1"/>
    <col min="2800" max="2800" width="18.59765625" style="578" customWidth="1"/>
    <col min="2801" max="2801" width="15.09765625" style="578" customWidth="1"/>
    <col min="2802" max="2802" width="15.59765625" style="578" bestFit="1" customWidth="1"/>
    <col min="2803" max="2803" width="16.3984375" style="578" customWidth="1"/>
    <col min="2804" max="2804" width="13.8984375" style="578" customWidth="1"/>
    <col min="2805" max="2805" width="18.59765625" style="578" customWidth="1"/>
    <col min="2806" max="2806" width="3" style="578" customWidth="1"/>
    <col min="2807" max="2807" width="4" style="578" customWidth="1"/>
    <col min="2808" max="2808" width="24.5" style="578" customWidth="1"/>
    <col min="2809" max="2809" width="8.8984375" style="578" customWidth="1"/>
    <col min="2810" max="2810" width="10.8984375" style="578" customWidth="1"/>
    <col min="2811" max="2811" width="10" style="578" customWidth="1"/>
    <col min="2812" max="2812" width="17.3984375" style="578" customWidth="1"/>
    <col min="2813" max="2813" width="10.8984375" style="578" customWidth="1"/>
    <col min="2814" max="2814" width="10" style="578" customWidth="1"/>
    <col min="2815" max="2815" width="16.09765625" style="578" customWidth="1"/>
    <col min="2816" max="2816" width="10.8984375" style="578" customWidth="1"/>
    <col min="2817" max="2817" width="12" style="578" customWidth="1"/>
    <col min="2818" max="2818" width="18.8984375" style="578" customWidth="1"/>
    <col min="2819" max="2819" width="10.8984375" style="578" customWidth="1"/>
    <col min="2820" max="2820" width="16.19921875" style="578" bestFit="1" customWidth="1"/>
    <col min="2821" max="2821" width="12.3984375" style="578" bestFit="1" customWidth="1"/>
    <col min="2822" max="2822" width="10.8984375" style="578" customWidth="1"/>
    <col min="2823" max="2823" width="10" style="578" customWidth="1"/>
    <col min="2824" max="2824" width="17.5" style="578" customWidth="1"/>
    <col min="2825" max="2825" width="10.8984375" style="578" customWidth="1"/>
    <col min="2826" max="2826" width="16" style="578" customWidth="1"/>
    <col min="2827" max="2827" width="12.3984375" style="578" bestFit="1" customWidth="1"/>
    <col min="2828" max="3044" width="11" style="578"/>
    <col min="3045" max="3045" width="32.69921875" style="578" customWidth="1"/>
    <col min="3046" max="3046" width="14.5" style="578" customWidth="1"/>
    <col min="3047" max="3047" width="15.59765625" style="578" bestFit="1" customWidth="1"/>
    <col min="3048" max="3048" width="15.5" style="578" customWidth="1"/>
    <col min="3049" max="3049" width="15.59765625" style="578" customWidth="1"/>
    <col min="3050" max="3050" width="15.59765625" style="578" bestFit="1" customWidth="1"/>
    <col min="3051" max="3051" width="15.8984375" style="578" customWidth="1"/>
    <col min="3052" max="3052" width="14.8984375" style="578" customWidth="1"/>
    <col min="3053" max="3053" width="14.5" style="578" customWidth="1"/>
    <col min="3054" max="3054" width="15.8984375" style="578" customWidth="1"/>
    <col min="3055" max="3055" width="12" style="578" bestFit="1" customWidth="1"/>
    <col min="3056" max="3056" width="18.59765625" style="578" customWidth="1"/>
    <col min="3057" max="3057" width="15.09765625" style="578" customWidth="1"/>
    <col min="3058" max="3058" width="15.59765625" style="578" bestFit="1" customWidth="1"/>
    <col min="3059" max="3059" width="16.3984375" style="578" customWidth="1"/>
    <col min="3060" max="3060" width="13.8984375" style="578" customWidth="1"/>
    <col min="3061" max="3061" width="18.59765625" style="578" customWidth="1"/>
    <col min="3062" max="3062" width="3" style="578" customWidth="1"/>
    <col min="3063" max="3063" width="4" style="578" customWidth="1"/>
    <col min="3064" max="3064" width="24.5" style="578" customWidth="1"/>
    <col min="3065" max="3065" width="8.8984375" style="578" customWidth="1"/>
    <col min="3066" max="3066" width="10.8984375" style="578" customWidth="1"/>
    <col min="3067" max="3067" width="10" style="578" customWidth="1"/>
    <col min="3068" max="3068" width="17.3984375" style="578" customWidth="1"/>
    <col min="3069" max="3069" width="10.8984375" style="578" customWidth="1"/>
    <col min="3070" max="3070" width="10" style="578" customWidth="1"/>
    <col min="3071" max="3071" width="16.09765625" style="578" customWidth="1"/>
    <col min="3072" max="3072" width="10.8984375" style="578" customWidth="1"/>
    <col min="3073" max="3073" width="12" style="578" customWidth="1"/>
    <col min="3074" max="3074" width="18.8984375" style="578" customWidth="1"/>
    <col min="3075" max="3075" width="10.8984375" style="578" customWidth="1"/>
    <col min="3076" max="3076" width="16.19921875" style="578" bestFit="1" customWidth="1"/>
    <col min="3077" max="3077" width="12.3984375" style="578" bestFit="1" customWidth="1"/>
    <col min="3078" max="3078" width="10.8984375" style="578" customWidth="1"/>
    <col min="3079" max="3079" width="10" style="578" customWidth="1"/>
    <col min="3080" max="3080" width="17.5" style="578" customWidth="1"/>
    <col min="3081" max="3081" width="10.8984375" style="578" customWidth="1"/>
    <col min="3082" max="3082" width="16" style="578" customWidth="1"/>
    <col min="3083" max="3083" width="12.3984375" style="578" bestFit="1" customWidth="1"/>
    <col min="3084" max="3300" width="11" style="578"/>
    <col min="3301" max="3301" width="32.69921875" style="578" customWidth="1"/>
    <col min="3302" max="3302" width="14.5" style="578" customWidth="1"/>
    <col min="3303" max="3303" width="15.59765625" style="578" bestFit="1" customWidth="1"/>
    <col min="3304" max="3304" width="15.5" style="578" customWidth="1"/>
    <col min="3305" max="3305" width="15.59765625" style="578" customWidth="1"/>
    <col min="3306" max="3306" width="15.59765625" style="578" bestFit="1" customWidth="1"/>
    <col min="3307" max="3307" width="15.8984375" style="578" customWidth="1"/>
    <col min="3308" max="3308" width="14.8984375" style="578" customWidth="1"/>
    <col min="3309" max="3309" width="14.5" style="578" customWidth="1"/>
    <col min="3310" max="3310" width="15.8984375" style="578" customWidth="1"/>
    <col min="3311" max="3311" width="12" style="578" bestFit="1" customWidth="1"/>
    <col min="3312" max="3312" width="18.59765625" style="578" customWidth="1"/>
    <col min="3313" max="3313" width="15.09765625" style="578" customWidth="1"/>
    <col min="3314" max="3314" width="15.59765625" style="578" bestFit="1" customWidth="1"/>
    <col min="3315" max="3315" width="16.3984375" style="578" customWidth="1"/>
    <col min="3316" max="3316" width="13.8984375" style="578" customWidth="1"/>
    <col min="3317" max="3317" width="18.59765625" style="578" customWidth="1"/>
    <col min="3318" max="3318" width="3" style="578" customWidth="1"/>
    <col min="3319" max="3319" width="4" style="578" customWidth="1"/>
    <col min="3320" max="3320" width="24.5" style="578" customWidth="1"/>
    <col min="3321" max="3321" width="8.8984375" style="578" customWidth="1"/>
    <col min="3322" max="3322" width="10.8984375" style="578" customWidth="1"/>
    <col min="3323" max="3323" width="10" style="578" customWidth="1"/>
    <col min="3324" max="3324" width="17.3984375" style="578" customWidth="1"/>
    <col min="3325" max="3325" width="10.8984375" style="578" customWidth="1"/>
    <col min="3326" max="3326" width="10" style="578" customWidth="1"/>
    <col min="3327" max="3327" width="16.09765625" style="578" customWidth="1"/>
    <col min="3328" max="3328" width="10.8984375" style="578" customWidth="1"/>
    <col min="3329" max="3329" width="12" style="578" customWidth="1"/>
    <col min="3330" max="3330" width="18.8984375" style="578" customWidth="1"/>
    <col min="3331" max="3331" width="10.8984375" style="578" customWidth="1"/>
    <col min="3332" max="3332" width="16.19921875" style="578" bestFit="1" customWidth="1"/>
    <col min="3333" max="3333" width="12.3984375" style="578" bestFit="1" customWidth="1"/>
    <col min="3334" max="3334" width="10.8984375" style="578" customWidth="1"/>
    <col min="3335" max="3335" width="10" style="578" customWidth="1"/>
    <col min="3336" max="3336" width="17.5" style="578" customWidth="1"/>
    <col min="3337" max="3337" width="10.8984375" style="578" customWidth="1"/>
    <col min="3338" max="3338" width="16" style="578" customWidth="1"/>
    <col min="3339" max="3339" width="12.3984375" style="578" bestFit="1" customWidth="1"/>
    <col min="3340" max="3556" width="11" style="578"/>
    <col min="3557" max="3557" width="32.69921875" style="578" customWidth="1"/>
    <col min="3558" max="3558" width="14.5" style="578" customWidth="1"/>
    <col min="3559" max="3559" width="15.59765625" style="578" bestFit="1" customWidth="1"/>
    <col min="3560" max="3560" width="15.5" style="578" customWidth="1"/>
    <col min="3561" max="3561" width="15.59765625" style="578" customWidth="1"/>
    <col min="3562" max="3562" width="15.59765625" style="578" bestFit="1" customWidth="1"/>
    <col min="3563" max="3563" width="15.8984375" style="578" customWidth="1"/>
    <col min="3564" max="3564" width="14.8984375" style="578" customWidth="1"/>
    <col min="3565" max="3565" width="14.5" style="578" customWidth="1"/>
    <col min="3566" max="3566" width="15.8984375" style="578" customWidth="1"/>
    <col min="3567" max="3567" width="12" style="578" bestFit="1" customWidth="1"/>
    <col min="3568" max="3568" width="18.59765625" style="578" customWidth="1"/>
    <col min="3569" max="3569" width="15.09765625" style="578" customWidth="1"/>
    <col min="3570" max="3570" width="15.59765625" style="578" bestFit="1" customWidth="1"/>
    <col min="3571" max="3571" width="16.3984375" style="578" customWidth="1"/>
    <col min="3572" max="3572" width="13.8984375" style="578" customWidth="1"/>
    <col min="3573" max="3573" width="18.59765625" style="578" customWidth="1"/>
    <col min="3574" max="3574" width="3" style="578" customWidth="1"/>
    <col min="3575" max="3575" width="4" style="578" customWidth="1"/>
    <col min="3576" max="3576" width="24.5" style="578" customWidth="1"/>
    <col min="3577" max="3577" width="8.8984375" style="578" customWidth="1"/>
    <col min="3578" max="3578" width="10.8984375" style="578" customWidth="1"/>
    <col min="3579" max="3579" width="10" style="578" customWidth="1"/>
    <col min="3580" max="3580" width="17.3984375" style="578" customWidth="1"/>
    <col min="3581" max="3581" width="10.8984375" style="578" customWidth="1"/>
    <col min="3582" max="3582" width="10" style="578" customWidth="1"/>
    <col min="3583" max="3583" width="16.09765625" style="578" customWidth="1"/>
    <col min="3584" max="3584" width="10.8984375" style="578" customWidth="1"/>
    <col min="3585" max="3585" width="12" style="578" customWidth="1"/>
    <col min="3586" max="3586" width="18.8984375" style="578" customWidth="1"/>
    <col min="3587" max="3587" width="10.8984375" style="578" customWidth="1"/>
    <col min="3588" max="3588" width="16.19921875" style="578" bestFit="1" customWidth="1"/>
    <col min="3589" max="3589" width="12.3984375" style="578" bestFit="1" customWidth="1"/>
    <col min="3590" max="3590" width="10.8984375" style="578" customWidth="1"/>
    <col min="3591" max="3591" width="10" style="578" customWidth="1"/>
    <col min="3592" max="3592" width="17.5" style="578" customWidth="1"/>
    <col min="3593" max="3593" width="10.8984375" style="578" customWidth="1"/>
    <col min="3594" max="3594" width="16" style="578" customWidth="1"/>
    <col min="3595" max="3595" width="12.3984375" style="578" bestFit="1" customWidth="1"/>
    <col min="3596" max="3812" width="11" style="578"/>
    <col min="3813" max="3813" width="32.69921875" style="578" customWidth="1"/>
    <col min="3814" max="3814" width="14.5" style="578" customWidth="1"/>
    <col min="3815" max="3815" width="15.59765625" style="578" bestFit="1" customWidth="1"/>
    <col min="3816" max="3816" width="15.5" style="578" customWidth="1"/>
    <col min="3817" max="3817" width="15.59765625" style="578" customWidth="1"/>
    <col min="3818" max="3818" width="15.59765625" style="578" bestFit="1" customWidth="1"/>
    <col min="3819" max="3819" width="15.8984375" style="578" customWidth="1"/>
    <col min="3820" max="3820" width="14.8984375" style="578" customWidth="1"/>
    <col min="3821" max="3821" width="14.5" style="578" customWidth="1"/>
    <col min="3822" max="3822" width="15.8984375" style="578" customWidth="1"/>
    <col min="3823" max="3823" width="12" style="578" bestFit="1" customWidth="1"/>
    <col min="3824" max="3824" width="18.59765625" style="578" customWidth="1"/>
    <col min="3825" max="3825" width="15.09765625" style="578" customWidth="1"/>
    <col min="3826" max="3826" width="15.59765625" style="578" bestFit="1" customWidth="1"/>
    <col min="3827" max="3827" width="16.3984375" style="578" customWidth="1"/>
    <col min="3828" max="3828" width="13.8984375" style="578" customWidth="1"/>
    <col min="3829" max="3829" width="18.59765625" style="578" customWidth="1"/>
    <col min="3830" max="3830" width="3" style="578" customWidth="1"/>
    <col min="3831" max="3831" width="4" style="578" customWidth="1"/>
    <col min="3832" max="3832" width="24.5" style="578" customWidth="1"/>
    <col min="3833" max="3833" width="8.8984375" style="578" customWidth="1"/>
    <col min="3834" max="3834" width="10.8984375" style="578" customWidth="1"/>
    <col min="3835" max="3835" width="10" style="578" customWidth="1"/>
    <col min="3836" max="3836" width="17.3984375" style="578" customWidth="1"/>
    <col min="3837" max="3837" width="10.8984375" style="578" customWidth="1"/>
    <col min="3838" max="3838" width="10" style="578" customWidth="1"/>
    <col min="3839" max="3839" width="16.09765625" style="578" customWidth="1"/>
    <col min="3840" max="3840" width="10.8984375" style="578" customWidth="1"/>
    <col min="3841" max="3841" width="12" style="578" customWidth="1"/>
    <col min="3842" max="3842" width="18.8984375" style="578" customWidth="1"/>
    <col min="3843" max="3843" width="10.8984375" style="578" customWidth="1"/>
    <col min="3844" max="3844" width="16.19921875" style="578" bestFit="1" customWidth="1"/>
    <col min="3845" max="3845" width="12.3984375" style="578" bestFit="1" customWidth="1"/>
    <col min="3846" max="3846" width="10.8984375" style="578" customWidth="1"/>
    <col min="3847" max="3847" width="10" style="578" customWidth="1"/>
    <col min="3848" max="3848" width="17.5" style="578" customWidth="1"/>
    <col min="3849" max="3849" width="10.8984375" style="578" customWidth="1"/>
    <col min="3850" max="3850" width="16" style="578" customWidth="1"/>
    <col min="3851" max="3851" width="12.3984375" style="578" bestFit="1" customWidth="1"/>
    <col min="3852" max="4068" width="11" style="578"/>
    <col min="4069" max="4069" width="32.69921875" style="578" customWidth="1"/>
    <col min="4070" max="4070" width="14.5" style="578" customWidth="1"/>
    <col min="4071" max="4071" width="15.59765625" style="578" bestFit="1" customWidth="1"/>
    <col min="4072" max="4072" width="15.5" style="578" customWidth="1"/>
    <col min="4073" max="4073" width="15.59765625" style="578" customWidth="1"/>
    <col min="4074" max="4074" width="15.59765625" style="578" bestFit="1" customWidth="1"/>
    <col min="4075" max="4075" width="15.8984375" style="578" customWidth="1"/>
    <col min="4076" max="4076" width="14.8984375" style="578" customWidth="1"/>
    <col min="4077" max="4077" width="14.5" style="578" customWidth="1"/>
    <col min="4078" max="4078" width="15.8984375" style="578" customWidth="1"/>
    <col min="4079" max="4079" width="12" style="578" bestFit="1" customWidth="1"/>
    <col min="4080" max="4080" width="18.59765625" style="578" customWidth="1"/>
    <col min="4081" max="4081" width="15.09765625" style="578" customWidth="1"/>
    <col min="4082" max="4082" width="15.59765625" style="578" bestFit="1" customWidth="1"/>
    <col min="4083" max="4083" width="16.3984375" style="578" customWidth="1"/>
    <col min="4084" max="4084" width="13.8984375" style="578" customWidth="1"/>
    <col min="4085" max="4085" width="18.59765625" style="578" customWidth="1"/>
    <col min="4086" max="4086" width="3" style="578" customWidth="1"/>
    <col min="4087" max="4087" width="4" style="578" customWidth="1"/>
    <col min="4088" max="4088" width="24.5" style="578" customWidth="1"/>
    <col min="4089" max="4089" width="8.8984375" style="578" customWidth="1"/>
    <col min="4090" max="4090" width="10.8984375" style="578" customWidth="1"/>
    <col min="4091" max="4091" width="10" style="578" customWidth="1"/>
    <col min="4092" max="4092" width="17.3984375" style="578" customWidth="1"/>
    <col min="4093" max="4093" width="10.8984375" style="578" customWidth="1"/>
    <col min="4094" max="4094" width="10" style="578" customWidth="1"/>
    <col min="4095" max="4095" width="16.09765625" style="578" customWidth="1"/>
    <col min="4096" max="4096" width="10.8984375" style="578" customWidth="1"/>
    <col min="4097" max="4097" width="12" style="578" customWidth="1"/>
    <col min="4098" max="4098" width="18.8984375" style="578" customWidth="1"/>
    <col min="4099" max="4099" width="10.8984375" style="578" customWidth="1"/>
    <col min="4100" max="4100" width="16.19921875" style="578" bestFit="1" customWidth="1"/>
    <col min="4101" max="4101" width="12.3984375" style="578" bestFit="1" customWidth="1"/>
    <col min="4102" max="4102" width="10.8984375" style="578" customWidth="1"/>
    <col min="4103" max="4103" width="10" style="578" customWidth="1"/>
    <col min="4104" max="4104" width="17.5" style="578" customWidth="1"/>
    <col min="4105" max="4105" width="10.8984375" style="578" customWidth="1"/>
    <col min="4106" max="4106" width="16" style="578" customWidth="1"/>
    <col min="4107" max="4107" width="12.3984375" style="578" bestFit="1" customWidth="1"/>
    <col min="4108" max="4324" width="11" style="578"/>
    <col min="4325" max="4325" width="32.69921875" style="578" customWidth="1"/>
    <col min="4326" max="4326" width="14.5" style="578" customWidth="1"/>
    <col min="4327" max="4327" width="15.59765625" style="578" bestFit="1" customWidth="1"/>
    <col min="4328" max="4328" width="15.5" style="578" customWidth="1"/>
    <col min="4329" max="4329" width="15.59765625" style="578" customWidth="1"/>
    <col min="4330" max="4330" width="15.59765625" style="578" bestFit="1" customWidth="1"/>
    <col min="4331" max="4331" width="15.8984375" style="578" customWidth="1"/>
    <col min="4332" max="4332" width="14.8984375" style="578" customWidth="1"/>
    <col min="4333" max="4333" width="14.5" style="578" customWidth="1"/>
    <col min="4334" max="4334" width="15.8984375" style="578" customWidth="1"/>
    <col min="4335" max="4335" width="12" style="578" bestFit="1" customWidth="1"/>
    <col min="4336" max="4336" width="18.59765625" style="578" customWidth="1"/>
    <col min="4337" max="4337" width="15.09765625" style="578" customWidth="1"/>
    <col min="4338" max="4338" width="15.59765625" style="578" bestFit="1" customWidth="1"/>
    <col min="4339" max="4339" width="16.3984375" style="578" customWidth="1"/>
    <col min="4340" max="4340" width="13.8984375" style="578" customWidth="1"/>
    <col min="4341" max="4341" width="18.59765625" style="578" customWidth="1"/>
    <col min="4342" max="4342" width="3" style="578" customWidth="1"/>
    <col min="4343" max="4343" width="4" style="578" customWidth="1"/>
    <col min="4344" max="4344" width="24.5" style="578" customWidth="1"/>
    <col min="4345" max="4345" width="8.8984375" style="578" customWidth="1"/>
    <col min="4346" max="4346" width="10.8984375" style="578" customWidth="1"/>
    <col min="4347" max="4347" width="10" style="578" customWidth="1"/>
    <col min="4348" max="4348" width="17.3984375" style="578" customWidth="1"/>
    <col min="4349" max="4349" width="10.8984375" style="578" customWidth="1"/>
    <col min="4350" max="4350" width="10" style="578" customWidth="1"/>
    <col min="4351" max="4351" width="16.09765625" style="578" customWidth="1"/>
    <col min="4352" max="4352" width="10.8984375" style="578" customWidth="1"/>
    <col min="4353" max="4353" width="12" style="578" customWidth="1"/>
    <col min="4354" max="4354" width="18.8984375" style="578" customWidth="1"/>
    <col min="4355" max="4355" width="10.8984375" style="578" customWidth="1"/>
    <col min="4356" max="4356" width="16.19921875" style="578" bestFit="1" customWidth="1"/>
    <col min="4357" max="4357" width="12.3984375" style="578" bestFit="1" customWidth="1"/>
    <col min="4358" max="4358" width="10.8984375" style="578" customWidth="1"/>
    <col min="4359" max="4359" width="10" style="578" customWidth="1"/>
    <col min="4360" max="4360" width="17.5" style="578" customWidth="1"/>
    <col min="4361" max="4361" width="10.8984375" style="578" customWidth="1"/>
    <col min="4362" max="4362" width="16" style="578" customWidth="1"/>
    <col min="4363" max="4363" width="12.3984375" style="578" bestFit="1" customWidth="1"/>
    <col min="4364" max="4580" width="11" style="578"/>
    <col min="4581" max="4581" width="32.69921875" style="578" customWidth="1"/>
    <col min="4582" max="4582" width="14.5" style="578" customWidth="1"/>
    <col min="4583" max="4583" width="15.59765625" style="578" bestFit="1" customWidth="1"/>
    <col min="4584" max="4584" width="15.5" style="578" customWidth="1"/>
    <col min="4585" max="4585" width="15.59765625" style="578" customWidth="1"/>
    <col min="4586" max="4586" width="15.59765625" style="578" bestFit="1" customWidth="1"/>
    <col min="4587" max="4587" width="15.8984375" style="578" customWidth="1"/>
    <col min="4588" max="4588" width="14.8984375" style="578" customWidth="1"/>
    <col min="4589" max="4589" width="14.5" style="578" customWidth="1"/>
    <col min="4590" max="4590" width="15.8984375" style="578" customWidth="1"/>
    <col min="4591" max="4591" width="12" style="578" bestFit="1" customWidth="1"/>
    <col min="4592" max="4592" width="18.59765625" style="578" customWidth="1"/>
    <col min="4593" max="4593" width="15.09765625" style="578" customWidth="1"/>
    <col min="4594" max="4594" width="15.59765625" style="578" bestFit="1" customWidth="1"/>
    <col min="4595" max="4595" width="16.3984375" style="578" customWidth="1"/>
    <col min="4596" max="4596" width="13.8984375" style="578" customWidth="1"/>
    <col min="4597" max="4597" width="18.59765625" style="578" customWidth="1"/>
    <col min="4598" max="4598" width="3" style="578" customWidth="1"/>
    <col min="4599" max="4599" width="4" style="578" customWidth="1"/>
    <col min="4600" max="4600" width="24.5" style="578" customWidth="1"/>
    <col min="4601" max="4601" width="8.8984375" style="578" customWidth="1"/>
    <col min="4602" max="4602" width="10.8984375" style="578" customWidth="1"/>
    <col min="4603" max="4603" width="10" style="578" customWidth="1"/>
    <col min="4604" max="4604" width="17.3984375" style="578" customWidth="1"/>
    <col min="4605" max="4605" width="10.8984375" style="578" customWidth="1"/>
    <col min="4606" max="4606" width="10" style="578" customWidth="1"/>
    <col min="4607" max="4607" width="16.09765625" style="578" customWidth="1"/>
    <col min="4608" max="4608" width="10.8984375" style="578" customWidth="1"/>
    <col min="4609" max="4609" width="12" style="578" customWidth="1"/>
    <col min="4610" max="4610" width="18.8984375" style="578" customWidth="1"/>
    <col min="4611" max="4611" width="10.8984375" style="578" customWidth="1"/>
    <col min="4612" max="4612" width="16.19921875" style="578" bestFit="1" customWidth="1"/>
    <col min="4613" max="4613" width="12.3984375" style="578" bestFit="1" customWidth="1"/>
    <col min="4614" max="4614" width="10.8984375" style="578" customWidth="1"/>
    <col min="4615" max="4615" width="10" style="578" customWidth="1"/>
    <col min="4616" max="4616" width="17.5" style="578" customWidth="1"/>
    <col min="4617" max="4617" width="10.8984375" style="578" customWidth="1"/>
    <col min="4618" max="4618" width="16" style="578" customWidth="1"/>
    <col min="4619" max="4619" width="12.3984375" style="578" bestFit="1" customWidth="1"/>
    <col min="4620" max="4836" width="11" style="578"/>
    <col min="4837" max="4837" width="32.69921875" style="578" customWidth="1"/>
    <col min="4838" max="4838" width="14.5" style="578" customWidth="1"/>
    <col min="4839" max="4839" width="15.59765625" style="578" bestFit="1" customWidth="1"/>
    <col min="4840" max="4840" width="15.5" style="578" customWidth="1"/>
    <col min="4841" max="4841" width="15.59765625" style="578" customWidth="1"/>
    <col min="4842" max="4842" width="15.59765625" style="578" bestFit="1" customWidth="1"/>
    <col min="4843" max="4843" width="15.8984375" style="578" customWidth="1"/>
    <col min="4844" max="4844" width="14.8984375" style="578" customWidth="1"/>
    <col min="4845" max="4845" width="14.5" style="578" customWidth="1"/>
    <col min="4846" max="4846" width="15.8984375" style="578" customWidth="1"/>
    <col min="4847" max="4847" width="12" style="578" bestFit="1" customWidth="1"/>
    <col min="4848" max="4848" width="18.59765625" style="578" customWidth="1"/>
    <col min="4849" max="4849" width="15.09765625" style="578" customWidth="1"/>
    <col min="4850" max="4850" width="15.59765625" style="578" bestFit="1" customWidth="1"/>
    <col min="4851" max="4851" width="16.3984375" style="578" customWidth="1"/>
    <col min="4852" max="4852" width="13.8984375" style="578" customWidth="1"/>
    <col min="4853" max="4853" width="18.59765625" style="578" customWidth="1"/>
    <col min="4854" max="4854" width="3" style="578" customWidth="1"/>
    <col min="4855" max="4855" width="4" style="578" customWidth="1"/>
    <col min="4856" max="4856" width="24.5" style="578" customWidth="1"/>
    <col min="4857" max="4857" width="8.8984375" style="578" customWidth="1"/>
    <col min="4858" max="4858" width="10.8984375" style="578" customWidth="1"/>
    <col min="4859" max="4859" width="10" style="578" customWidth="1"/>
    <col min="4860" max="4860" width="17.3984375" style="578" customWidth="1"/>
    <col min="4861" max="4861" width="10.8984375" style="578" customWidth="1"/>
    <col min="4862" max="4862" width="10" style="578" customWidth="1"/>
    <col min="4863" max="4863" width="16.09765625" style="578" customWidth="1"/>
    <col min="4864" max="4864" width="10.8984375" style="578" customWidth="1"/>
    <col min="4865" max="4865" width="12" style="578" customWidth="1"/>
    <col min="4866" max="4866" width="18.8984375" style="578" customWidth="1"/>
    <col min="4867" max="4867" width="10.8984375" style="578" customWidth="1"/>
    <col min="4868" max="4868" width="16.19921875" style="578" bestFit="1" customWidth="1"/>
    <col min="4869" max="4869" width="12.3984375" style="578" bestFit="1" customWidth="1"/>
    <col min="4870" max="4870" width="10.8984375" style="578" customWidth="1"/>
    <col min="4871" max="4871" width="10" style="578" customWidth="1"/>
    <col min="4872" max="4872" width="17.5" style="578" customWidth="1"/>
    <col min="4873" max="4873" width="10.8984375" style="578" customWidth="1"/>
    <col min="4874" max="4874" width="16" style="578" customWidth="1"/>
    <col min="4875" max="4875" width="12.3984375" style="578" bestFit="1" customWidth="1"/>
    <col min="4876" max="5092" width="11" style="578"/>
    <col min="5093" max="5093" width="32.69921875" style="578" customWidth="1"/>
    <col min="5094" max="5094" width="14.5" style="578" customWidth="1"/>
    <col min="5095" max="5095" width="15.59765625" style="578" bestFit="1" customWidth="1"/>
    <col min="5096" max="5096" width="15.5" style="578" customWidth="1"/>
    <col min="5097" max="5097" width="15.59765625" style="578" customWidth="1"/>
    <col min="5098" max="5098" width="15.59765625" style="578" bestFit="1" customWidth="1"/>
    <col min="5099" max="5099" width="15.8984375" style="578" customWidth="1"/>
    <col min="5100" max="5100" width="14.8984375" style="578" customWidth="1"/>
    <col min="5101" max="5101" width="14.5" style="578" customWidth="1"/>
    <col min="5102" max="5102" width="15.8984375" style="578" customWidth="1"/>
    <col min="5103" max="5103" width="12" style="578" bestFit="1" customWidth="1"/>
    <col min="5104" max="5104" width="18.59765625" style="578" customWidth="1"/>
    <col min="5105" max="5105" width="15.09765625" style="578" customWidth="1"/>
    <col min="5106" max="5106" width="15.59765625" style="578" bestFit="1" customWidth="1"/>
    <col min="5107" max="5107" width="16.3984375" style="578" customWidth="1"/>
    <col min="5108" max="5108" width="13.8984375" style="578" customWidth="1"/>
    <col min="5109" max="5109" width="18.59765625" style="578" customWidth="1"/>
    <col min="5110" max="5110" width="3" style="578" customWidth="1"/>
    <col min="5111" max="5111" width="4" style="578" customWidth="1"/>
    <col min="5112" max="5112" width="24.5" style="578" customWidth="1"/>
    <col min="5113" max="5113" width="8.8984375" style="578" customWidth="1"/>
    <col min="5114" max="5114" width="10.8984375" style="578" customWidth="1"/>
    <col min="5115" max="5115" width="10" style="578" customWidth="1"/>
    <col min="5116" max="5116" width="17.3984375" style="578" customWidth="1"/>
    <col min="5117" max="5117" width="10.8984375" style="578" customWidth="1"/>
    <col min="5118" max="5118" width="10" style="578" customWidth="1"/>
    <col min="5119" max="5119" width="16.09765625" style="578" customWidth="1"/>
    <col min="5120" max="5120" width="10.8984375" style="578" customWidth="1"/>
    <col min="5121" max="5121" width="12" style="578" customWidth="1"/>
    <col min="5122" max="5122" width="18.8984375" style="578" customWidth="1"/>
    <col min="5123" max="5123" width="10.8984375" style="578" customWidth="1"/>
    <col min="5124" max="5124" width="16.19921875" style="578" bestFit="1" customWidth="1"/>
    <col min="5125" max="5125" width="12.3984375" style="578" bestFit="1" customWidth="1"/>
    <col min="5126" max="5126" width="10.8984375" style="578" customWidth="1"/>
    <col min="5127" max="5127" width="10" style="578" customWidth="1"/>
    <col min="5128" max="5128" width="17.5" style="578" customWidth="1"/>
    <col min="5129" max="5129" width="10.8984375" style="578" customWidth="1"/>
    <col min="5130" max="5130" width="16" style="578" customWidth="1"/>
    <col min="5131" max="5131" width="12.3984375" style="578" bestFit="1" customWidth="1"/>
    <col min="5132" max="5348" width="11" style="578"/>
    <col min="5349" max="5349" width="32.69921875" style="578" customWidth="1"/>
    <col min="5350" max="5350" width="14.5" style="578" customWidth="1"/>
    <col min="5351" max="5351" width="15.59765625" style="578" bestFit="1" customWidth="1"/>
    <col min="5352" max="5352" width="15.5" style="578" customWidth="1"/>
    <col min="5353" max="5353" width="15.59765625" style="578" customWidth="1"/>
    <col min="5354" max="5354" width="15.59765625" style="578" bestFit="1" customWidth="1"/>
    <col min="5355" max="5355" width="15.8984375" style="578" customWidth="1"/>
    <col min="5356" max="5356" width="14.8984375" style="578" customWidth="1"/>
    <col min="5357" max="5357" width="14.5" style="578" customWidth="1"/>
    <col min="5358" max="5358" width="15.8984375" style="578" customWidth="1"/>
    <col min="5359" max="5359" width="12" style="578" bestFit="1" customWidth="1"/>
    <col min="5360" max="5360" width="18.59765625" style="578" customWidth="1"/>
    <col min="5361" max="5361" width="15.09765625" style="578" customWidth="1"/>
    <col min="5362" max="5362" width="15.59765625" style="578" bestFit="1" customWidth="1"/>
    <col min="5363" max="5363" width="16.3984375" style="578" customWidth="1"/>
    <col min="5364" max="5364" width="13.8984375" style="578" customWidth="1"/>
    <col min="5365" max="5365" width="18.59765625" style="578" customWidth="1"/>
    <col min="5366" max="5366" width="3" style="578" customWidth="1"/>
    <col min="5367" max="5367" width="4" style="578" customWidth="1"/>
    <col min="5368" max="5368" width="24.5" style="578" customWidth="1"/>
    <col min="5369" max="5369" width="8.8984375" style="578" customWidth="1"/>
    <col min="5370" max="5370" width="10.8984375" style="578" customWidth="1"/>
    <col min="5371" max="5371" width="10" style="578" customWidth="1"/>
    <col min="5372" max="5372" width="17.3984375" style="578" customWidth="1"/>
    <col min="5373" max="5373" width="10.8984375" style="578" customWidth="1"/>
    <col min="5374" max="5374" width="10" style="578" customWidth="1"/>
    <col min="5375" max="5375" width="16.09765625" style="578" customWidth="1"/>
    <col min="5376" max="5376" width="10.8984375" style="578" customWidth="1"/>
    <col min="5377" max="5377" width="12" style="578" customWidth="1"/>
    <col min="5378" max="5378" width="18.8984375" style="578" customWidth="1"/>
    <col min="5379" max="5379" width="10.8984375" style="578" customWidth="1"/>
    <col min="5380" max="5380" width="16.19921875" style="578" bestFit="1" customWidth="1"/>
    <col min="5381" max="5381" width="12.3984375" style="578" bestFit="1" customWidth="1"/>
    <col min="5382" max="5382" width="10.8984375" style="578" customWidth="1"/>
    <col min="5383" max="5383" width="10" style="578" customWidth="1"/>
    <col min="5384" max="5384" width="17.5" style="578" customWidth="1"/>
    <col min="5385" max="5385" width="10.8984375" style="578" customWidth="1"/>
    <col min="5386" max="5386" width="16" style="578" customWidth="1"/>
    <col min="5387" max="5387" width="12.3984375" style="578" bestFit="1" customWidth="1"/>
    <col min="5388" max="5604" width="11" style="578"/>
    <col min="5605" max="5605" width="32.69921875" style="578" customWidth="1"/>
    <col min="5606" max="5606" width="14.5" style="578" customWidth="1"/>
    <col min="5607" max="5607" width="15.59765625" style="578" bestFit="1" customWidth="1"/>
    <col min="5608" max="5608" width="15.5" style="578" customWidth="1"/>
    <col min="5609" max="5609" width="15.59765625" style="578" customWidth="1"/>
    <col min="5610" max="5610" width="15.59765625" style="578" bestFit="1" customWidth="1"/>
    <col min="5611" max="5611" width="15.8984375" style="578" customWidth="1"/>
    <col min="5612" max="5612" width="14.8984375" style="578" customWidth="1"/>
    <col min="5613" max="5613" width="14.5" style="578" customWidth="1"/>
    <col min="5614" max="5614" width="15.8984375" style="578" customWidth="1"/>
    <col min="5615" max="5615" width="12" style="578" bestFit="1" customWidth="1"/>
    <col min="5616" max="5616" width="18.59765625" style="578" customWidth="1"/>
    <col min="5617" max="5617" width="15.09765625" style="578" customWidth="1"/>
    <col min="5618" max="5618" width="15.59765625" style="578" bestFit="1" customWidth="1"/>
    <col min="5619" max="5619" width="16.3984375" style="578" customWidth="1"/>
    <col min="5620" max="5620" width="13.8984375" style="578" customWidth="1"/>
    <col min="5621" max="5621" width="18.59765625" style="578" customWidth="1"/>
    <col min="5622" max="5622" width="3" style="578" customWidth="1"/>
    <col min="5623" max="5623" width="4" style="578" customWidth="1"/>
    <col min="5624" max="5624" width="24.5" style="578" customWidth="1"/>
    <col min="5625" max="5625" width="8.8984375" style="578" customWidth="1"/>
    <col min="5626" max="5626" width="10.8984375" style="578" customWidth="1"/>
    <col min="5627" max="5627" width="10" style="578" customWidth="1"/>
    <col min="5628" max="5628" width="17.3984375" style="578" customWidth="1"/>
    <col min="5629" max="5629" width="10.8984375" style="578" customWidth="1"/>
    <col min="5630" max="5630" width="10" style="578" customWidth="1"/>
    <col min="5631" max="5631" width="16.09765625" style="578" customWidth="1"/>
    <col min="5632" max="5632" width="10.8984375" style="578" customWidth="1"/>
    <col min="5633" max="5633" width="12" style="578" customWidth="1"/>
    <col min="5634" max="5634" width="18.8984375" style="578" customWidth="1"/>
    <col min="5635" max="5635" width="10.8984375" style="578" customWidth="1"/>
    <col min="5636" max="5636" width="16.19921875" style="578" bestFit="1" customWidth="1"/>
    <col min="5637" max="5637" width="12.3984375" style="578" bestFit="1" customWidth="1"/>
    <col min="5638" max="5638" width="10.8984375" style="578" customWidth="1"/>
    <col min="5639" max="5639" width="10" style="578" customWidth="1"/>
    <col min="5640" max="5640" width="17.5" style="578" customWidth="1"/>
    <col min="5641" max="5641" width="10.8984375" style="578" customWidth="1"/>
    <col min="5642" max="5642" width="16" style="578" customWidth="1"/>
    <col min="5643" max="5643" width="12.3984375" style="578" bestFit="1" customWidth="1"/>
    <col min="5644" max="5860" width="11" style="578"/>
    <col min="5861" max="5861" width="32.69921875" style="578" customWidth="1"/>
    <col min="5862" max="5862" width="14.5" style="578" customWidth="1"/>
    <col min="5863" max="5863" width="15.59765625" style="578" bestFit="1" customWidth="1"/>
    <col min="5864" max="5864" width="15.5" style="578" customWidth="1"/>
    <col min="5865" max="5865" width="15.59765625" style="578" customWidth="1"/>
    <col min="5866" max="5866" width="15.59765625" style="578" bestFit="1" customWidth="1"/>
    <col min="5867" max="5867" width="15.8984375" style="578" customWidth="1"/>
    <col min="5868" max="5868" width="14.8984375" style="578" customWidth="1"/>
    <col min="5869" max="5869" width="14.5" style="578" customWidth="1"/>
    <col min="5870" max="5870" width="15.8984375" style="578" customWidth="1"/>
    <col min="5871" max="5871" width="12" style="578" bestFit="1" customWidth="1"/>
    <col min="5872" max="5872" width="18.59765625" style="578" customWidth="1"/>
    <col min="5873" max="5873" width="15.09765625" style="578" customWidth="1"/>
    <col min="5874" max="5874" width="15.59765625" style="578" bestFit="1" customWidth="1"/>
    <col min="5875" max="5875" width="16.3984375" style="578" customWidth="1"/>
    <col min="5876" max="5876" width="13.8984375" style="578" customWidth="1"/>
    <col min="5877" max="5877" width="18.59765625" style="578" customWidth="1"/>
    <col min="5878" max="5878" width="3" style="578" customWidth="1"/>
    <col min="5879" max="5879" width="4" style="578" customWidth="1"/>
    <col min="5880" max="5880" width="24.5" style="578" customWidth="1"/>
    <col min="5881" max="5881" width="8.8984375" style="578" customWidth="1"/>
    <col min="5882" max="5882" width="10.8984375" style="578" customWidth="1"/>
    <col min="5883" max="5883" width="10" style="578" customWidth="1"/>
    <col min="5884" max="5884" width="17.3984375" style="578" customWidth="1"/>
    <col min="5885" max="5885" width="10.8984375" style="578" customWidth="1"/>
    <col min="5886" max="5886" width="10" style="578" customWidth="1"/>
    <col min="5887" max="5887" width="16.09765625" style="578" customWidth="1"/>
    <col min="5888" max="5888" width="10.8984375" style="578" customWidth="1"/>
    <col min="5889" max="5889" width="12" style="578" customWidth="1"/>
    <col min="5890" max="5890" width="18.8984375" style="578" customWidth="1"/>
    <col min="5891" max="5891" width="10.8984375" style="578" customWidth="1"/>
    <col min="5892" max="5892" width="16.19921875" style="578" bestFit="1" customWidth="1"/>
    <col min="5893" max="5893" width="12.3984375" style="578" bestFit="1" customWidth="1"/>
    <col min="5894" max="5894" width="10.8984375" style="578" customWidth="1"/>
    <col min="5895" max="5895" width="10" style="578" customWidth="1"/>
    <col min="5896" max="5896" width="17.5" style="578" customWidth="1"/>
    <col min="5897" max="5897" width="10.8984375" style="578" customWidth="1"/>
    <col min="5898" max="5898" width="16" style="578" customWidth="1"/>
    <col min="5899" max="5899" width="12.3984375" style="578" bestFit="1" customWidth="1"/>
    <col min="5900" max="6116" width="11" style="578"/>
    <col min="6117" max="6117" width="32.69921875" style="578" customWidth="1"/>
    <col min="6118" max="6118" width="14.5" style="578" customWidth="1"/>
    <col min="6119" max="6119" width="15.59765625" style="578" bestFit="1" customWidth="1"/>
    <col min="6120" max="6120" width="15.5" style="578" customWidth="1"/>
    <col min="6121" max="6121" width="15.59765625" style="578" customWidth="1"/>
    <col min="6122" max="6122" width="15.59765625" style="578" bestFit="1" customWidth="1"/>
    <col min="6123" max="6123" width="15.8984375" style="578" customWidth="1"/>
    <col min="6124" max="6124" width="14.8984375" style="578" customWidth="1"/>
    <col min="6125" max="6125" width="14.5" style="578" customWidth="1"/>
    <col min="6126" max="6126" width="15.8984375" style="578" customWidth="1"/>
    <col min="6127" max="6127" width="12" style="578" bestFit="1" customWidth="1"/>
    <col min="6128" max="6128" width="18.59765625" style="578" customWidth="1"/>
    <col min="6129" max="6129" width="15.09765625" style="578" customWidth="1"/>
    <col min="6130" max="6130" width="15.59765625" style="578" bestFit="1" customWidth="1"/>
    <col min="6131" max="6131" width="16.3984375" style="578" customWidth="1"/>
    <col min="6132" max="6132" width="13.8984375" style="578" customWidth="1"/>
    <col min="6133" max="6133" width="18.59765625" style="578" customWidth="1"/>
    <col min="6134" max="6134" width="3" style="578" customWidth="1"/>
    <col min="6135" max="6135" width="4" style="578" customWidth="1"/>
    <col min="6136" max="6136" width="24.5" style="578" customWidth="1"/>
    <col min="6137" max="6137" width="8.8984375" style="578" customWidth="1"/>
    <col min="6138" max="6138" width="10.8984375" style="578" customWidth="1"/>
    <col min="6139" max="6139" width="10" style="578" customWidth="1"/>
    <col min="6140" max="6140" width="17.3984375" style="578" customWidth="1"/>
    <col min="6141" max="6141" width="10.8984375" style="578" customWidth="1"/>
    <col min="6142" max="6142" width="10" style="578" customWidth="1"/>
    <col min="6143" max="6143" width="16.09765625" style="578" customWidth="1"/>
    <col min="6144" max="6144" width="10.8984375" style="578" customWidth="1"/>
    <col min="6145" max="6145" width="12" style="578" customWidth="1"/>
    <col min="6146" max="6146" width="18.8984375" style="578" customWidth="1"/>
    <col min="6147" max="6147" width="10.8984375" style="578" customWidth="1"/>
    <col min="6148" max="6148" width="16.19921875" style="578" bestFit="1" customWidth="1"/>
    <col min="6149" max="6149" width="12.3984375" style="578" bestFit="1" customWidth="1"/>
    <col min="6150" max="6150" width="10.8984375" style="578" customWidth="1"/>
    <col min="6151" max="6151" width="10" style="578" customWidth="1"/>
    <col min="6152" max="6152" width="17.5" style="578" customWidth="1"/>
    <col min="6153" max="6153" width="10.8984375" style="578" customWidth="1"/>
    <col min="6154" max="6154" width="16" style="578" customWidth="1"/>
    <col min="6155" max="6155" width="12.3984375" style="578" bestFit="1" customWidth="1"/>
    <col min="6156" max="6372" width="11" style="578"/>
    <col min="6373" max="6373" width="32.69921875" style="578" customWidth="1"/>
    <col min="6374" max="6374" width="14.5" style="578" customWidth="1"/>
    <col min="6375" max="6375" width="15.59765625" style="578" bestFit="1" customWidth="1"/>
    <col min="6376" max="6376" width="15.5" style="578" customWidth="1"/>
    <col min="6377" max="6377" width="15.59765625" style="578" customWidth="1"/>
    <col min="6378" max="6378" width="15.59765625" style="578" bestFit="1" customWidth="1"/>
    <col min="6379" max="6379" width="15.8984375" style="578" customWidth="1"/>
    <col min="6380" max="6380" width="14.8984375" style="578" customWidth="1"/>
    <col min="6381" max="6381" width="14.5" style="578" customWidth="1"/>
    <col min="6382" max="6382" width="15.8984375" style="578" customWidth="1"/>
    <col min="6383" max="6383" width="12" style="578" bestFit="1" customWidth="1"/>
    <col min="6384" max="6384" width="18.59765625" style="578" customWidth="1"/>
    <col min="6385" max="6385" width="15.09765625" style="578" customWidth="1"/>
    <col min="6386" max="6386" width="15.59765625" style="578" bestFit="1" customWidth="1"/>
    <col min="6387" max="6387" width="16.3984375" style="578" customWidth="1"/>
    <col min="6388" max="6388" width="13.8984375" style="578" customWidth="1"/>
    <col min="6389" max="6389" width="18.59765625" style="578" customWidth="1"/>
    <col min="6390" max="6390" width="3" style="578" customWidth="1"/>
    <col min="6391" max="6391" width="4" style="578" customWidth="1"/>
    <col min="6392" max="6392" width="24.5" style="578" customWidth="1"/>
    <col min="6393" max="6393" width="8.8984375" style="578" customWidth="1"/>
    <col min="6394" max="6394" width="10.8984375" style="578" customWidth="1"/>
    <col min="6395" max="6395" width="10" style="578" customWidth="1"/>
    <col min="6396" max="6396" width="17.3984375" style="578" customWidth="1"/>
    <col min="6397" max="6397" width="10.8984375" style="578" customWidth="1"/>
    <col min="6398" max="6398" width="10" style="578" customWidth="1"/>
    <col min="6399" max="6399" width="16.09765625" style="578" customWidth="1"/>
    <col min="6400" max="6400" width="10.8984375" style="578" customWidth="1"/>
    <col min="6401" max="6401" width="12" style="578" customWidth="1"/>
    <col min="6402" max="6402" width="18.8984375" style="578" customWidth="1"/>
    <col min="6403" max="6403" width="10.8984375" style="578" customWidth="1"/>
    <col min="6404" max="6404" width="16.19921875" style="578" bestFit="1" customWidth="1"/>
    <col min="6405" max="6405" width="12.3984375" style="578" bestFit="1" customWidth="1"/>
    <col min="6406" max="6406" width="10.8984375" style="578" customWidth="1"/>
    <col min="6407" max="6407" width="10" style="578" customWidth="1"/>
    <col min="6408" max="6408" width="17.5" style="578" customWidth="1"/>
    <col min="6409" max="6409" width="10.8984375" style="578" customWidth="1"/>
    <col min="6410" max="6410" width="16" style="578" customWidth="1"/>
    <col min="6411" max="6411" width="12.3984375" style="578" bestFit="1" customWidth="1"/>
    <col min="6412" max="6628" width="11" style="578"/>
    <col min="6629" max="6629" width="32.69921875" style="578" customWidth="1"/>
    <col min="6630" max="6630" width="14.5" style="578" customWidth="1"/>
    <col min="6631" max="6631" width="15.59765625" style="578" bestFit="1" customWidth="1"/>
    <col min="6632" max="6632" width="15.5" style="578" customWidth="1"/>
    <col min="6633" max="6633" width="15.59765625" style="578" customWidth="1"/>
    <col min="6634" max="6634" width="15.59765625" style="578" bestFit="1" customWidth="1"/>
    <col min="6635" max="6635" width="15.8984375" style="578" customWidth="1"/>
    <col min="6636" max="6636" width="14.8984375" style="578" customWidth="1"/>
    <col min="6637" max="6637" width="14.5" style="578" customWidth="1"/>
    <col min="6638" max="6638" width="15.8984375" style="578" customWidth="1"/>
    <col min="6639" max="6639" width="12" style="578" bestFit="1" customWidth="1"/>
    <col min="6640" max="6640" width="18.59765625" style="578" customWidth="1"/>
    <col min="6641" max="6641" width="15.09765625" style="578" customWidth="1"/>
    <col min="6642" max="6642" width="15.59765625" style="578" bestFit="1" customWidth="1"/>
    <col min="6643" max="6643" width="16.3984375" style="578" customWidth="1"/>
    <col min="6644" max="6644" width="13.8984375" style="578" customWidth="1"/>
    <col min="6645" max="6645" width="18.59765625" style="578" customWidth="1"/>
    <col min="6646" max="6646" width="3" style="578" customWidth="1"/>
    <col min="6647" max="6647" width="4" style="578" customWidth="1"/>
    <col min="6648" max="6648" width="24.5" style="578" customWidth="1"/>
    <col min="6649" max="6649" width="8.8984375" style="578" customWidth="1"/>
    <col min="6650" max="6650" width="10.8984375" style="578" customWidth="1"/>
    <col min="6651" max="6651" width="10" style="578" customWidth="1"/>
    <col min="6652" max="6652" width="17.3984375" style="578" customWidth="1"/>
    <col min="6653" max="6653" width="10.8984375" style="578" customWidth="1"/>
    <col min="6654" max="6654" width="10" style="578" customWidth="1"/>
    <col min="6655" max="6655" width="16.09765625" style="578" customWidth="1"/>
    <col min="6656" max="6656" width="10.8984375" style="578" customWidth="1"/>
    <col min="6657" max="6657" width="12" style="578" customWidth="1"/>
    <col min="6658" max="6658" width="18.8984375" style="578" customWidth="1"/>
    <col min="6659" max="6659" width="10.8984375" style="578" customWidth="1"/>
    <col min="6660" max="6660" width="16.19921875" style="578" bestFit="1" customWidth="1"/>
    <col min="6661" max="6661" width="12.3984375" style="578" bestFit="1" customWidth="1"/>
    <col min="6662" max="6662" width="10.8984375" style="578" customWidth="1"/>
    <col min="6663" max="6663" width="10" style="578" customWidth="1"/>
    <col min="6664" max="6664" width="17.5" style="578" customWidth="1"/>
    <col min="6665" max="6665" width="10.8984375" style="578" customWidth="1"/>
    <col min="6666" max="6666" width="16" style="578" customWidth="1"/>
    <col min="6667" max="6667" width="12.3984375" style="578" bestFit="1" customWidth="1"/>
    <col min="6668" max="6884" width="11" style="578"/>
    <col min="6885" max="6885" width="32.69921875" style="578" customWidth="1"/>
    <col min="6886" max="6886" width="14.5" style="578" customWidth="1"/>
    <col min="6887" max="6887" width="15.59765625" style="578" bestFit="1" customWidth="1"/>
    <col min="6888" max="6888" width="15.5" style="578" customWidth="1"/>
    <col min="6889" max="6889" width="15.59765625" style="578" customWidth="1"/>
    <col min="6890" max="6890" width="15.59765625" style="578" bestFit="1" customWidth="1"/>
    <col min="6891" max="6891" width="15.8984375" style="578" customWidth="1"/>
    <col min="6892" max="6892" width="14.8984375" style="578" customWidth="1"/>
    <col min="6893" max="6893" width="14.5" style="578" customWidth="1"/>
    <col min="6894" max="6894" width="15.8984375" style="578" customWidth="1"/>
    <col min="6895" max="6895" width="12" style="578" bestFit="1" customWidth="1"/>
    <col min="6896" max="6896" width="18.59765625" style="578" customWidth="1"/>
    <col min="6897" max="6897" width="15.09765625" style="578" customWidth="1"/>
    <col min="6898" max="6898" width="15.59765625" style="578" bestFit="1" customWidth="1"/>
    <col min="6899" max="6899" width="16.3984375" style="578" customWidth="1"/>
    <col min="6900" max="6900" width="13.8984375" style="578" customWidth="1"/>
    <col min="6901" max="6901" width="18.59765625" style="578" customWidth="1"/>
    <col min="6902" max="6902" width="3" style="578" customWidth="1"/>
    <col min="6903" max="6903" width="4" style="578" customWidth="1"/>
    <col min="6904" max="6904" width="24.5" style="578" customWidth="1"/>
    <col min="6905" max="6905" width="8.8984375" style="578" customWidth="1"/>
    <col min="6906" max="6906" width="10.8984375" style="578" customWidth="1"/>
    <col min="6907" max="6907" width="10" style="578" customWidth="1"/>
    <col min="6908" max="6908" width="17.3984375" style="578" customWidth="1"/>
    <col min="6909" max="6909" width="10.8984375" style="578" customWidth="1"/>
    <col min="6910" max="6910" width="10" style="578" customWidth="1"/>
    <col min="6911" max="6911" width="16.09765625" style="578" customWidth="1"/>
    <col min="6912" max="6912" width="10.8984375" style="578" customWidth="1"/>
    <col min="6913" max="6913" width="12" style="578" customWidth="1"/>
    <col min="6914" max="6914" width="18.8984375" style="578" customWidth="1"/>
    <col min="6915" max="6915" width="10.8984375" style="578" customWidth="1"/>
    <col min="6916" max="6916" width="16.19921875" style="578" bestFit="1" customWidth="1"/>
    <col min="6917" max="6917" width="12.3984375" style="578" bestFit="1" customWidth="1"/>
    <col min="6918" max="6918" width="10.8984375" style="578" customWidth="1"/>
    <col min="6919" max="6919" width="10" style="578" customWidth="1"/>
    <col min="6920" max="6920" width="17.5" style="578" customWidth="1"/>
    <col min="6921" max="6921" width="10.8984375" style="578" customWidth="1"/>
    <col min="6922" max="6922" width="16" style="578" customWidth="1"/>
    <col min="6923" max="6923" width="12.3984375" style="578" bestFit="1" customWidth="1"/>
    <col min="6924" max="7140" width="11" style="578"/>
    <col min="7141" max="7141" width="32.69921875" style="578" customWidth="1"/>
    <col min="7142" max="7142" width="14.5" style="578" customWidth="1"/>
    <col min="7143" max="7143" width="15.59765625" style="578" bestFit="1" customWidth="1"/>
    <col min="7144" max="7144" width="15.5" style="578" customWidth="1"/>
    <col min="7145" max="7145" width="15.59765625" style="578" customWidth="1"/>
    <col min="7146" max="7146" width="15.59765625" style="578" bestFit="1" customWidth="1"/>
    <col min="7147" max="7147" width="15.8984375" style="578" customWidth="1"/>
    <col min="7148" max="7148" width="14.8984375" style="578" customWidth="1"/>
    <col min="7149" max="7149" width="14.5" style="578" customWidth="1"/>
    <col min="7150" max="7150" width="15.8984375" style="578" customWidth="1"/>
    <col min="7151" max="7151" width="12" style="578" bestFit="1" customWidth="1"/>
    <col min="7152" max="7152" width="18.59765625" style="578" customWidth="1"/>
    <col min="7153" max="7153" width="15.09765625" style="578" customWidth="1"/>
    <col min="7154" max="7154" width="15.59765625" style="578" bestFit="1" customWidth="1"/>
    <col min="7155" max="7155" width="16.3984375" style="578" customWidth="1"/>
    <col min="7156" max="7156" width="13.8984375" style="578" customWidth="1"/>
    <col min="7157" max="7157" width="18.59765625" style="578" customWidth="1"/>
    <col min="7158" max="7158" width="3" style="578" customWidth="1"/>
    <col min="7159" max="7159" width="4" style="578" customWidth="1"/>
    <col min="7160" max="7160" width="24.5" style="578" customWidth="1"/>
    <col min="7161" max="7161" width="8.8984375" style="578" customWidth="1"/>
    <col min="7162" max="7162" width="10.8984375" style="578" customWidth="1"/>
    <col min="7163" max="7163" width="10" style="578" customWidth="1"/>
    <col min="7164" max="7164" width="17.3984375" style="578" customWidth="1"/>
    <col min="7165" max="7165" width="10.8984375" style="578" customWidth="1"/>
    <col min="7166" max="7166" width="10" style="578" customWidth="1"/>
    <col min="7167" max="7167" width="16.09765625" style="578" customWidth="1"/>
    <col min="7168" max="7168" width="10.8984375" style="578" customWidth="1"/>
    <col min="7169" max="7169" width="12" style="578" customWidth="1"/>
    <col min="7170" max="7170" width="18.8984375" style="578" customWidth="1"/>
    <col min="7171" max="7171" width="10.8984375" style="578" customWidth="1"/>
    <col min="7172" max="7172" width="16.19921875" style="578" bestFit="1" customWidth="1"/>
    <col min="7173" max="7173" width="12.3984375" style="578" bestFit="1" customWidth="1"/>
    <col min="7174" max="7174" width="10.8984375" style="578" customWidth="1"/>
    <col min="7175" max="7175" width="10" style="578" customWidth="1"/>
    <col min="7176" max="7176" width="17.5" style="578" customWidth="1"/>
    <col min="7177" max="7177" width="10.8984375" style="578" customWidth="1"/>
    <col min="7178" max="7178" width="16" style="578" customWidth="1"/>
    <col min="7179" max="7179" width="12.3984375" style="578" bestFit="1" customWidth="1"/>
    <col min="7180" max="7396" width="11" style="578"/>
    <col min="7397" max="7397" width="32.69921875" style="578" customWidth="1"/>
    <col min="7398" max="7398" width="14.5" style="578" customWidth="1"/>
    <col min="7399" max="7399" width="15.59765625" style="578" bestFit="1" customWidth="1"/>
    <col min="7400" max="7400" width="15.5" style="578" customWidth="1"/>
    <col min="7401" max="7401" width="15.59765625" style="578" customWidth="1"/>
    <col min="7402" max="7402" width="15.59765625" style="578" bestFit="1" customWidth="1"/>
    <col min="7403" max="7403" width="15.8984375" style="578" customWidth="1"/>
    <col min="7404" max="7404" width="14.8984375" style="578" customWidth="1"/>
    <col min="7405" max="7405" width="14.5" style="578" customWidth="1"/>
    <col min="7406" max="7406" width="15.8984375" style="578" customWidth="1"/>
    <col min="7407" max="7407" width="12" style="578" bestFit="1" customWidth="1"/>
    <col min="7408" max="7408" width="18.59765625" style="578" customWidth="1"/>
    <col min="7409" max="7409" width="15.09765625" style="578" customWidth="1"/>
    <col min="7410" max="7410" width="15.59765625" style="578" bestFit="1" customWidth="1"/>
    <col min="7411" max="7411" width="16.3984375" style="578" customWidth="1"/>
    <col min="7412" max="7412" width="13.8984375" style="578" customWidth="1"/>
    <col min="7413" max="7413" width="18.59765625" style="578" customWidth="1"/>
    <col min="7414" max="7414" width="3" style="578" customWidth="1"/>
    <col min="7415" max="7415" width="4" style="578" customWidth="1"/>
    <col min="7416" max="7416" width="24.5" style="578" customWidth="1"/>
    <col min="7417" max="7417" width="8.8984375" style="578" customWidth="1"/>
    <col min="7418" max="7418" width="10.8984375" style="578" customWidth="1"/>
    <col min="7419" max="7419" width="10" style="578" customWidth="1"/>
    <col min="7420" max="7420" width="17.3984375" style="578" customWidth="1"/>
    <col min="7421" max="7421" width="10.8984375" style="578" customWidth="1"/>
    <col min="7422" max="7422" width="10" style="578" customWidth="1"/>
    <col min="7423" max="7423" width="16.09765625" style="578" customWidth="1"/>
    <col min="7424" max="7424" width="10.8984375" style="578" customWidth="1"/>
    <col min="7425" max="7425" width="12" style="578" customWidth="1"/>
    <col min="7426" max="7426" width="18.8984375" style="578" customWidth="1"/>
    <col min="7427" max="7427" width="10.8984375" style="578" customWidth="1"/>
    <col min="7428" max="7428" width="16.19921875" style="578" bestFit="1" customWidth="1"/>
    <col min="7429" max="7429" width="12.3984375" style="578" bestFit="1" customWidth="1"/>
    <col min="7430" max="7430" width="10.8984375" style="578" customWidth="1"/>
    <col min="7431" max="7431" width="10" style="578" customWidth="1"/>
    <col min="7432" max="7432" width="17.5" style="578" customWidth="1"/>
    <col min="7433" max="7433" width="10.8984375" style="578" customWidth="1"/>
    <col min="7434" max="7434" width="16" style="578" customWidth="1"/>
    <col min="7435" max="7435" width="12.3984375" style="578" bestFit="1" customWidth="1"/>
    <col min="7436" max="7652" width="11" style="578"/>
    <col min="7653" max="7653" width="32.69921875" style="578" customWidth="1"/>
    <col min="7654" max="7654" width="14.5" style="578" customWidth="1"/>
    <col min="7655" max="7655" width="15.59765625" style="578" bestFit="1" customWidth="1"/>
    <col min="7656" max="7656" width="15.5" style="578" customWidth="1"/>
    <col min="7657" max="7657" width="15.59765625" style="578" customWidth="1"/>
    <col min="7658" max="7658" width="15.59765625" style="578" bestFit="1" customWidth="1"/>
    <col min="7659" max="7659" width="15.8984375" style="578" customWidth="1"/>
    <col min="7660" max="7660" width="14.8984375" style="578" customWidth="1"/>
    <col min="7661" max="7661" width="14.5" style="578" customWidth="1"/>
    <col min="7662" max="7662" width="15.8984375" style="578" customWidth="1"/>
    <col min="7663" max="7663" width="12" style="578" bestFit="1" customWidth="1"/>
    <col min="7664" max="7664" width="18.59765625" style="578" customWidth="1"/>
    <col min="7665" max="7665" width="15.09765625" style="578" customWidth="1"/>
    <col min="7666" max="7666" width="15.59765625" style="578" bestFit="1" customWidth="1"/>
    <col min="7667" max="7667" width="16.3984375" style="578" customWidth="1"/>
    <col min="7668" max="7668" width="13.8984375" style="578" customWidth="1"/>
    <col min="7669" max="7669" width="18.59765625" style="578" customWidth="1"/>
    <col min="7670" max="7670" width="3" style="578" customWidth="1"/>
    <col min="7671" max="7671" width="4" style="578" customWidth="1"/>
    <col min="7672" max="7672" width="24.5" style="578" customWidth="1"/>
    <col min="7673" max="7673" width="8.8984375" style="578" customWidth="1"/>
    <col min="7674" max="7674" width="10.8984375" style="578" customWidth="1"/>
    <col min="7675" max="7675" width="10" style="578" customWidth="1"/>
    <col min="7676" max="7676" width="17.3984375" style="578" customWidth="1"/>
    <col min="7677" max="7677" width="10.8984375" style="578" customWidth="1"/>
    <col min="7678" max="7678" width="10" style="578" customWidth="1"/>
    <col min="7679" max="7679" width="16.09765625" style="578" customWidth="1"/>
    <col min="7680" max="7680" width="10.8984375" style="578" customWidth="1"/>
    <col min="7681" max="7681" width="12" style="578" customWidth="1"/>
    <col min="7682" max="7682" width="18.8984375" style="578" customWidth="1"/>
    <col min="7683" max="7683" width="10.8984375" style="578" customWidth="1"/>
    <col min="7684" max="7684" width="16.19921875" style="578" bestFit="1" customWidth="1"/>
    <col min="7685" max="7685" width="12.3984375" style="578" bestFit="1" customWidth="1"/>
    <col min="7686" max="7686" width="10.8984375" style="578" customWidth="1"/>
    <col min="7687" max="7687" width="10" style="578" customWidth="1"/>
    <col min="7688" max="7688" width="17.5" style="578" customWidth="1"/>
    <col min="7689" max="7689" width="10.8984375" style="578" customWidth="1"/>
    <col min="7690" max="7690" width="16" style="578" customWidth="1"/>
    <col min="7691" max="7691" width="12.3984375" style="578" bestFit="1" customWidth="1"/>
    <col min="7692" max="7908" width="11" style="578"/>
    <col min="7909" max="7909" width="32.69921875" style="578" customWidth="1"/>
    <col min="7910" max="7910" width="14.5" style="578" customWidth="1"/>
    <col min="7911" max="7911" width="15.59765625" style="578" bestFit="1" customWidth="1"/>
    <col min="7912" max="7912" width="15.5" style="578" customWidth="1"/>
    <col min="7913" max="7913" width="15.59765625" style="578" customWidth="1"/>
    <col min="7914" max="7914" width="15.59765625" style="578" bestFit="1" customWidth="1"/>
    <col min="7915" max="7915" width="15.8984375" style="578" customWidth="1"/>
    <col min="7916" max="7916" width="14.8984375" style="578" customWidth="1"/>
    <col min="7917" max="7917" width="14.5" style="578" customWidth="1"/>
    <col min="7918" max="7918" width="15.8984375" style="578" customWidth="1"/>
    <col min="7919" max="7919" width="12" style="578" bestFit="1" customWidth="1"/>
    <col min="7920" max="7920" width="18.59765625" style="578" customWidth="1"/>
    <col min="7921" max="7921" width="15.09765625" style="578" customWidth="1"/>
    <col min="7922" max="7922" width="15.59765625" style="578" bestFit="1" customWidth="1"/>
    <col min="7923" max="7923" width="16.3984375" style="578" customWidth="1"/>
    <col min="7924" max="7924" width="13.8984375" style="578" customWidth="1"/>
    <col min="7925" max="7925" width="18.59765625" style="578" customWidth="1"/>
    <col min="7926" max="7926" width="3" style="578" customWidth="1"/>
    <col min="7927" max="7927" width="4" style="578" customWidth="1"/>
    <col min="7928" max="7928" width="24.5" style="578" customWidth="1"/>
    <col min="7929" max="7929" width="8.8984375" style="578" customWidth="1"/>
    <col min="7930" max="7930" width="10.8984375" style="578" customWidth="1"/>
    <col min="7931" max="7931" width="10" style="578" customWidth="1"/>
    <col min="7932" max="7932" width="17.3984375" style="578" customWidth="1"/>
    <col min="7933" max="7933" width="10.8984375" style="578" customWidth="1"/>
    <col min="7934" max="7934" width="10" style="578" customWidth="1"/>
    <col min="7935" max="7935" width="16.09765625" style="578" customWidth="1"/>
    <col min="7936" max="7936" width="10.8984375" style="578" customWidth="1"/>
    <col min="7937" max="7937" width="12" style="578" customWidth="1"/>
    <col min="7938" max="7938" width="18.8984375" style="578" customWidth="1"/>
    <col min="7939" max="7939" width="10.8984375" style="578" customWidth="1"/>
    <col min="7940" max="7940" width="16.19921875" style="578" bestFit="1" customWidth="1"/>
    <col min="7941" max="7941" width="12.3984375" style="578" bestFit="1" customWidth="1"/>
    <col min="7942" max="7942" width="10.8984375" style="578" customWidth="1"/>
    <col min="7943" max="7943" width="10" style="578" customWidth="1"/>
    <col min="7944" max="7944" width="17.5" style="578" customWidth="1"/>
    <col min="7945" max="7945" width="10.8984375" style="578" customWidth="1"/>
    <col min="7946" max="7946" width="16" style="578" customWidth="1"/>
    <col min="7947" max="7947" width="12.3984375" style="578" bestFit="1" customWidth="1"/>
    <col min="7948" max="8164" width="11" style="578"/>
    <col min="8165" max="8165" width="32.69921875" style="578" customWidth="1"/>
    <col min="8166" max="8166" width="14.5" style="578" customWidth="1"/>
    <col min="8167" max="8167" width="15.59765625" style="578" bestFit="1" customWidth="1"/>
    <col min="8168" max="8168" width="15.5" style="578" customWidth="1"/>
    <col min="8169" max="8169" width="15.59765625" style="578" customWidth="1"/>
    <col min="8170" max="8170" width="15.59765625" style="578" bestFit="1" customWidth="1"/>
    <col min="8171" max="8171" width="15.8984375" style="578" customWidth="1"/>
    <col min="8172" max="8172" width="14.8984375" style="578" customWidth="1"/>
    <col min="8173" max="8173" width="14.5" style="578" customWidth="1"/>
    <col min="8174" max="8174" width="15.8984375" style="578" customWidth="1"/>
    <col min="8175" max="8175" width="12" style="578" bestFit="1" customWidth="1"/>
    <col min="8176" max="8176" width="18.59765625" style="578" customWidth="1"/>
    <col min="8177" max="8177" width="15.09765625" style="578" customWidth="1"/>
    <col min="8178" max="8178" width="15.59765625" style="578" bestFit="1" customWidth="1"/>
    <col min="8179" max="8179" width="16.3984375" style="578" customWidth="1"/>
    <col min="8180" max="8180" width="13.8984375" style="578" customWidth="1"/>
    <col min="8181" max="8181" width="18.59765625" style="578" customWidth="1"/>
    <col min="8182" max="8182" width="3" style="578" customWidth="1"/>
    <col min="8183" max="8183" width="4" style="578" customWidth="1"/>
    <col min="8184" max="8184" width="24.5" style="578" customWidth="1"/>
    <col min="8185" max="8185" width="8.8984375" style="578" customWidth="1"/>
    <col min="8186" max="8186" width="10.8984375" style="578" customWidth="1"/>
    <col min="8187" max="8187" width="10" style="578" customWidth="1"/>
    <col min="8188" max="8188" width="17.3984375" style="578" customWidth="1"/>
    <col min="8189" max="8189" width="10.8984375" style="578" customWidth="1"/>
    <col min="8190" max="8190" width="10" style="578" customWidth="1"/>
    <col min="8191" max="8191" width="16.09765625" style="578" customWidth="1"/>
    <col min="8192" max="8192" width="10.8984375" style="578" customWidth="1"/>
    <col min="8193" max="8193" width="12" style="578" customWidth="1"/>
    <col min="8194" max="8194" width="18.8984375" style="578" customWidth="1"/>
    <col min="8195" max="8195" width="10.8984375" style="578" customWidth="1"/>
    <col min="8196" max="8196" width="16.19921875" style="578" bestFit="1" customWidth="1"/>
    <col min="8197" max="8197" width="12.3984375" style="578" bestFit="1" customWidth="1"/>
    <col min="8198" max="8198" width="10.8984375" style="578" customWidth="1"/>
    <col min="8199" max="8199" width="10" style="578" customWidth="1"/>
    <col min="8200" max="8200" width="17.5" style="578" customWidth="1"/>
    <col min="8201" max="8201" width="10.8984375" style="578" customWidth="1"/>
    <col min="8202" max="8202" width="16" style="578" customWidth="1"/>
    <col min="8203" max="8203" width="12.3984375" style="578" bestFit="1" customWidth="1"/>
    <col min="8204" max="8420" width="11" style="578"/>
    <col min="8421" max="8421" width="32.69921875" style="578" customWidth="1"/>
    <col min="8422" max="8422" width="14.5" style="578" customWidth="1"/>
    <col min="8423" max="8423" width="15.59765625" style="578" bestFit="1" customWidth="1"/>
    <col min="8424" max="8424" width="15.5" style="578" customWidth="1"/>
    <col min="8425" max="8425" width="15.59765625" style="578" customWidth="1"/>
    <col min="8426" max="8426" width="15.59765625" style="578" bestFit="1" customWidth="1"/>
    <col min="8427" max="8427" width="15.8984375" style="578" customWidth="1"/>
    <col min="8428" max="8428" width="14.8984375" style="578" customWidth="1"/>
    <col min="8429" max="8429" width="14.5" style="578" customWidth="1"/>
    <col min="8430" max="8430" width="15.8984375" style="578" customWidth="1"/>
    <col min="8431" max="8431" width="12" style="578" bestFit="1" customWidth="1"/>
    <col min="8432" max="8432" width="18.59765625" style="578" customWidth="1"/>
    <col min="8433" max="8433" width="15.09765625" style="578" customWidth="1"/>
    <col min="8434" max="8434" width="15.59765625" style="578" bestFit="1" customWidth="1"/>
    <col min="8435" max="8435" width="16.3984375" style="578" customWidth="1"/>
    <col min="8436" max="8436" width="13.8984375" style="578" customWidth="1"/>
    <col min="8437" max="8437" width="18.59765625" style="578" customWidth="1"/>
    <col min="8438" max="8438" width="3" style="578" customWidth="1"/>
    <col min="8439" max="8439" width="4" style="578" customWidth="1"/>
    <col min="8440" max="8440" width="24.5" style="578" customWidth="1"/>
    <col min="8441" max="8441" width="8.8984375" style="578" customWidth="1"/>
    <col min="8442" max="8442" width="10.8984375" style="578" customWidth="1"/>
    <col min="8443" max="8443" width="10" style="578" customWidth="1"/>
    <col min="8444" max="8444" width="17.3984375" style="578" customWidth="1"/>
    <col min="8445" max="8445" width="10.8984375" style="578" customWidth="1"/>
    <col min="8446" max="8446" width="10" style="578" customWidth="1"/>
    <col min="8447" max="8447" width="16.09765625" style="578" customWidth="1"/>
    <col min="8448" max="8448" width="10.8984375" style="578" customWidth="1"/>
    <col min="8449" max="8449" width="12" style="578" customWidth="1"/>
    <col min="8450" max="8450" width="18.8984375" style="578" customWidth="1"/>
    <col min="8451" max="8451" width="10.8984375" style="578" customWidth="1"/>
    <col min="8452" max="8452" width="16.19921875" style="578" bestFit="1" customWidth="1"/>
    <col min="8453" max="8453" width="12.3984375" style="578" bestFit="1" customWidth="1"/>
    <col min="8454" max="8454" width="10.8984375" style="578" customWidth="1"/>
    <col min="8455" max="8455" width="10" style="578" customWidth="1"/>
    <col min="8456" max="8456" width="17.5" style="578" customWidth="1"/>
    <col min="8457" max="8457" width="10.8984375" style="578" customWidth="1"/>
    <col min="8458" max="8458" width="16" style="578" customWidth="1"/>
    <col min="8459" max="8459" width="12.3984375" style="578" bestFit="1" customWidth="1"/>
    <col min="8460" max="8676" width="11" style="578"/>
    <col min="8677" max="8677" width="32.69921875" style="578" customWidth="1"/>
    <col min="8678" max="8678" width="14.5" style="578" customWidth="1"/>
    <col min="8679" max="8679" width="15.59765625" style="578" bestFit="1" customWidth="1"/>
    <col min="8680" max="8680" width="15.5" style="578" customWidth="1"/>
    <col min="8681" max="8681" width="15.59765625" style="578" customWidth="1"/>
    <col min="8682" max="8682" width="15.59765625" style="578" bestFit="1" customWidth="1"/>
    <col min="8683" max="8683" width="15.8984375" style="578" customWidth="1"/>
    <col min="8684" max="8684" width="14.8984375" style="578" customWidth="1"/>
    <col min="8685" max="8685" width="14.5" style="578" customWidth="1"/>
    <col min="8686" max="8686" width="15.8984375" style="578" customWidth="1"/>
    <col min="8687" max="8687" width="12" style="578" bestFit="1" customWidth="1"/>
    <col min="8688" max="8688" width="18.59765625" style="578" customWidth="1"/>
    <col min="8689" max="8689" width="15.09765625" style="578" customWidth="1"/>
    <col min="8690" max="8690" width="15.59765625" style="578" bestFit="1" customWidth="1"/>
    <col min="8691" max="8691" width="16.3984375" style="578" customWidth="1"/>
    <col min="8692" max="8692" width="13.8984375" style="578" customWidth="1"/>
    <col min="8693" max="8693" width="18.59765625" style="578" customWidth="1"/>
    <col min="8694" max="8694" width="3" style="578" customWidth="1"/>
    <col min="8695" max="8695" width="4" style="578" customWidth="1"/>
    <col min="8696" max="8696" width="24.5" style="578" customWidth="1"/>
    <col min="8697" max="8697" width="8.8984375" style="578" customWidth="1"/>
    <col min="8698" max="8698" width="10.8984375" style="578" customWidth="1"/>
    <col min="8699" max="8699" width="10" style="578" customWidth="1"/>
    <col min="8700" max="8700" width="17.3984375" style="578" customWidth="1"/>
    <col min="8701" max="8701" width="10.8984375" style="578" customWidth="1"/>
    <col min="8702" max="8702" width="10" style="578" customWidth="1"/>
    <col min="8703" max="8703" width="16.09765625" style="578" customWidth="1"/>
    <col min="8704" max="8704" width="10.8984375" style="578" customWidth="1"/>
    <col min="8705" max="8705" width="12" style="578" customWidth="1"/>
    <col min="8706" max="8706" width="18.8984375" style="578" customWidth="1"/>
    <col min="8707" max="8707" width="10.8984375" style="578" customWidth="1"/>
    <col min="8708" max="8708" width="16.19921875" style="578" bestFit="1" customWidth="1"/>
    <col min="8709" max="8709" width="12.3984375" style="578" bestFit="1" customWidth="1"/>
    <col min="8710" max="8710" width="10.8984375" style="578" customWidth="1"/>
    <col min="8711" max="8711" width="10" style="578" customWidth="1"/>
    <col min="8712" max="8712" width="17.5" style="578" customWidth="1"/>
    <col min="8713" max="8713" width="10.8984375" style="578" customWidth="1"/>
    <col min="8714" max="8714" width="16" style="578" customWidth="1"/>
    <col min="8715" max="8715" width="12.3984375" style="578" bestFit="1" customWidth="1"/>
    <col min="8716" max="8932" width="11" style="578"/>
    <col min="8933" max="8933" width="32.69921875" style="578" customWidth="1"/>
    <col min="8934" max="8934" width="14.5" style="578" customWidth="1"/>
    <col min="8935" max="8935" width="15.59765625" style="578" bestFit="1" customWidth="1"/>
    <col min="8936" max="8936" width="15.5" style="578" customWidth="1"/>
    <col min="8937" max="8937" width="15.59765625" style="578" customWidth="1"/>
    <col min="8938" max="8938" width="15.59765625" style="578" bestFit="1" customWidth="1"/>
    <col min="8939" max="8939" width="15.8984375" style="578" customWidth="1"/>
    <col min="8940" max="8940" width="14.8984375" style="578" customWidth="1"/>
    <col min="8941" max="8941" width="14.5" style="578" customWidth="1"/>
    <col min="8942" max="8942" width="15.8984375" style="578" customWidth="1"/>
    <col min="8943" max="8943" width="12" style="578" bestFit="1" customWidth="1"/>
    <col min="8944" max="8944" width="18.59765625" style="578" customWidth="1"/>
    <col min="8945" max="8945" width="15.09765625" style="578" customWidth="1"/>
    <col min="8946" max="8946" width="15.59765625" style="578" bestFit="1" customWidth="1"/>
    <col min="8947" max="8947" width="16.3984375" style="578" customWidth="1"/>
    <col min="8948" max="8948" width="13.8984375" style="578" customWidth="1"/>
    <col min="8949" max="8949" width="18.59765625" style="578" customWidth="1"/>
    <col min="8950" max="8950" width="3" style="578" customWidth="1"/>
    <col min="8951" max="8951" width="4" style="578" customWidth="1"/>
    <col min="8952" max="8952" width="24.5" style="578" customWidth="1"/>
    <col min="8953" max="8953" width="8.8984375" style="578" customWidth="1"/>
    <col min="8954" max="8954" width="10.8984375" style="578" customWidth="1"/>
    <col min="8955" max="8955" width="10" style="578" customWidth="1"/>
    <col min="8956" max="8956" width="17.3984375" style="578" customWidth="1"/>
    <col min="8957" max="8957" width="10.8984375" style="578" customWidth="1"/>
    <col min="8958" max="8958" width="10" style="578" customWidth="1"/>
    <col min="8959" max="8959" width="16.09765625" style="578" customWidth="1"/>
    <col min="8960" max="8960" width="10.8984375" style="578" customWidth="1"/>
    <col min="8961" max="8961" width="12" style="578" customWidth="1"/>
    <col min="8962" max="8962" width="18.8984375" style="578" customWidth="1"/>
    <col min="8963" max="8963" width="10.8984375" style="578" customWidth="1"/>
    <col min="8964" max="8964" width="16.19921875" style="578" bestFit="1" customWidth="1"/>
    <col min="8965" max="8965" width="12.3984375" style="578" bestFit="1" customWidth="1"/>
    <col min="8966" max="8966" width="10.8984375" style="578" customWidth="1"/>
    <col min="8967" max="8967" width="10" style="578" customWidth="1"/>
    <col min="8968" max="8968" width="17.5" style="578" customWidth="1"/>
    <col min="8969" max="8969" width="10.8984375" style="578" customWidth="1"/>
    <col min="8970" max="8970" width="16" style="578" customWidth="1"/>
    <col min="8971" max="8971" width="12.3984375" style="578" bestFit="1" customWidth="1"/>
    <col min="8972" max="9188" width="11" style="578"/>
    <col min="9189" max="9189" width="32.69921875" style="578" customWidth="1"/>
    <col min="9190" max="9190" width="14.5" style="578" customWidth="1"/>
    <col min="9191" max="9191" width="15.59765625" style="578" bestFit="1" customWidth="1"/>
    <col min="9192" max="9192" width="15.5" style="578" customWidth="1"/>
    <col min="9193" max="9193" width="15.59765625" style="578" customWidth="1"/>
    <col min="9194" max="9194" width="15.59765625" style="578" bestFit="1" customWidth="1"/>
    <col min="9195" max="9195" width="15.8984375" style="578" customWidth="1"/>
    <col min="9196" max="9196" width="14.8984375" style="578" customWidth="1"/>
    <col min="9197" max="9197" width="14.5" style="578" customWidth="1"/>
    <col min="9198" max="9198" width="15.8984375" style="578" customWidth="1"/>
    <col min="9199" max="9199" width="12" style="578" bestFit="1" customWidth="1"/>
    <col min="9200" max="9200" width="18.59765625" style="578" customWidth="1"/>
    <col min="9201" max="9201" width="15.09765625" style="578" customWidth="1"/>
    <col min="9202" max="9202" width="15.59765625" style="578" bestFit="1" customWidth="1"/>
    <col min="9203" max="9203" width="16.3984375" style="578" customWidth="1"/>
    <col min="9204" max="9204" width="13.8984375" style="578" customWidth="1"/>
    <col min="9205" max="9205" width="18.59765625" style="578" customWidth="1"/>
    <col min="9206" max="9206" width="3" style="578" customWidth="1"/>
    <col min="9207" max="9207" width="4" style="578" customWidth="1"/>
    <col min="9208" max="9208" width="24.5" style="578" customWidth="1"/>
    <col min="9209" max="9209" width="8.8984375" style="578" customWidth="1"/>
    <col min="9210" max="9210" width="10.8984375" style="578" customWidth="1"/>
    <col min="9211" max="9211" width="10" style="578" customWidth="1"/>
    <col min="9212" max="9212" width="17.3984375" style="578" customWidth="1"/>
    <col min="9213" max="9213" width="10.8984375" style="578" customWidth="1"/>
    <col min="9214" max="9214" width="10" style="578" customWidth="1"/>
    <col min="9215" max="9215" width="16.09765625" style="578" customWidth="1"/>
    <col min="9216" max="9216" width="10.8984375" style="578" customWidth="1"/>
    <col min="9217" max="9217" width="12" style="578" customWidth="1"/>
    <col min="9218" max="9218" width="18.8984375" style="578" customWidth="1"/>
    <col min="9219" max="9219" width="10.8984375" style="578" customWidth="1"/>
    <col min="9220" max="9220" width="16.19921875" style="578" bestFit="1" customWidth="1"/>
    <col min="9221" max="9221" width="12.3984375" style="578" bestFit="1" customWidth="1"/>
    <col min="9222" max="9222" width="10.8984375" style="578" customWidth="1"/>
    <col min="9223" max="9223" width="10" style="578" customWidth="1"/>
    <col min="9224" max="9224" width="17.5" style="578" customWidth="1"/>
    <col min="9225" max="9225" width="10.8984375" style="578" customWidth="1"/>
    <col min="9226" max="9226" width="16" style="578" customWidth="1"/>
    <col min="9227" max="9227" width="12.3984375" style="578" bestFit="1" customWidth="1"/>
    <col min="9228" max="9444" width="11" style="578"/>
    <col min="9445" max="9445" width="32.69921875" style="578" customWidth="1"/>
    <col min="9446" max="9446" width="14.5" style="578" customWidth="1"/>
    <col min="9447" max="9447" width="15.59765625" style="578" bestFit="1" customWidth="1"/>
    <col min="9448" max="9448" width="15.5" style="578" customWidth="1"/>
    <col min="9449" max="9449" width="15.59765625" style="578" customWidth="1"/>
    <col min="9450" max="9450" width="15.59765625" style="578" bestFit="1" customWidth="1"/>
    <col min="9451" max="9451" width="15.8984375" style="578" customWidth="1"/>
    <col min="9452" max="9452" width="14.8984375" style="578" customWidth="1"/>
    <col min="9453" max="9453" width="14.5" style="578" customWidth="1"/>
    <col min="9454" max="9454" width="15.8984375" style="578" customWidth="1"/>
    <col min="9455" max="9455" width="12" style="578" bestFit="1" customWidth="1"/>
    <col min="9456" max="9456" width="18.59765625" style="578" customWidth="1"/>
    <col min="9457" max="9457" width="15.09765625" style="578" customWidth="1"/>
    <col min="9458" max="9458" width="15.59765625" style="578" bestFit="1" customWidth="1"/>
    <col min="9459" max="9459" width="16.3984375" style="578" customWidth="1"/>
    <col min="9460" max="9460" width="13.8984375" style="578" customWidth="1"/>
    <col min="9461" max="9461" width="18.59765625" style="578" customWidth="1"/>
    <col min="9462" max="9462" width="3" style="578" customWidth="1"/>
    <col min="9463" max="9463" width="4" style="578" customWidth="1"/>
    <col min="9464" max="9464" width="24.5" style="578" customWidth="1"/>
    <col min="9465" max="9465" width="8.8984375" style="578" customWidth="1"/>
    <col min="9466" max="9466" width="10.8984375" style="578" customWidth="1"/>
    <col min="9467" max="9467" width="10" style="578" customWidth="1"/>
    <col min="9468" max="9468" width="17.3984375" style="578" customWidth="1"/>
    <col min="9469" max="9469" width="10.8984375" style="578" customWidth="1"/>
    <col min="9470" max="9470" width="10" style="578" customWidth="1"/>
    <col min="9471" max="9471" width="16.09765625" style="578" customWidth="1"/>
    <col min="9472" max="9472" width="10.8984375" style="578" customWidth="1"/>
    <col min="9473" max="9473" width="12" style="578" customWidth="1"/>
    <col min="9474" max="9474" width="18.8984375" style="578" customWidth="1"/>
    <col min="9475" max="9475" width="10.8984375" style="578" customWidth="1"/>
    <col min="9476" max="9476" width="16.19921875" style="578" bestFit="1" customWidth="1"/>
    <col min="9477" max="9477" width="12.3984375" style="578" bestFit="1" customWidth="1"/>
    <col min="9478" max="9478" width="10.8984375" style="578" customWidth="1"/>
    <col min="9479" max="9479" width="10" style="578" customWidth="1"/>
    <col min="9480" max="9480" width="17.5" style="578" customWidth="1"/>
    <col min="9481" max="9481" width="10.8984375" style="578" customWidth="1"/>
    <col min="9482" max="9482" width="16" style="578" customWidth="1"/>
    <col min="9483" max="9483" width="12.3984375" style="578" bestFit="1" customWidth="1"/>
    <col min="9484" max="9700" width="11" style="578"/>
    <col min="9701" max="9701" width="32.69921875" style="578" customWidth="1"/>
    <col min="9702" max="9702" width="14.5" style="578" customWidth="1"/>
    <col min="9703" max="9703" width="15.59765625" style="578" bestFit="1" customWidth="1"/>
    <col min="9704" max="9704" width="15.5" style="578" customWidth="1"/>
    <col min="9705" max="9705" width="15.59765625" style="578" customWidth="1"/>
    <col min="9706" max="9706" width="15.59765625" style="578" bestFit="1" customWidth="1"/>
    <col min="9707" max="9707" width="15.8984375" style="578" customWidth="1"/>
    <col min="9708" max="9708" width="14.8984375" style="578" customWidth="1"/>
    <col min="9709" max="9709" width="14.5" style="578" customWidth="1"/>
    <col min="9710" max="9710" width="15.8984375" style="578" customWidth="1"/>
    <col min="9711" max="9711" width="12" style="578" bestFit="1" customWidth="1"/>
    <col min="9712" max="9712" width="18.59765625" style="578" customWidth="1"/>
    <col min="9713" max="9713" width="15.09765625" style="578" customWidth="1"/>
    <col min="9714" max="9714" width="15.59765625" style="578" bestFit="1" customWidth="1"/>
    <col min="9715" max="9715" width="16.3984375" style="578" customWidth="1"/>
    <col min="9716" max="9716" width="13.8984375" style="578" customWidth="1"/>
    <col min="9717" max="9717" width="18.59765625" style="578" customWidth="1"/>
    <col min="9718" max="9718" width="3" style="578" customWidth="1"/>
    <col min="9719" max="9719" width="4" style="578" customWidth="1"/>
    <col min="9720" max="9720" width="24.5" style="578" customWidth="1"/>
    <col min="9721" max="9721" width="8.8984375" style="578" customWidth="1"/>
    <col min="9722" max="9722" width="10.8984375" style="578" customWidth="1"/>
    <col min="9723" max="9723" width="10" style="578" customWidth="1"/>
    <col min="9724" max="9724" width="17.3984375" style="578" customWidth="1"/>
    <col min="9725" max="9725" width="10.8984375" style="578" customWidth="1"/>
    <col min="9726" max="9726" width="10" style="578" customWidth="1"/>
    <col min="9727" max="9727" width="16.09765625" style="578" customWidth="1"/>
    <col min="9728" max="9728" width="10.8984375" style="578" customWidth="1"/>
    <col min="9729" max="9729" width="12" style="578" customWidth="1"/>
    <col min="9730" max="9730" width="18.8984375" style="578" customWidth="1"/>
    <col min="9731" max="9731" width="10.8984375" style="578" customWidth="1"/>
    <col min="9732" max="9732" width="16.19921875" style="578" bestFit="1" customWidth="1"/>
    <col min="9733" max="9733" width="12.3984375" style="578" bestFit="1" customWidth="1"/>
    <col min="9734" max="9734" width="10.8984375" style="578" customWidth="1"/>
    <col min="9735" max="9735" width="10" style="578" customWidth="1"/>
    <col min="9736" max="9736" width="17.5" style="578" customWidth="1"/>
    <col min="9737" max="9737" width="10.8984375" style="578" customWidth="1"/>
    <col min="9738" max="9738" width="16" style="578" customWidth="1"/>
    <col min="9739" max="9739" width="12.3984375" style="578" bestFit="1" customWidth="1"/>
    <col min="9740" max="9956" width="11" style="578"/>
    <col min="9957" max="9957" width="32.69921875" style="578" customWidth="1"/>
    <col min="9958" max="9958" width="14.5" style="578" customWidth="1"/>
    <col min="9959" max="9959" width="15.59765625" style="578" bestFit="1" customWidth="1"/>
    <col min="9960" max="9960" width="15.5" style="578" customWidth="1"/>
    <col min="9961" max="9961" width="15.59765625" style="578" customWidth="1"/>
    <col min="9962" max="9962" width="15.59765625" style="578" bestFit="1" customWidth="1"/>
    <col min="9963" max="9963" width="15.8984375" style="578" customWidth="1"/>
    <col min="9964" max="9964" width="14.8984375" style="578" customWidth="1"/>
    <col min="9965" max="9965" width="14.5" style="578" customWidth="1"/>
    <col min="9966" max="9966" width="15.8984375" style="578" customWidth="1"/>
    <col min="9967" max="9967" width="12" style="578" bestFit="1" customWidth="1"/>
    <col min="9968" max="9968" width="18.59765625" style="578" customWidth="1"/>
    <col min="9969" max="9969" width="15.09765625" style="578" customWidth="1"/>
    <col min="9970" max="9970" width="15.59765625" style="578" bestFit="1" customWidth="1"/>
    <col min="9971" max="9971" width="16.3984375" style="578" customWidth="1"/>
    <col min="9972" max="9972" width="13.8984375" style="578" customWidth="1"/>
    <col min="9973" max="9973" width="18.59765625" style="578" customWidth="1"/>
    <col min="9974" max="9974" width="3" style="578" customWidth="1"/>
    <col min="9975" max="9975" width="4" style="578" customWidth="1"/>
    <col min="9976" max="9976" width="24.5" style="578" customWidth="1"/>
    <col min="9977" max="9977" width="8.8984375" style="578" customWidth="1"/>
    <col min="9978" max="9978" width="10.8984375" style="578" customWidth="1"/>
    <col min="9979" max="9979" width="10" style="578" customWidth="1"/>
    <col min="9980" max="9980" width="17.3984375" style="578" customWidth="1"/>
    <col min="9981" max="9981" width="10.8984375" style="578" customWidth="1"/>
    <col min="9982" max="9982" width="10" style="578" customWidth="1"/>
    <col min="9983" max="9983" width="16.09765625" style="578" customWidth="1"/>
    <col min="9984" max="9984" width="10.8984375" style="578" customWidth="1"/>
    <col min="9985" max="9985" width="12" style="578" customWidth="1"/>
    <col min="9986" max="9986" width="18.8984375" style="578" customWidth="1"/>
    <col min="9987" max="9987" width="10.8984375" style="578" customWidth="1"/>
    <col min="9988" max="9988" width="16.19921875" style="578" bestFit="1" customWidth="1"/>
    <col min="9989" max="9989" width="12.3984375" style="578" bestFit="1" customWidth="1"/>
    <col min="9990" max="9990" width="10.8984375" style="578" customWidth="1"/>
    <col min="9991" max="9991" width="10" style="578" customWidth="1"/>
    <col min="9992" max="9992" width="17.5" style="578" customWidth="1"/>
    <col min="9993" max="9993" width="10.8984375" style="578" customWidth="1"/>
    <col min="9994" max="9994" width="16" style="578" customWidth="1"/>
    <col min="9995" max="9995" width="12.3984375" style="578" bestFit="1" customWidth="1"/>
    <col min="9996" max="10212" width="11" style="578"/>
    <col min="10213" max="10213" width="32.69921875" style="578" customWidth="1"/>
    <col min="10214" max="10214" width="14.5" style="578" customWidth="1"/>
    <col min="10215" max="10215" width="15.59765625" style="578" bestFit="1" customWidth="1"/>
    <col min="10216" max="10216" width="15.5" style="578" customWidth="1"/>
    <col min="10217" max="10217" width="15.59765625" style="578" customWidth="1"/>
    <col min="10218" max="10218" width="15.59765625" style="578" bestFit="1" customWidth="1"/>
    <col min="10219" max="10219" width="15.8984375" style="578" customWidth="1"/>
    <col min="10220" max="10220" width="14.8984375" style="578" customWidth="1"/>
    <col min="10221" max="10221" width="14.5" style="578" customWidth="1"/>
    <col min="10222" max="10222" width="15.8984375" style="578" customWidth="1"/>
    <col min="10223" max="10223" width="12" style="578" bestFit="1" customWidth="1"/>
    <col min="10224" max="10224" width="18.59765625" style="578" customWidth="1"/>
    <col min="10225" max="10225" width="15.09765625" style="578" customWidth="1"/>
    <col min="10226" max="10226" width="15.59765625" style="578" bestFit="1" customWidth="1"/>
    <col min="10227" max="10227" width="16.3984375" style="578" customWidth="1"/>
    <col min="10228" max="10228" width="13.8984375" style="578" customWidth="1"/>
    <col min="10229" max="10229" width="18.59765625" style="578" customWidth="1"/>
    <col min="10230" max="10230" width="3" style="578" customWidth="1"/>
    <col min="10231" max="10231" width="4" style="578" customWidth="1"/>
    <col min="10232" max="10232" width="24.5" style="578" customWidth="1"/>
    <col min="10233" max="10233" width="8.8984375" style="578" customWidth="1"/>
    <col min="10234" max="10234" width="10.8984375" style="578" customWidth="1"/>
    <col min="10235" max="10235" width="10" style="578" customWidth="1"/>
    <col min="10236" max="10236" width="17.3984375" style="578" customWidth="1"/>
    <col min="10237" max="10237" width="10.8984375" style="578" customWidth="1"/>
    <col min="10238" max="10238" width="10" style="578" customWidth="1"/>
    <col min="10239" max="10239" width="16.09765625" style="578" customWidth="1"/>
    <col min="10240" max="10240" width="10.8984375" style="578" customWidth="1"/>
    <col min="10241" max="10241" width="12" style="578" customWidth="1"/>
    <col min="10242" max="10242" width="18.8984375" style="578" customWidth="1"/>
    <col min="10243" max="10243" width="10.8984375" style="578" customWidth="1"/>
    <col min="10244" max="10244" width="16.19921875" style="578" bestFit="1" customWidth="1"/>
    <col min="10245" max="10245" width="12.3984375" style="578" bestFit="1" customWidth="1"/>
    <col min="10246" max="10246" width="10.8984375" style="578" customWidth="1"/>
    <col min="10247" max="10247" width="10" style="578" customWidth="1"/>
    <col min="10248" max="10248" width="17.5" style="578" customWidth="1"/>
    <col min="10249" max="10249" width="10.8984375" style="578" customWidth="1"/>
    <col min="10250" max="10250" width="16" style="578" customWidth="1"/>
    <col min="10251" max="10251" width="12.3984375" style="578" bestFit="1" customWidth="1"/>
    <col min="10252" max="10468" width="11" style="578"/>
    <col min="10469" max="10469" width="32.69921875" style="578" customWidth="1"/>
    <col min="10470" max="10470" width="14.5" style="578" customWidth="1"/>
    <col min="10471" max="10471" width="15.59765625" style="578" bestFit="1" customWidth="1"/>
    <col min="10472" max="10472" width="15.5" style="578" customWidth="1"/>
    <col min="10473" max="10473" width="15.59765625" style="578" customWidth="1"/>
    <col min="10474" max="10474" width="15.59765625" style="578" bestFit="1" customWidth="1"/>
    <col min="10475" max="10475" width="15.8984375" style="578" customWidth="1"/>
    <col min="10476" max="10476" width="14.8984375" style="578" customWidth="1"/>
    <col min="10477" max="10477" width="14.5" style="578" customWidth="1"/>
    <col min="10478" max="10478" width="15.8984375" style="578" customWidth="1"/>
    <col min="10479" max="10479" width="12" style="578" bestFit="1" customWidth="1"/>
    <col min="10480" max="10480" width="18.59765625" style="578" customWidth="1"/>
    <col min="10481" max="10481" width="15.09765625" style="578" customWidth="1"/>
    <col min="10482" max="10482" width="15.59765625" style="578" bestFit="1" customWidth="1"/>
    <col min="10483" max="10483" width="16.3984375" style="578" customWidth="1"/>
    <col min="10484" max="10484" width="13.8984375" style="578" customWidth="1"/>
    <col min="10485" max="10485" width="18.59765625" style="578" customWidth="1"/>
    <col min="10486" max="10486" width="3" style="578" customWidth="1"/>
    <col min="10487" max="10487" width="4" style="578" customWidth="1"/>
    <col min="10488" max="10488" width="24.5" style="578" customWidth="1"/>
    <col min="10489" max="10489" width="8.8984375" style="578" customWidth="1"/>
    <col min="10490" max="10490" width="10.8984375" style="578" customWidth="1"/>
    <col min="10491" max="10491" width="10" style="578" customWidth="1"/>
    <col min="10492" max="10492" width="17.3984375" style="578" customWidth="1"/>
    <col min="10493" max="10493" width="10.8984375" style="578" customWidth="1"/>
    <col min="10494" max="10494" width="10" style="578" customWidth="1"/>
    <col min="10495" max="10495" width="16.09765625" style="578" customWidth="1"/>
    <col min="10496" max="10496" width="10.8984375" style="578" customWidth="1"/>
    <col min="10497" max="10497" width="12" style="578" customWidth="1"/>
    <col min="10498" max="10498" width="18.8984375" style="578" customWidth="1"/>
    <col min="10499" max="10499" width="10.8984375" style="578" customWidth="1"/>
    <col min="10500" max="10500" width="16.19921875" style="578" bestFit="1" customWidth="1"/>
    <col min="10501" max="10501" width="12.3984375" style="578" bestFit="1" customWidth="1"/>
    <col min="10502" max="10502" width="10.8984375" style="578" customWidth="1"/>
    <col min="10503" max="10503" width="10" style="578" customWidth="1"/>
    <col min="10504" max="10504" width="17.5" style="578" customWidth="1"/>
    <col min="10505" max="10505" width="10.8984375" style="578" customWidth="1"/>
    <col min="10506" max="10506" width="16" style="578" customWidth="1"/>
    <col min="10507" max="10507" width="12.3984375" style="578" bestFit="1" customWidth="1"/>
    <col min="10508" max="10724" width="11" style="578"/>
    <col min="10725" max="10725" width="32.69921875" style="578" customWidth="1"/>
    <col min="10726" max="10726" width="14.5" style="578" customWidth="1"/>
    <col min="10727" max="10727" width="15.59765625" style="578" bestFit="1" customWidth="1"/>
    <col min="10728" max="10728" width="15.5" style="578" customWidth="1"/>
    <col min="10729" max="10729" width="15.59765625" style="578" customWidth="1"/>
    <col min="10730" max="10730" width="15.59765625" style="578" bestFit="1" customWidth="1"/>
    <col min="10731" max="10731" width="15.8984375" style="578" customWidth="1"/>
    <col min="10732" max="10732" width="14.8984375" style="578" customWidth="1"/>
    <col min="10733" max="10733" width="14.5" style="578" customWidth="1"/>
    <col min="10734" max="10734" width="15.8984375" style="578" customWidth="1"/>
    <col min="10735" max="10735" width="12" style="578" bestFit="1" customWidth="1"/>
    <col min="10736" max="10736" width="18.59765625" style="578" customWidth="1"/>
    <col min="10737" max="10737" width="15.09765625" style="578" customWidth="1"/>
    <col min="10738" max="10738" width="15.59765625" style="578" bestFit="1" customWidth="1"/>
    <col min="10739" max="10739" width="16.3984375" style="578" customWidth="1"/>
    <col min="10740" max="10740" width="13.8984375" style="578" customWidth="1"/>
    <col min="10741" max="10741" width="18.59765625" style="578" customWidth="1"/>
    <col min="10742" max="10742" width="3" style="578" customWidth="1"/>
    <col min="10743" max="10743" width="4" style="578" customWidth="1"/>
    <col min="10744" max="10744" width="24.5" style="578" customWidth="1"/>
    <col min="10745" max="10745" width="8.8984375" style="578" customWidth="1"/>
    <col min="10746" max="10746" width="10.8984375" style="578" customWidth="1"/>
    <col min="10747" max="10747" width="10" style="578" customWidth="1"/>
    <col min="10748" max="10748" width="17.3984375" style="578" customWidth="1"/>
    <col min="10749" max="10749" width="10.8984375" style="578" customWidth="1"/>
    <col min="10750" max="10750" width="10" style="578" customWidth="1"/>
    <col min="10751" max="10751" width="16.09765625" style="578" customWidth="1"/>
    <col min="10752" max="10752" width="10.8984375" style="578" customWidth="1"/>
    <col min="10753" max="10753" width="12" style="578" customWidth="1"/>
    <col min="10754" max="10754" width="18.8984375" style="578" customWidth="1"/>
    <col min="10755" max="10755" width="10.8984375" style="578" customWidth="1"/>
    <col min="10756" max="10756" width="16.19921875" style="578" bestFit="1" customWidth="1"/>
    <col min="10757" max="10757" width="12.3984375" style="578" bestFit="1" customWidth="1"/>
    <col min="10758" max="10758" width="10.8984375" style="578" customWidth="1"/>
    <col min="10759" max="10759" width="10" style="578" customWidth="1"/>
    <col min="10760" max="10760" width="17.5" style="578" customWidth="1"/>
    <col min="10761" max="10761" width="10.8984375" style="578" customWidth="1"/>
    <col min="10762" max="10762" width="16" style="578" customWidth="1"/>
    <col min="10763" max="10763" width="12.3984375" style="578" bestFit="1" customWidth="1"/>
    <col min="10764" max="10980" width="11" style="578"/>
    <col min="10981" max="10981" width="32.69921875" style="578" customWidth="1"/>
    <col min="10982" max="10982" width="14.5" style="578" customWidth="1"/>
    <col min="10983" max="10983" width="15.59765625" style="578" bestFit="1" customWidth="1"/>
    <col min="10984" max="10984" width="15.5" style="578" customWidth="1"/>
    <col min="10985" max="10985" width="15.59765625" style="578" customWidth="1"/>
    <col min="10986" max="10986" width="15.59765625" style="578" bestFit="1" customWidth="1"/>
    <col min="10987" max="10987" width="15.8984375" style="578" customWidth="1"/>
    <col min="10988" max="10988" width="14.8984375" style="578" customWidth="1"/>
    <col min="10989" max="10989" width="14.5" style="578" customWidth="1"/>
    <col min="10990" max="10990" width="15.8984375" style="578" customWidth="1"/>
    <col min="10991" max="10991" width="12" style="578" bestFit="1" customWidth="1"/>
    <col min="10992" max="10992" width="18.59765625" style="578" customWidth="1"/>
    <col min="10993" max="10993" width="15.09765625" style="578" customWidth="1"/>
    <col min="10994" max="10994" width="15.59765625" style="578" bestFit="1" customWidth="1"/>
    <col min="10995" max="10995" width="16.3984375" style="578" customWidth="1"/>
    <col min="10996" max="10996" width="13.8984375" style="578" customWidth="1"/>
    <col min="10997" max="10997" width="18.59765625" style="578" customWidth="1"/>
    <col min="10998" max="10998" width="3" style="578" customWidth="1"/>
    <col min="10999" max="10999" width="4" style="578" customWidth="1"/>
    <col min="11000" max="11000" width="24.5" style="578" customWidth="1"/>
    <col min="11001" max="11001" width="8.8984375" style="578" customWidth="1"/>
    <col min="11002" max="11002" width="10.8984375" style="578" customWidth="1"/>
    <col min="11003" max="11003" width="10" style="578" customWidth="1"/>
    <col min="11004" max="11004" width="17.3984375" style="578" customWidth="1"/>
    <col min="11005" max="11005" width="10.8984375" style="578" customWidth="1"/>
    <col min="11006" max="11006" width="10" style="578" customWidth="1"/>
    <col min="11007" max="11007" width="16.09765625" style="578" customWidth="1"/>
    <col min="11008" max="11008" width="10.8984375" style="578" customWidth="1"/>
    <col min="11009" max="11009" width="12" style="578" customWidth="1"/>
    <col min="11010" max="11010" width="18.8984375" style="578" customWidth="1"/>
    <col min="11011" max="11011" width="10.8984375" style="578" customWidth="1"/>
    <col min="11012" max="11012" width="16.19921875" style="578" bestFit="1" customWidth="1"/>
    <col min="11013" max="11013" width="12.3984375" style="578" bestFit="1" customWidth="1"/>
    <col min="11014" max="11014" width="10.8984375" style="578" customWidth="1"/>
    <col min="11015" max="11015" width="10" style="578" customWidth="1"/>
    <col min="11016" max="11016" width="17.5" style="578" customWidth="1"/>
    <col min="11017" max="11017" width="10.8984375" style="578" customWidth="1"/>
    <col min="11018" max="11018" width="16" style="578" customWidth="1"/>
    <col min="11019" max="11019" width="12.3984375" style="578" bestFit="1" customWidth="1"/>
    <col min="11020" max="11236" width="11" style="578"/>
    <col min="11237" max="11237" width="32.69921875" style="578" customWidth="1"/>
    <col min="11238" max="11238" width="14.5" style="578" customWidth="1"/>
    <col min="11239" max="11239" width="15.59765625" style="578" bestFit="1" customWidth="1"/>
    <col min="11240" max="11240" width="15.5" style="578" customWidth="1"/>
    <col min="11241" max="11241" width="15.59765625" style="578" customWidth="1"/>
    <col min="11242" max="11242" width="15.59765625" style="578" bestFit="1" customWidth="1"/>
    <col min="11243" max="11243" width="15.8984375" style="578" customWidth="1"/>
    <col min="11244" max="11244" width="14.8984375" style="578" customWidth="1"/>
    <col min="11245" max="11245" width="14.5" style="578" customWidth="1"/>
    <col min="11246" max="11246" width="15.8984375" style="578" customWidth="1"/>
    <col min="11247" max="11247" width="12" style="578" bestFit="1" customWidth="1"/>
    <col min="11248" max="11248" width="18.59765625" style="578" customWidth="1"/>
    <col min="11249" max="11249" width="15.09765625" style="578" customWidth="1"/>
    <col min="11250" max="11250" width="15.59765625" style="578" bestFit="1" customWidth="1"/>
    <col min="11251" max="11251" width="16.3984375" style="578" customWidth="1"/>
    <col min="11252" max="11252" width="13.8984375" style="578" customWidth="1"/>
    <col min="11253" max="11253" width="18.59765625" style="578" customWidth="1"/>
    <col min="11254" max="11254" width="3" style="578" customWidth="1"/>
    <col min="11255" max="11255" width="4" style="578" customWidth="1"/>
    <col min="11256" max="11256" width="24.5" style="578" customWidth="1"/>
    <col min="11257" max="11257" width="8.8984375" style="578" customWidth="1"/>
    <col min="11258" max="11258" width="10.8984375" style="578" customWidth="1"/>
    <col min="11259" max="11259" width="10" style="578" customWidth="1"/>
    <col min="11260" max="11260" width="17.3984375" style="578" customWidth="1"/>
    <col min="11261" max="11261" width="10.8984375" style="578" customWidth="1"/>
    <col min="11262" max="11262" width="10" style="578" customWidth="1"/>
    <col min="11263" max="11263" width="16.09765625" style="578" customWidth="1"/>
    <col min="11264" max="11264" width="10.8984375" style="578" customWidth="1"/>
    <col min="11265" max="11265" width="12" style="578" customWidth="1"/>
    <col min="11266" max="11266" width="18.8984375" style="578" customWidth="1"/>
    <col min="11267" max="11267" width="10.8984375" style="578" customWidth="1"/>
    <col min="11268" max="11268" width="16.19921875" style="578" bestFit="1" customWidth="1"/>
    <col min="11269" max="11269" width="12.3984375" style="578" bestFit="1" customWidth="1"/>
    <col min="11270" max="11270" width="10.8984375" style="578" customWidth="1"/>
    <col min="11271" max="11271" width="10" style="578" customWidth="1"/>
    <col min="11272" max="11272" width="17.5" style="578" customWidth="1"/>
    <col min="11273" max="11273" width="10.8984375" style="578" customWidth="1"/>
    <col min="11274" max="11274" width="16" style="578" customWidth="1"/>
    <col min="11275" max="11275" width="12.3984375" style="578" bestFit="1" customWidth="1"/>
    <col min="11276" max="11492" width="11" style="578"/>
    <col min="11493" max="11493" width="32.69921875" style="578" customWidth="1"/>
    <col min="11494" max="11494" width="14.5" style="578" customWidth="1"/>
    <col min="11495" max="11495" width="15.59765625" style="578" bestFit="1" customWidth="1"/>
    <col min="11496" max="11496" width="15.5" style="578" customWidth="1"/>
    <col min="11497" max="11497" width="15.59765625" style="578" customWidth="1"/>
    <col min="11498" max="11498" width="15.59765625" style="578" bestFit="1" customWidth="1"/>
    <col min="11499" max="11499" width="15.8984375" style="578" customWidth="1"/>
    <col min="11500" max="11500" width="14.8984375" style="578" customWidth="1"/>
    <col min="11501" max="11501" width="14.5" style="578" customWidth="1"/>
    <col min="11502" max="11502" width="15.8984375" style="578" customWidth="1"/>
    <col min="11503" max="11503" width="12" style="578" bestFit="1" customWidth="1"/>
    <col min="11504" max="11504" width="18.59765625" style="578" customWidth="1"/>
    <col min="11505" max="11505" width="15.09765625" style="578" customWidth="1"/>
    <col min="11506" max="11506" width="15.59765625" style="578" bestFit="1" customWidth="1"/>
    <col min="11507" max="11507" width="16.3984375" style="578" customWidth="1"/>
    <col min="11508" max="11508" width="13.8984375" style="578" customWidth="1"/>
    <col min="11509" max="11509" width="18.59765625" style="578" customWidth="1"/>
    <col min="11510" max="11510" width="3" style="578" customWidth="1"/>
    <col min="11511" max="11511" width="4" style="578" customWidth="1"/>
    <col min="11512" max="11512" width="24.5" style="578" customWidth="1"/>
    <col min="11513" max="11513" width="8.8984375" style="578" customWidth="1"/>
    <col min="11514" max="11514" width="10.8984375" style="578" customWidth="1"/>
    <col min="11515" max="11515" width="10" style="578" customWidth="1"/>
    <col min="11516" max="11516" width="17.3984375" style="578" customWidth="1"/>
    <col min="11517" max="11517" width="10.8984375" style="578" customWidth="1"/>
    <col min="11518" max="11518" width="10" style="578" customWidth="1"/>
    <col min="11519" max="11519" width="16.09765625" style="578" customWidth="1"/>
    <col min="11520" max="11520" width="10.8984375" style="578" customWidth="1"/>
    <col min="11521" max="11521" width="12" style="578" customWidth="1"/>
    <col min="11522" max="11522" width="18.8984375" style="578" customWidth="1"/>
    <col min="11523" max="11523" width="10.8984375" style="578" customWidth="1"/>
    <col min="11524" max="11524" width="16.19921875" style="578" bestFit="1" customWidth="1"/>
    <col min="11525" max="11525" width="12.3984375" style="578" bestFit="1" customWidth="1"/>
    <col min="11526" max="11526" width="10.8984375" style="578" customWidth="1"/>
    <col min="11527" max="11527" width="10" style="578" customWidth="1"/>
    <col min="11528" max="11528" width="17.5" style="578" customWidth="1"/>
    <col min="11529" max="11529" width="10.8984375" style="578" customWidth="1"/>
    <col min="11530" max="11530" width="16" style="578" customWidth="1"/>
    <col min="11531" max="11531" width="12.3984375" style="578" bestFit="1" customWidth="1"/>
    <col min="11532" max="11748" width="11" style="578"/>
    <col min="11749" max="11749" width="32.69921875" style="578" customWidth="1"/>
    <col min="11750" max="11750" width="14.5" style="578" customWidth="1"/>
    <col min="11751" max="11751" width="15.59765625" style="578" bestFit="1" customWidth="1"/>
    <col min="11752" max="11752" width="15.5" style="578" customWidth="1"/>
    <col min="11753" max="11753" width="15.59765625" style="578" customWidth="1"/>
    <col min="11754" max="11754" width="15.59765625" style="578" bestFit="1" customWidth="1"/>
    <col min="11755" max="11755" width="15.8984375" style="578" customWidth="1"/>
    <col min="11756" max="11756" width="14.8984375" style="578" customWidth="1"/>
    <col min="11757" max="11757" width="14.5" style="578" customWidth="1"/>
    <col min="11758" max="11758" width="15.8984375" style="578" customWidth="1"/>
    <col min="11759" max="11759" width="12" style="578" bestFit="1" customWidth="1"/>
    <col min="11760" max="11760" width="18.59765625" style="578" customWidth="1"/>
    <col min="11761" max="11761" width="15.09765625" style="578" customWidth="1"/>
    <col min="11762" max="11762" width="15.59765625" style="578" bestFit="1" customWidth="1"/>
    <col min="11763" max="11763" width="16.3984375" style="578" customWidth="1"/>
    <col min="11764" max="11764" width="13.8984375" style="578" customWidth="1"/>
    <col min="11765" max="11765" width="18.59765625" style="578" customWidth="1"/>
    <col min="11766" max="11766" width="3" style="578" customWidth="1"/>
    <col min="11767" max="11767" width="4" style="578" customWidth="1"/>
    <col min="11768" max="11768" width="24.5" style="578" customWidth="1"/>
    <col min="11769" max="11769" width="8.8984375" style="578" customWidth="1"/>
    <col min="11770" max="11770" width="10.8984375" style="578" customWidth="1"/>
    <col min="11771" max="11771" width="10" style="578" customWidth="1"/>
    <col min="11772" max="11772" width="17.3984375" style="578" customWidth="1"/>
    <col min="11773" max="11773" width="10.8984375" style="578" customWidth="1"/>
    <col min="11774" max="11774" width="10" style="578" customWidth="1"/>
    <col min="11775" max="11775" width="16.09765625" style="578" customWidth="1"/>
    <col min="11776" max="11776" width="10.8984375" style="578" customWidth="1"/>
    <col min="11777" max="11777" width="12" style="578" customWidth="1"/>
    <col min="11778" max="11778" width="18.8984375" style="578" customWidth="1"/>
    <col min="11779" max="11779" width="10.8984375" style="578" customWidth="1"/>
    <col min="11780" max="11780" width="16.19921875" style="578" bestFit="1" customWidth="1"/>
    <col min="11781" max="11781" width="12.3984375" style="578" bestFit="1" customWidth="1"/>
    <col min="11782" max="11782" width="10.8984375" style="578" customWidth="1"/>
    <col min="11783" max="11783" width="10" style="578" customWidth="1"/>
    <col min="11784" max="11784" width="17.5" style="578" customWidth="1"/>
    <col min="11785" max="11785" width="10.8984375" style="578" customWidth="1"/>
    <col min="11786" max="11786" width="16" style="578" customWidth="1"/>
    <col min="11787" max="11787" width="12.3984375" style="578" bestFit="1" customWidth="1"/>
    <col min="11788" max="12004" width="11" style="578"/>
    <col min="12005" max="12005" width="32.69921875" style="578" customWidth="1"/>
    <col min="12006" max="12006" width="14.5" style="578" customWidth="1"/>
    <col min="12007" max="12007" width="15.59765625" style="578" bestFit="1" customWidth="1"/>
    <col min="12008" max="12008" width="15.5" style="578" customWidth="1"/>
    <col min="12009" max="12009" width="15.59765625" style="578" customWidth="1"/>
    <col min="12010" max="12010" width="15.59765625" style="578" bestFit="1" customWidth="1"/>
    <col min="12011" max="12011" width="15.8984375" style="578" customWidth="1"/>
    <col min="12012" max="12012" width="14.8984375" style="578" customWidth="1"/>
    <col min="12013" max="12013" width="14.5" style="578" customWidth="1"/>
    <col min="12014" max="12014" width="15.8984375" style="578" customWidth="1"/>
    <col min="12015" max="12015" width="12" style="578" bestFit="1" customWidth="1"/>
    <col min="12016" max="12016" width="18.59765625" style="578" customWidth="1"/>
    <col min="12017" max="12017" width="15.09765625" style="578" customWidth="1"/>
    <col min="12018" max="12018" width="15.59765625" style="578" bestFit="1" customWidth="1"/>
    <col min="12019" max="12019" width="16.3984375" style="578" customWidth="1"/>
    <col min="12020" max="12020" width="13.8984375" style="578" customWidth="1"/>
    <col min="12021" max="12021" width="18.59765625" style="578" customWidth="1"/>
    <col min="12022" max="12022" width="3" style="578" customWidth="1"/>
    <col min="12023" max="12023" width="4" style="578" customWidth="1"/>
    <col min="12024" max="12024" width="24.5" style="578" customWidth="1"/>
    <col min="12025" max="12025" width="8.8984375" style="578" customWidth="1"/>
    <col min="12026" max="12026" width="10.8984375" style="578" customWidth="1"/>
    <col min="12027" max="12027" width="10" style="578" customWidth="1"/>
    <col min="12028" max="12028" width="17.3984375" style="578" customWidth="1"/>
    <col min="12029" max="12029" width="10.8984375" style="578" customWidth="1"/>
    <col min="12030" max="12030" width="10" style="578" customWidth="1"/>
    <col min="12031" max="12031" width="16.09765625" style="578" customWidth="1"/>
    <col min="12032" max="12032" width="10.8984375" style="578" customWidth="1"/>
    <col min="12033" max="12033" width="12" style="578" customWidth="1"/>
    <col min="12034" max="12034" width="18.8984375" style="578" customWidth="1"/>
    <col min="12035" max="12035" width="10.8984375" style="578" customWidth="1"/>
    <col min="12036" max="12036" width="16.19921875" style="578" bestFit="1" customWidth="1"/>
    <col min="12037" max="12037" width="12.3984375" style="578" bestFit="1" customWidth="1"/>
    <col min="12038" max="12038" width="10.8984375" style="578" customWidth="1"/>
    <col min="12039" max="12039" width="10" style="578" customWidth="1"/>
    <col min="12040" max="12040" width="17.5" style="578" customWidth="1"/>
    <col min="12041" max="12041" width="10.8984375" style="578" customWidth="1"/>
    <col min="12042" max="12042" width="16" style="578" customWidth="1"/>
    <col min="12043" max="12043" width="12.3984375" style="578" bestFit="1" customWidth="1"/>
    <col min="12044" max="12260" width="11" style="578"/>
    <col min="12261" max="12261" width="32.69921875" style="578" customWidth="1"/>
    <col min="12262" max="12262" width="14.5" style="578" customWidth="1"/>
    <col min="12263" max="12263" width="15.59765625" style="578" bestFit="1" customWidth="1"/>
    <col min="12264" max="12264" width="15.5" style="578" customWidth="1"/>
    <col min="12265" max="12265" width="15.59765625" style="578" customWidth="1"/>
    <col min="12266" max="12266" width="15.59765625" style="578" bestFit="1" customWidth="1"/>
    <col min="12267" max="12267" width="15.8984375" style="578" customWidth="1"/>
    <col min="12268" max="12268" width="14.8984375" style="578" customWidth="1"/>
    <col min="12269" max="12269" width="14.5" style="578" customWidth="1"/>
    <col min="12270" max="12270" width="15.8984375" style="578" customWidth="1"/>
    <col min="12271" max="12271" width="12" style="578" bestFit="1" customWidth="1"/>
    <col min="12272" max="12272" width="18.59765625" style="578" customWidth="1"/>
    <col min="12273" max="12273" width="15.09765625" style="578" customWidth="1"/>
    <col min="12274" max="12274" width="15.59765625" style="578" bestFit="1" customWidth="1"/>
    <col min="12275" max="12275" width="16.3984375" style="578" customWidth="1"/>
    <col min="12276" max="12276" width="13.8984375" style="578" customWidth="1"/>
    <col min="12277" max="12277" width="18.59765625" style="578" customWidth="1"/>
    <col min="12278" max="12278" width="3" style="578" customWidth="1"/>
    <col min="12279" max="12279" width="4" style="578" customWidth="1"/>
    <col min="12280" max="12280" width="24.5" style="578" customWidth="1"/>
    <col min="12281" max="12281" width="8.8984375" style="578" customWidth="1"/>
    <col min="12282" max="12282" width="10.8984375" style="578" customWidth="1"/>
    <col min="12283" max="12283" width="10" style="578" customWidth="1"/>
    <col min="12284" max="12284" width="17.3984375" style="578" customWidth="1"/>
    <col min="12285" max="12285" width="10.8984375" style="578" customWidth="1"/>
    <col min="12286" max="12286" width="10" style="578" customWidth="1"/>
    <col min="12287" max="12287" width="16.09765625" style="578" customWidth="1"/>
    <col min="12288" max="12288" width="10.8984375" style="578" customWidth="1"/>
    <col min="12289" max="12289" width="12" style="578" customWidth="1"/>
    <col min="12290" max="12290" width="18.8984375" style="578" customWidth="1"/>
    <col min="12291" max="12291" width="10.8984375" style="578" customWidth="1"/>
    <col min="12292" max="12292" width="16.19921875" style="578" bestFit="1" customWidth="1"/>
    <col min="12293" max="12293" width="12.3984375" style="578" bestFit="1" customWidth="1"/>
    <col min="12294" max="12294" width="10.8984375" style="578" customWidth="1"/>
    <col min="12295" max="12295" width="10" style="578" customWidth="1"/>
    <col min="12296" max="12296" width="17.5" style="578" customWidth="1"/>
    <col min="12297" max="12297" width="10.8984375" style="578" customWidth="1"/>
    <col min="12298" max="12298" width="16" style="578" customWidth="1"/>
    <col min="12299" max="12299" width="12.3984375" style="578" bestFit="1" customWidth="1"/>
    <col min="12300" max="12516" width="11" style="578"/>
    <col min="12517" max="12517" width="32.69921875" style="578" customWidth="1"/>
    <col min="12518" max="12518" width="14.5" style="578" customWidth="1"/>
    <col min="12519" max="12519" width="15.59765625" style="578" bestFit="1" customWidth="1"/>
    <col min="12520" max="12520" width="15.5" style="578" customWidth="1"/>
    <col min="12521" max="12521" width="15.59765625" style="578" customWidth="1"/>
    <col min="12522" max="12522" width="15.59765625" style="578" bestFit="1" customWidth="1"/>
    <col min="12523" max="12523" width="15.8984375" style="578" customWidth="1"/>
    <col min="12524" max="12524" width="14.8984375" style="578" customWidth="1"/>
    <col min="12525" max="12525" width="14.5" style="578" customWidth="1"/>
    <col min="12526" max="12526" width="15.8984375" style="578" customWidth="1"/>
    <col min="12527" max="12527" width="12" style="578" bestFit="1" customWidth="1"/>
    <col min="12528" max="12528" width="18.59765625" style="578" customWidth="1"/>
    <col min="12529" max="12529" width="15.09765625" style="578" customWidth="1"/>
    <col min="12530" max="12530" width="15.59765625" style="578" bestFit="1" customWidth="1"/>
    <col min="12531" max="12531" width="16.3984375" style="578" customWidth="1"/>
    <col min="12532" max="12532" width="13.8984375" style="578" customWidth="1"/>
    <col min="12533" max="12533" width="18.59765625" style="578" customWidth="1"/>
    <col min="12534" max="12534" width="3" style="578" customWidth="1"/>
    <col min="12535" max="12535" width="4" style="578" customWidth="1"/>
    <col min="12536" max="12536" width="24.5" style="578" customWidth="1"/>
    <col min="12537" max="12537" width="8.8984375" style="578" customWidth="1"/>
    <col min="12538" max="12538" width="10.8984375" style="578" customWidth="1"/>
    <col min="12539" max="12539" width="10" style="578" customWidth="1"/>
    <col min="12540" max="12540" width="17.3984375" style="578" customWidth="1"/>
    <col min="12541" max="12541" width="10.8984375" style="578" customWidth="1"/>
    <col min="12542" max="12542" width="10" style="578" customWidth="1"/>
    <col min="12543" max="12543" width="16.09765625" style="578" customWidth="1"/>
    <col min="12544" max="12544" width="10.8984375" style="578" customWidth="1"/>
    <col min="12545" max="12545" width="12" style="578" customWidth="1"/>
    <col min="12546" max="12546" width="18.8984375" style="578" customWidth="1"/>
    <col min="12547" max="12547" width="10.8984375" style="578" customWidth="1"/>
    <col min="12548" max="12548" width="16.19921875" style="578" bestFit="1" customWidth="1"/>
    <col min="12549" max="12549" width="12.3984375" style="578" bestFit="1" customWidth="1"/>
    <col min="12550" max="12550" width="10.8984375" style="578" customWidth="1"/>
    <col min="12551" max="12551" width="10" style="578" customWidth="1"/>
    <col min="12552" max="12552" width="17.5" style="578" customWidth="1"/>
    <col min="12553" max="12553" width="10.8984375" style="578" customWidth="1"/>
    <col min="12554" max="12554" width="16" style="578" customWidth="1"/>
    <col min="12555" max="12555" width="12.3984375" style="578" bestFit="1" customWidth="1"/>
    <col min="12556" max="12772" width="11" style="578"/>
    <col min="12773" max="12773" width="32.69921875" style="578" customWidth="1"/>
    <col min="12774" max="12774" width="14.5" style="578" customWidth="1"/>
    <col min="12775" max="12775" width="15.59765625" style="578" bestFit="1" customWidth="1"/>
    <col min="12776" max="12776" width="15.5" style="578" customWidth="1"/>
    <col min="12777" max="12777" width="15.59765625" style="578" customWidth="1"/>
    <col min="12778" max="12778" width="15.59765625" style="578" bestFit="1" customWidth="1"/>
    <col min="12779" max="12779" width="15.8984375" style="578" customWidth="1"/>
    <col min="12780" max="12780" width="14.8984375" style="578" customWidth="1"/>
    <col min="12781" max="12781" width="14.5" style="578" customWidth="1"/>
    <col min="12782" max="12782" width="15.8984375" style="578" customWidth="1"/>
    <col min="12783" max="12783" width="12" style="578" bestFit="1" customWidth="1"/>
    <col min="12784" max="12784" width="18.59765625" style="578" customWidth="1"/>
    <col min="12785" max="12785" width="15.09765625" style="578" customWidth="1"/>
    <col min="12786" max="12786" width="15.59765625" style="578" bestFit="1" customWidth="1"/>
    <col min="12787" max="12787" width="16.3984375" style="578" customWidth="1"/>
    <col min="12788" max="12788" width="13.8984375" style="578" customWidth="1"/>
    <col min="12789" max="12789" width="18.59765625" style="578" customWidth="1"/>
    <col min="12790" max="12790" width="3" style="578" customWidth="1"/>
    <col min="12791" max="12791" width="4" style="578" customWidth="1"/>
    <col min="12792" max="12792" width="24.5" style="578" customWidth="1"/>
    <col min="12793" max="12793" width="8.8984375" style="578" customWidth="1"/>
    <col min="12794" max="12794" width="10.8984375" style="578" customWidth="1"/>
    <col min="12795" max="12795" width="10" style="578" customWidth="1"/>
    <col min="12796" max="12796" width="17.3984375" style="578" customWidth="1"/>
    <col min="12797" max="12797" width="10.8984375" style="578" customWidth="1"/>
    <col min="12798" max="12798" width="10" style="578" customWidth="1"/>
    <col min="12799" max="12799" width="16.09765625" style="578" customWidth="1"/>
    <col min="12800" max="12800" width="10.8984375" style="578" customWidth="1"/>
    <col min="12801" max="12801" width="12" style="578" customWidth="1"/>
    <col min="12802" max="12802" width="18.8984375" style="578" customWidth="1"/>
    <col min="12803" max="12803" width="10.8984375" style="578" customWidth="1"/>
    <col min="12804" max="12804" width="16.19921875" style="578" bestFit="1" customWidth="1"/>
    <col min="12805" max="12805" width="12.3984375" style="578" bestFit="1" customWidth="1"/>
    <col min="12806" max="12806" width="10.8984375" style="578" customWidth="1"/>
    <col min="12807" max="12807" width="10" style="578" customWidth="1"/>
    <col min="12808" max="12808" width="17.5" style="578" customWidth="1"/>
    <col min="12809" max="12809" width="10.8984375" style="578" customWidth="1"/>
    <col min="12810" max="12810" width="16" style="578" customWidth="1"/>
    <col min="12811" max="12811" width="12.3984375" style="578" bestFit="1" customWidth="1"/>
    <col min="12812" max="13028" width="11" style="578"/>
    <col min="13029" max="13029" width="32.69921875" style="578" customWidth="1"/>
    <col min="13030" max="13030" width="14.5" style="578" customWidth="1"/>
    <col min="13031" max="13031" width="15.59765625" style="578" bestFit="1" customWidth="1"/>
    <col min="13032" max="13032" width="15.5" style="578" customWidth="1"/>
    <col min="13033" max="13033" width="15.59765625" style="578" customWidth="1"/>
    <col min="13034" max="13034" width="15.59765625" style="578" bestFit="1" customWidth="1"/>
    <col min="13035" max="13035" width="15.8984375" style="578" customWidth="1"/>
    <col min="13036" max="13036" width="14.8984375" style="578" customWidth="1"/>
    <col min="13037" max="13037" width="14.5" style="578" customWidth="1"/>
    <col min="13038" max="13038" width="15.8984375" style="578" customWidth="1"/>
    <col min="13039" max="13039" width="12" style="578" bestFit="1" customWidth="1"/>
    <col min="13040" max="13040" width="18.59765625" style="578" customWidth="1"/>
    <col min="13041" max="13041" width="15.09765625" style="578" customWidth="1"/>
    <col min="13042" max="13042" width="15.59765625" style="578" bestFit="1" customWidth="1"/>
    <col min="13043" max="13043" width="16.3984375" style="578" customWidth="1"/>
    <col min="13044" max="13044" width="13.8984375" style="578" customWidth="1"/>
    <col min="13045" max="13045" width="18.59765625" style="578" customWidth="1"/>
    <col min="13046" max="13046" width="3" style="578" customWidth="1"/>
    <col min="13047" max="13047" width="4" style="578" customWidth="1"/>
    <col min="13048" max="13048" width="24.5" style="578" customWidth="1"/>
    <col min="13049" max="13049" width="8.8984375" style="578" customWidth="1"/>
    <col min="13050" max="13050" width="10.8984375" style="578" customWidth="1"/>
    <col min="13051" max="13051" width="10" style="578" customWidth="1"/>
    <col min="13052" max="13052" width="17.3984375" style="578" customWidth="1"/>
    <col min="13053" max="13053" width="10.8984375" style="578" customWidth="1"/>
    <col min="13054" max="13054" width="10" style="578" customWidth="1"/>
    <col min="13055" max="13055" width="16.09765625" style="578" customWidth="1"/>
    <col min="13056" max="13056" width="10.8984375" style="578" customWidth="1"/>
    <col min="13057" max="13057" width="12" style="578" customWidth="1"/>
    <col min="13058" max="13058" width="18.8984375" style="578" customWidth="1"/>
    <col min="13059" max="13059" width="10.8984375" style="578" customWidth="1"/>
    <col min="13060" max="13060" width="16.19921875" style="578" bestFit="1" customWidth="1"/>
    <col min="13061" max="13061" width="12.3984375" style="578" bestFit="1" customWidth="1"/>
    <col min="13062" max="13062" width="10.8984375" style="578" customWidth="1"/>
    <col min="13063" max="13063" width="10" style="578" customWidth="1"/>
    <col min="13064" max="13064" width="17.5" style="578" customWidth="1"/>
    <col min="13065" max="13065" width="10.8984375" style="578" customWidth="1"/>
    <col min="13066" max="13066" width="16" style="578" customWidth="1"/>
    <col min="13067" max="13067" width="12.3984375" style="578" bestFit="1" customWidth="1"/>
    <col min="13068" max="13284" width="11" style="578"/>
    <col min="13285" max="13285" width="32.69921875" style="578" customWidth="1"/>
    <col min="13286" max="13286" width="14.5" style="578" customWidth="1"/>
    <col min="13287" max="13287" width="15.59765625" style="578" bestFit="1" customWidth="1"/>
    <col min="13288" max="13288" width="15.5" style="578" customWidth="1"/>
    <col min="13289" max="13289" width="15.59765625" style="578" customWidth="1"/>
    <col min="13290" max="13290" width="15.59765625" style="578" bestFit="1" customWidth="1"/>
    <col min="13291" max="13291" width="15.8984375" style="578" customWidth="1"/>
    <col min="13292" max="13292" width="14.8984375" style="578" customWidth="1"/>
    <col min="13293" max="13293" width="14.5" style="578" customWidth="1"/>
    <col min="13294" max="13294" width="15.8984375" style="578" customWidth="1"/>
    <col min="13295" max="13295" width="12" style="578" bestFit="1" customWidth="1"/>
    <col min="13296" max="13296" width="18.59765625" style="578" customWidth="1"/>
    <col min="13297" max="13297" width="15.09765625" style="578" customWidth="1"/>
    <col min="13298" max="13298" width="15.59765625" style="578" bestFit="1" customWidth="1"/>
    <col min="13299" max="13299" width="16.3984375" style="578" customWidth="1"/>
    <col min="13300" max="13300" width="13.8984375" style="578" customWidth="1"/>
    <col min="13301" max="13301" width="18.59765625" style="578" customWidth="1"/>
    <col min="13302" max="13302" width="3" style="578" customWidth="1"/>
    <col min="13303" max="13303" width="4" style="578" customWidth="1"/>
    <col min="13304" max="13304" width="24.5" style="578" customWidth="1"/>
    <col min="13305" max="13305" width="8.8984375" style="578" customWidth="1"/>
    <col min="13306" max="13306" width="10.8984375" style="578" customWidth="1"/>
    <col min="13307" max="13307" width="10" style="578" customWidth="1"/>
    <col min="13308" max="13308" width="17.3984375" style="578" customWidth="1"/>
    <col min="13309" max="13309" width="10.8984375" style="578" customWidth="1"/>
    <col min="13310" max="13310" width="10" style="578" customWidth="1"/>
    <col min="13311" max="13311" width="16.09765625" style="578" customWidth="1"/>
    <col min="13312" max="13312" width="10.8984375" style="578" customWidth="1"/>
    <col min="13313" max="13313" width="12" style="578" customWidth="1"/>
    <col min="13314" max="13314" width="18.8984375" style="578" customWidth="1"/>
    <col min="13315" max="13315" width="10.8984375" style="578" customWidth="1"/>
    <col min="13316" max="13316" width="16.19921875" style="578" bestFit="1" customWidth="1"/>
    <col min="13317" max="13317" width="12.3984375" style="578" bestFit="1" customWidth="1"/>
    <col min="13318" max="13318" width="10.8984375" style="578" customWidth="1"/>
    <col min="13319" max="13319" width="10" style="578" customWidth="1"/>
    <col min="13320" max="13320" width="17.5" style="578" customWidth="1"/>
    <col min="13321" max="13321" width="10.8984375" style="578" customWidth="1"/>
    <col min="13322" max="13322" width="16" style="578" customWidth="1"/>
    <col min="13323" max="13323" width="12.3984375" style="578" bestFit="1" customWidth="1"/>
    <col min="13324" max="13540" width="11" style="578"/>
    <col min="13541" max="13541" width="32.69921875" style="578" customWidth="1"/>
    <col min="13542" max="13542" width="14.5" style="578" customWidth="1"/>
    <col min="13543" max="13543" width="15.59765625" style="578" bestFit="1" customWidth="1"/>
    <col min="13544" max="13544" width="15.5" style="578" customWidth="1"/>
    <col min="13545" max="13545" width="15.59765625" style="578" customWidth="1"/>
    <col min="13546" max="13546" width="15.59765625" style="578" bestFit="1" customWidth="1"/>
    <col min="13547" max="13547" width="15.8984375" style="578" customWidth="1"/>
    <col min="13548" max="13548" width="14.8984375" style="578" customWidth="1"/>
    <col min="13549" max="13549" width="14.5" style="578" customWidth="1"/>
    <col min="13550" max="13550" width="15.8984375" style="578" customWidth="1"/>
    <col min="13551" max="13551" width="12" style="578" bestFit="1" customWidth="1"/>
    <col min="13552" max="13552" width="18.59765625" style="578" customWidth="1"/>
    <col min="13553" max="13553" width="15.09765625" style="578" customWidth="1"/>
    <col min="13554" max="13554" width="15.59765625" style="578" bestFit="1" customWidth="1"/>
    <col min="13555" max="13555" width="16.3984375" style="578" customWidth="1"/>
    <col min="13556" max="13556" width="13.8984375" style="578" customWidth="1"/>
    <col min="13557" max="13557" width="18.59765625" style="578" customWidth="1"/>
    <col min="13558" max="13558" width="3" style="578" customWidth="1"/>
    <col min="13559" max="13559" width="4" style="578" customWidth="1"/>
    <col min="13560" max="13560" width="24.5" style="578" customWidth="1"/>
    <col min="13561" max="13561" width="8.8984375" style="578" customWidth="1"/>
    <col min="13562" max="13562" width="10.8984375" style="578" customWidth="1"/>
    <col min="13563" max="13563" width="10" style="578" customWidth="1"/>
    <col min="13564" max="13564" width="17.3984375" style="578" customWidth="1"/>
    <col min="13565" max="13565" width="10.8984375" style="578" customWidth="1"/>
    <col min="13566" max="13566" width="10" style="578" customWidth="1"/>
    <col min="13567" max="13567" width="16.09765625" style="578" customWidth="1"/>
    <col min="13568" max="13568" width="10.8984375" style="578" customWidth="1"/>
    <col min="13569" max="13569" width="12" style="578" customWidth="1"/>
    <col min="13570" max="13570" width="18.8984375" style="578" customWidth="1"/>
    <col min="13571" max="13571" width="10.8984375" style="578" customWidth="1"/>
    <col min="13572" max="13572" width="16.19921875" style="578" bestFit="1" customWidth="1"/>
    <col min="13573" max="13573" width="12.3984375" style="578" bestFit="1" customWidth="1"/>
    <col min="13574" max="13574" width="10.8984375" style="578" customWidth="1"/>
    <col min="13575" max="13575" width="10" style="578" customWidth="1"/>
    <col min="13576" max="13576" width="17.5" style="578" customWidth="1"/>
    <col min="13577" max="13577" width="10.8984375" style="578" customWidth="1"/>
    <col min="13578" max="13578" width="16" style="578" customWidth="1"/>
    <col min="13579" max="13579" width="12.3984375" style="578" bestFit="1" customWidth="1"/>
    <col min="13580" max="13796" width="11" style="578"/>
    <col min="13797" max="13797" width="32.69921875" style="578" customWidth="1"/>
    <col min="13798" max="13798" width="14.5" style="578" customWidth="1"/>
    <col min="13799" max="13799" width="15.59765625" style="578" bestFit="1" customWidth="1"/>
    <col min="13800" max="13800" width="15.5" style="578" customWidth="1"/>
    <col min="13801" max="13801" width="15.59765625" style="578" customWidth="1"/>
    <col min="13802" max="13802" width="15.59765625" style="578" bestFit="1" customWidth="1"/>
    <col min="13803" max="13803" width="15.8984375" style="578" customWidth="1"/>
    <col min="13804" max="13804" width="14.8984375" style="578" customWidth="1"/>
    <col min="13805" max="13805" width="14.5" style="578" customWidth="1"/>
    <col min="13806" max="13806" width="15.8984375" style="578" customWidth="1"/>
    <col min="13807" max="13807" width="12" style="578" bestFit="1" customWidth="1"/>
    <col min="13808" max="13808" width="18.59765625" style="578" customWidth="1"/>
    <col min="13809" max="13809" width="15.09765625" style="578" customWidth="1"/>
    <col min="13810" max="13810" width="15.59765625" style="578" bestFit="1" customWidth="1"/>
    <col min="13811" max="13811" width="16.3984375" style="578" customWidth="1"/>
    <col min="13812" max="13812" width="13.8984375" style="578" customWidth="1"/>
    <col min="13813" max="13813" width="18.59765625" style="578" customWidth="1"/>
    <col min="13814" max="13814" width="3" style="578" customWidth="1"/>
    <col min="13815" max="13815" width="4" style="578" customWidth="1"/>
    <col min="13816" max="13816" width="24.5" style="578" customWidth="1"/>
    <col min="13817" max="13817" width="8.8984375" style="578" customWidth="1"/>
    <col min="13818" max="13818" width="10.8984375" style="578" customWidth="1"/>
    <col min="13819" max="13819" width="10" style="578" customWidth="1"/>
    <col min="13820" max="13820" width="17.3984375" style="578" customWidth="1"/>
    <col min="13821" max="13821" width="10.8984375" style="578" customWidth="1"/>
    <col min="13822" max="13822" width="10" style="578" customWidth="1"/>
    <col min="13823" max="13823" width="16.09765625" style="578" customWidth="1"/>
    <col min="13824" max="13824" width="10.8984375" style="578" customWidth="1"/>
    <col min="13825" max="13825" width="12" style="578" customWidth="1"/>
    <col min="13826" max="13826" width="18.8984375" style="578" customWidth="1"/>
    <col min="13827" max="13827" width="10.8984375" style="578" customWidth="1"/>
    <col min="13828" max="13828" width="16.19921875" style="578" bestFit="1" customWidth="1"/>
    <col min="13829" max="13829" width="12.3984375" style="578" bestFit="1" customWidth="1"/>
    <col min="13830" max="13830" width="10.8984375" style="578" customWidth="1"/>
    <col min="13831" max="13831" width="10" style="578" customWidth="1"/>
    <col min="13832" max="13832" width="17.5" style="578" customWidth="1"/>
    <col min="13833" max="13833" width="10.8984375" style="578" customWidth="1"/>
    <col min="13834" max="13834" width="16" style="578" customWidth="1"/>
    <col min="13835" max="13835" width="12.3984375" style="578" bestFit="1" customWidth="1"/>
    <col min="13836" max="14052" width="11" style="578"/>
    <col min="14053" max="14053" width="32.69921875" style="578" customWidth="1"/>
    <col min="14054" max="14054" width="14.5" style="578" customWidth="1"/>
    <col min="14055" max="14055" width="15.59765625" style="578" bestFit="1" customWidth="1"/>
    <col min="14056" max="14056" width="15.5" style="578" customWidth="1"/>
    <col min="14057" max="14057" width="15.59765625" style="578" customWidth="1"/>
    <col min="14058" max="14058" width="15.59765625" style="578" bestFit="1" customWidth="1"/>
    <col min="14059" max="14059" width="15.8984375" style="578" customWidth="1"/>
    <col min="14060" max="14060" width="14.8984375" style="578" customWidth="1"/>
    <col min="14061" max="14061" width="14.5" style="578" customWidth="1"/>
    <col min="14062" max="14062" width="15.8984375" style="578" customWidth="1"/>
    <col min="14063" max="14063" width="12" style="578" bestFit="1" customWidth="1"/>
    <col min="14064" max="14064" width="18.59765625" style="578" customWidth="1"/>
    <col min="14065" max="14065" width="15.09765625" style="578" customWidth="1"/>
    <col min="14066" max="14066" width="15.59765625" style="578" bestFit="1" customWidth="1"/>
    <col min="14067" max="14067" width="16.3984375" style="578" customWidth="1"/>
    <col min="14068" max="14068" width="13.8984375" style="578" customWidth="1"/>
    <col min="14069" max="14069" width="18.59765625" style="578" customWidth="1"/>
    <col min="14070" max="14070" width="3" style="578" customWidth="1"/>
    <col min="14071" max="14071" width="4" style="578" customWidth="1"/>
    <col min="14072" max="14072" width="24.5" style="578" customWidth="1"/>
    <col min="14073" max="14073" width="8.8984375" style="578" customWidth="1"/>
    <col min="14074" max="14074" width="10.8984375" style="578" customWidth="1"/>
    <col min="14075" max="14075" width="10" style="578" customWidth="1"/>
    <col min="14076" max="14076" width="17.3984375" style="578" customWidth="1"/>
    <col min="14077" max="14077" width="10.8984375" style="578" customWidth="1"/>
    <col min="14078" max="14078" width="10" style="578" customWidth="1"/>
    <col min="14079" max="14079" width="16.09765625" style="578" customWidth="1"/>
    <col min="14080" max="14080" width="10.8984375" style="578" customWidth="1"/>
    <col min="14081" max="14081" width="12" style="578" customWidth="1"/>
    <col min="14082" max="14082" width="18.8984375" style="578" customWidth="1"/>
    <col min="14083" max="14083" width="10.8984375" style="578" customWidth="1"/>
    <col min="14084" max="14084" width="16.19921875" style="578" bestFit="1" customWidth="1"/>
    <col min="14085" max="14085" width="12.3984375" style="578" bestFit="1" customWidth="1"/>
    <col min="14086" max="14086" width="10.8984375" style="578" customWidth="1"/>
    <col min="14087" max="14087" width="10" style="578" customWidth="1"/>
    <col min="14088" max="14088" width="17.5" style="578" customWidth="1"/>
    <col min="14089" max="14089" width="10.8984375" style="578" customWidth="1"/>
    <col min="14090" max="14090" width="16" style="578" customWidth="1"/>
    <col min="14091" max="14091" width="12.3984375" style="578" bestFit="1" customWidth="1"/>
    <col min="14092" max="14308" width="11" style="578"/>
    <col min="14309" max="14309" width="32.69921875" style="578" customWidth="1"/>
    <col min="14310" max="14310" width="14.5" style="578" customWidth="1"/>
    <col min="14311" max="14311" width="15.59765625" style="578" bestFit="1" customWidth="1"/>
    <col min="14312" max="14312" width="15.5" style="578" customWidth="1"/>
    <col min="14313" max="14313" width="15.59765625" style="578" customWidth="1"/>
    <col min="14314" max="14314" width="15.59765625" style="578" bestFit="1" customWidth="1"/>
    <col min="14315" max="14315" width="15.8984375" style="578" customWidth="1"/>
    <col min="14316" max="14316" width="14.8984375" style="578" customWidth="1"/>
    <col min="14317" max="14317" width="14.5" style="578" customWidth="1"/>
    <col min="14318" max="14318" width="15.8984375" style="578" customWidth="1"/>
    <col min="14319" max="14319" width="12" style="578" bestFit="1" customWidth="1"/>
    <col min="14320" max="14320" width="18.59765625" style="578" customWidth="1"/>
    <col min="14321" max="14321" width="15.09765625" style="578" customWidth="1"/>
    <col min="14322" max="14322" width="15.59765625" style="578" bestFit="1" customWidth="1"/>
    <col min="14323" max="14323" width="16.3984375" style="578" customWidth="1"/>
    <col min="14324" max="14324" width="13.8984375" style="578" customWidth="1"/>
    <col min="14325" max="14325" width="18.59765625" style="578" customWidth="1"/>
    <col min="14326" max="14326" width="3" style="578" customWidth="1"/>
    <col min="14327" max="14327" width="4" style="578" customWidth="1"/>
    <col min="14328" max="14328" width="24.5" style="578" customWidth="1"/>
    <col min="14329" max="14329" width="8.8984375" style="578" customWidth="1"/>
    <col min="14330" max="14330" width="10.8984375" style="578" customWidth="1"/>
    <col min="14331" max="14331" width="10" style="578" customWidth="1"/>
    <col min="14332" max="14332" width="17.3984375" style="578" customWidth="1"/>
    <col min="14333" max="14333" width="10.8984375" style="578" customWidth="1"/>
    <col min="14334" max="14334" width="10" style="578" customWidth="1"/>
    <col min="14335" max="14335" width="16.09765625" style="578" customWidth="1"/>
    <col min="14336" max="14336" width="10.8984375" style="578" customWidth="1"/>
    <col min="14337" max="14337" width="12" style="578" customWidth="1"/>
    <col min="14338" max="14338" width="18.8984375" style="578" customWidth="1"/>
    <col min="14339" max="14339" width="10.8984375" style="578" customWidth="1"/>
    <col min="14340" max="14340" width="16.19921875" style="578" bestFit="1" customWidth="1"/>
    <col min="14341" max="14341" width="12.3984375" style="578" bestFit="1" customWidth="1"/>
    <col min="14342" max="14342" width="10.8984375" style="578" customWidth="1"/>
    <col min="14343" max="14343" width="10" style="578" customWidth="1"/>
    <col min="14344" max="14344" width="17.5" style="578" customWidth="1"/>
    <col min="14345" max="14345" width="10.8984375" style="578" customWidth="1"/>
    <col min="14346" max="14346" width="16" style="578" customWidth="1"/>
    <col min="14347" max="14347" width="12.3984375" style="578" bestFit="1" customWidth="1"/>
    <col min="14348" max="14564" width="11" style="578"/>
    <col min="14565" max="14565" width="32.69921875" style="578" customWidth="1"/>
    <col min="14566" max="14566" width="14.5" style="578" customWidth="1"/>
    <col min="14567" max="14567" width="15.59765625" style="578" bestFit="1" customWidth="1"/>
    <col min="14568" max="14568" width="15.5" style="578" customWidth="1"/>
    <col min="14569" max="14569" width="15.59765625" style="578" customWidth="1"/>
    <col min="14570" max="14570" width="15.59765625" style="578" bestFit="1" customWidth="1"/>
    <col min="14571" max="14571" width="15.8984375" style="578" customWidth="1"/>
    <col min="14572" max="14572" width="14.8984375" style="578" customWidth="1"/>
    <col min="14573" max="14573" width="14.5" style="578" customWidth="1"/>
    <col min="14574" max="14574" width="15.8984375" style="578" customWidth="1"/>
    <col min="14575" max="14575" width="12" style="578" bestFit="1" customWidth="1"/>
    <col min="14576" max="14576" width="18.59765625" style="578" customWidth="1"/>
    <col min="14577" max="14577" width="15.09765625" style="578" customWidth="1"/>
    <col min="14578" max="14578" width="15.59765625" style="578" bestFit="1" customWidth="1"/>
    <col min="14579" max="14579" width="16.3984375" style="578" customWidth="1"/>
    <col min="14580" max="14580" width="13.8984375" style="578" customWidth="1"/>
    <col min="14581" max="14581" width="18.59765625" style="578" customWidth="1"/>
    <col min="14582" max="14582" width="3" style="578" customWidth="1"/>
    <col min="14583" max="14583" width="4" style="578" customWidth="1"/>
    <col min="14584" max="14584" width="24.5" style="578" customWidth="1"/>
    <col min="14585" max="14585" width="8.8984375" style="578" customWidth="1"/>
    <col min="14586" max="14586" width="10.8984375" style="578" customWidth="1"/>
    <col min="14587" max="14587" width="10" style="578" customWidth="1"/>
    <col min="14588" max="14588" width="17.3984375" style="578" customWidth="1"/>
    <col min="14589" max="14589" width="10.8984375" style="578" customWidth="1"/>
    <col min="14590" max="14590" width="10" style="578" customWidth="1"/>
    <col min="14591" max="14591" width="16.09765625" style="578" customWidth="1"/>
    <col min="14592" max="14592" width="10.8984375" style="578" customWidth="1"/>
    <col min="14593" max="14593" width="12" style="578" customWidth="1"/>
    <col min="14594" max="14594" width="18.8984375" style="578" customWidth="1"/>
    <col min="14595" max="14595" width="10.8984375" style="578" customWidth="1"/>
    <col min="14596" max="14596" width="16.19921875" style="578" bestFit="1" customWidth="1"/>
    <col min="14597" max="14597" width="12.3984375" style="578" bestFit="1" customWidth="1"/>
    <col min="14598" max="14598" width="10.8984375" style="578" customWidth="1"/>
    <col min="14599" max="14599" width="10" style="578" customWidth="1"/>
    <col min="14600" max="14600" width="17.5" style="578" customWidth="1"/>
    <col min="14601" max="14601" width="10.8984375" style="578" customWidth="1"/>
    <col min="14602" max="14602" width="16" style="578" customWidth="1"/>
    <col min="14603" max="14603" width="12.3984375" style="578" bestFit="1" customWidth="1"/>
    <col min="14604" max="14820" width="11" style="578"/>
    <col min="14821" max="14821" width="32.69921875" style="578" customWidth="1"/>
    <col min="14822" max="14822" width="14.5" style="578" customWidth="1"/>
    <col min="14823" max="14823" width="15.59765625" style="578" bestFit="1" customWidth="1"/>
    <col min="14824" max="14824" width="15.5" style="578" customWidth="1"/>
    <col min="14825" max="14825" width="15.59765625" style="578" customWidth="1"/>
    <col min="14826" max="14826" width="15.59765625" style="578" bestFit="1" customWidth="1"/>
    <col min="14827" max="14827" width="15.8984375" style="578" customWidth="1"/>
    <col min="14828" max="14828" width="14.8984375" style="578" customWidth="1"/>
    <col min="14829" max="14829" width="14.5" style="578" customWidth="1"/>
    <col min="14830" max="14830" width="15.8984375" style="578" customWidth="1"/>
    <col min="14831" max="14831" width="12" style="578" bestFit="1" customWidth="1"/>
    <col min="14832" max="14832" width="18.59765625" style="578" customWidth="1"/>
    <col min="14833" max="14833" width="15.09765625" style="578" customWidth="1"/>
    <col min="14834" max="14834" width="15.59765625" style="578" bestFit="1" customWidth="1"/>
    <col min="14835" max="14835" width="16.3984375" style="578" customWidth="1"/>
    <col min="14836" max="14836" width="13.8984375" style="578" customWidth="1"/>
    <col min="14837" max="14837" width="18.59765625" style="578" customWidth="1"/>
    <col min="14838" max="14838" width="3" style="578" customWidth="1"/>
    <col min="14839" max="14839" width="4" style="578" customWidth="1"/>
    <col min="14840" max="14840" width="24.5" style="578" customWidth="1"/>
    <col min="14841" max="14841" width="8.8984375" style="578" customWidth="1"/>
    <col min="14842" max="14842" width="10.8984375" style="578" customWidth="1"/>
    <col min="14843" max="14843" width="10" style="578" customWidth="1"/>
    <col min="14844" max="14844" width="17.3984375" style="578" customWidth="1"/>
    <col min="14845" max="14845" width="10.8984375" style="578" customWidth="1"/>
    <col min="14846" max="14846" width="10" style="578" customWidth="1"/>
    <col min="14847" max="14847" width="16.09765625" style="578" customWidth="1"/>
    <col min="14848" max="14848" width="10.8984375" style="578" customWidth="1"/>
    <col min="14849" max="14849" width="12" style="578" customWidth="1"/>
    <col min="14850" max="14850" width="18.8984375" style="578" customWidth="1"/>
    <col min="14851" max="14851" width="10.8984375" style="578" customWidth="1"/>
    <col min="14852" max="14852" width="16.19921875" style="578" bestFit="1" customWidth="1"/>
    <col min="14853" max="14853" width="12.3984375" style="578" bestFit="1" customWidth="1"/>
    <col min="14854" max="14854" width="10.8984375" style="578" customWidth="1"/>
    <col min="14855" max="14855" width="10" style="578" customWidth="1"/>
    <col min="14856" max="14856" width="17.5" style="578" customWidth="1"/>
    <col min="14857" max="14857" width="10.8984375" style="578" customWidth="1"/>
    <col min="14858" max="14858" width="16" style="578" customWidth="1"/>
    <col min="14859" max="14859" width="12.3984375" style="578" bestFit="1" customWidth="1"/>
    <col min="14860" max="15076" width="11" style="578"/>
    <col min="15077" max="15077" width="32.69921875" style="578" customWidth="1"/>
    <col min="15078" max="15078" width="14.5" style="578" customWidth="1"/>
    <col min="15079" max="15079" width="15.59765625" style="578" bestFit="1" customWidth="1"/>
    <col min="15080" max="15080" width="15.5" style="578" customWidth="1"/>
    <col min="15081" max="15081" width="15.59765625" style="578" customWidth="1"/>
    <col min="15082" max="15082" width="15.59765625" style="578" bestFit="1" customWidth="1"/>
    <col min="15083" max="15083" width="15.8984375" style="578" customWidth="1"/>
    <col min="15084" max="15084" width="14.8984375" style="578" customWidth="1"/>
    <col min="15085" max="15085" width="14.5" style="578" customWidth="1"/>
    <col min="15086" max="15086" width="15.8984375" style="578" customWidth="1"/>
    <col min="15087" max="15087" width="12" style="578" bestFit="1" customWidth="1"/>
    <col min="15088" max="15088" width="18.59765625" style="578" customWidth="1"/>
    <col min="15089" max="15089" width="15.09765625" style="578" customWidth="1"/>
    <col min="15090" max="15090" width="15.59765625" style="578" bestFit="1" customWidth="1"/>
    <col min="15091" max="15091" width="16.3984375" style="578" customWidth="1"/>
    <col min="15092" max="15092" width="13.8984375" style="578" customWidth="1"/>
    <col min="15093" max="15093" width="18.59765625" style="578" customWidth="1"/>
    <col min="15094" max="15094" width="3" style="578" customWidth="1"/>
    <col min="15095" max="15095" width="4" style="578" customWidth="1"/>
    <col min="15096" max="15096" width="24.5" style="578" customWidth="1"/>
    <col min="15097" max="15097" width="8.8984375" style="578" customWidth="1"/>
    <col min="15098" max="15098" width="10.8984375" style="578" customWidth="1"/>
    <col min="15099" max="15099" width="10" style="578" customWidth="1"/>
    <col min="15100" max="15100" width="17.3984375" style="578" customWidth="1"/>
    <col min="15101" max="15101" width="10.8984375" style="578" customWidth="1"/>
    <col min="15102" max="15102" width="10" style="578" customWidth="1"/>
    <col min="15103" max="15103" width="16.09765625" style="578" customWidth="1"/>
    <col min="15104" max="15104" width="10.8984375" style="578" customWidth="1"/>
    <col min="15105" max="15105" width="12" style="578" customWidth="1"/>
    <col min="15106" max="15106" width="18.8984375" style="578" customWidth="1"/>
    <col min="15107" max="15107" width="10.8984375" style="578" customWidth="1"/>
    <col min="15108" max="15108" width="16.19921875" style="578" bestFit="1" customWidth="1"/>
    <col min="15109" max="15109" width="12.3984375" style="578" bestFit="1" customWidth="1"/>
    <col min="15110" max="15110" width="10.8984375" style="578" customWidth="1"/>
    <col min="15111" max="15111" width="10" style="578" customWidth="1"/>
    <col min="15112" max="15112" width="17.5" style="578" customWidth="1"/>
    <col min="15113" max="15113" width="10.8984375" style="578" customWidth="1"/>
    <col min="15114" max="15114" width="16" style="578" customWidth="1"/>
    <col min="15115" max="15115" width="12.3984375" style="578" bestFit="1" customWidth="1"/>
    <col min="15116" max="15332" width="11" style="578"/>
    <col min="15333" max="15333" width="32.69921875" style="578" customWidth="1"/>
    <col min="15334" max="15334" width="14.5" style="578" customWidth="1"/>
    <col min="15335" max="15335" width="15.59765625" style="578" bestFit="1" customWidth="1"/>
    <col min="15336" max="15336" width="15.5" style="578" customWidth="1"/>
    <col min="15337" max="15337" width="15.59765625" style="578" customWidth="1"/>
    <col min="15338" max="15338" width="15.59765625" style="578" bestFit="1" customWidth="1"/>
    <col min="15339" max="15339" width="15.8984375" style="578" customWidth="1"/>
    <col min="15340" max="15340" width="14.8984375" style="578" customWidth="1"/>
    <col min="15341" max="15341" width="14.5" style="578" customWidth="1"/>
    <col min="15342" max="15342" width="15.8984375" style="578" customWidth="1"/>
    <col min="15343" max="15343" width="12" style="578" bestFit="1" customWidth="1"/>
    <col min="15344" max="15344" width="18.59765625" style="578" customWidth="1"/>
    <col min="15345" max="15345" width="15.09765625" style="578" customWidth="1"/>
    <col min="15346" max="15346" width="15.59765625" style="578" bestFit="1" customWidth="1"/>
    <col min="15347" max="15347" width="16.3984375" style="578" customWidth="1"/>
    <col min="15348" max="15348" width="13.8984375" style="578" customWidth="1"/>
    <col min="15349" max="15349" width="18.59765625" style="578" customWidth="1"/>
    <col min="15350" max="15350" width="3" style="578" customWidth="1"/>
    <col min="15351" max="15351" width="4" style="578" customWidth="1"/>
    <col min="15352" max="15352" width="24.5" style="578" customWidth="1"/>
    <col min="15353" max="15353" width="8.8984375" style="578" customWidth="1"/>
    <col min="15354" max="15354" width="10.8984375" style="578" customWidth="1"/>
    <col min="15355" max="15355" width="10" style="578" customWidth="1"/>
    <col min="15356" max="15356" width="17.3984375" style="578" customWidth="1"/>
    <col min="15357" max="15357" width="10.8984375" style="578" customWidth="1"/>
    <col min="15358" max="15358" width="10" style="578" customWidth="1"/>
    <col min="15359" max="15359" width="16.09765625" style="578" customWidth="1"/>
    <col min="15360" max="15360" width="10.8984375" style="578" customWidth="1"/>
    <col min="15361" max="15361" width="12" style="578" customWidth="1"/>
    <col min="15362" max="15362" width="18.8984375" style="578" customWidth="1"/>
    <col min="15363" max="15363" width="10.8984375" style="578" customWidth="1"/>
    <col min="15364" max="15364" width="16.19921875" style="578" bestFit="1" customWidth="1"/>
    <col min="15365" max="15365" width="12.3984375" style="578" bestFit="1" customWidth="1"/>
    <col min="15366" max="15366" width="10.8984375" style="578" customWidth="1"/>
    <col min="15367" max="15367" width="10" style="578" customWidth="1"/>
    <col min="15368" max="15368" width="17.5" style="578" customWidth="1"/>
    <col min="15369" max="15369" width="10.8984375" style="578" customWidth="1"/>
    <col min="15370" max="15370" width="16" style="578" customWidth="1"/>
    <col min="15371" max="15371" width="12.3984375" style="578" bestFit="1" customWidth="1"/>
    <col min="15372" max="15588" width="11" style="578"/>
    <col min="15589" max="15589" width="32.69921875" style="578" customWidth="1"/>
    <col min="15590" max="15590" width="14.5" style="578" customWidth="1"/>
    <col min="15591" max="15591" width="15.59765625" style="578" bestFit="1" customWidth="1"/>
    <col min="15592" max="15592" width="15.5" style="578" customWidth="1"/>
    <col min="15593" max="15593" width="15.59765625" style="578" customWidth="1"/>
    <col min="15594" max="15594" width="15.59765625" style="578" bestFit="1" customWidth="1"/>
    <col min="15595" max="15595" width="15.8984375" style="578" customWidth="1"/>
    <col min="15596" max="15596" width="14.8984375" style="578" customWidth="1"/>
    <col min="15597" max="15597" width="14.5" style="578" customWidth="1"/>
    <col min="15598" max="15598" width="15.8984375" style="578" customWidth="1"/>
    <col min="15599" max="15599" width="12" style="578" bestFit="1" customWidth="1"/>
    <col min="15600" max="15600" width="18.59765625" style="578" customWidth="1"/>
    <col min="15601" max="15601" width="15.09765625" style="578" customWidth="1"/>
    <col min="15602" max="15602" width="15.59765625" style="578" bestFit="1" customWidth="1"/>
    <col min="15603" max="15603" width="16.3984375" style="578" customWidth="1"/>
    <col min="15604" max="15604" width="13.8984375" style="578" customWidth="1"/>
    <col min="15605" max="15605" width="18.59765625" style="578" customWidth="1"/>
    <col min="15606" max="15606" width="3" style="578" customWidth="1"/>
    <col min="15607" max="15607" width="4" style="578" customWidth="1"/>
    <col min="15608" max="15608" width="24.5" style="578" customWidth="1"/>
    <col min="15609" max="15609" width="8.8984375" style="578" customWidth="1"/>
    <col min="15610" max="15610" width="10.8984375" style="578" customWidth="1"/>
    <col min="15611" max="15611" width="10" style="578" customWidth="1"/>
    <col min="15612" max="15612" width="17.3984375" style="578" customWidth="1"/>
    <col min="15613" max="15613" width="10.8984375" style="578" customWidth="1"/>
    <col min="15614" max="15614" width="10" style="578" customWidth="1"/>
    <col min="15615" max="15615" width="16.09765625" style="578" customWidth="1"/>
    <col min="15616" max="15616" width="10.8984375" style="578" customWidth="1"/>
    <col min="15617" max="15617" width="12" style="578" customWidth="1"/>
    <col min="15618" max="15618" width="18.8984375" style="578" customWidth="1"/>
    <col min="15619" max="15619" width="10.8984375" style="578" customWidth="1"/>
    <col min="15620" max="15620" width="16.19921875" style="578" bestFit="1" customWidth="1"/>
    <col min="15621" max="15621" width="12.3984375" style="578" bestFit="1" customWidth="1"/>
    <col min="15622" max="15622" width="10.8984375" style="578" customWidth="1"/>
    <col min="15623" max="15623" width="10" style="578" customWidth="1"/>
    <col min="15624" max="15624" width="17.5" style="578" customWidth="1"/>
    <col min="15625" max="15625" width="10.8984375" style="578" customWidth="1"/>
    <col min="15626" max="15626" width="16" style="578" customWidth="1"/>
    <col min="15627" max="15627" width="12.3984375" style="578" bestFit="1" customWidth="1"/>
    <col min="15628" max="15844" width="11" style="578"/>
    <col min="15845" max="15845" width="32.69921875" style="578" customWidth="1"/>
    <col min="15846" max="15846" width="14.5" style="578" customWidth="1"/>
    <col min="15847" max="15847" width="15.59765625" style="578" bestFit="1" customWidth="1"/>
    <col min="15848" max="15848" width="15.5" style="578" customWidth="1"/>
    <col min="15849" max="15849" width="15.59765625" style="578" customWidth="1"/>
    <col min="15850" max="15850" width="15.59765625" style="578" bestFit="1" customWidth="1"/>
    <col min="15851" max="15851" width="15.8984375" style="578" customWidth="1"/>
    <col min="15852" max="15852" width="14.8984375" style="578" customWidth="1"/>
    <col min="15853" max="15853" width="14.5" style="578" customWidth="1"/>
    <col min="15854" max="15854" width="15.8984375" style="578" customWidth="1"/>
    <col min="15855" max="15855" width="12" style="578" bestFit="1" customWidth="1"/>
    <col min="15856" max="15856" width="18.59765625" style="578" customWidth="1"/>
    <col min="15857" max="15857" width="15.09765625" style="578" customWidth="1"/>
    <col min="15858" max="15858" width="15.59765625" style="578" bestFit="1" customWidth="1"/>
    <col min="15859" max="15859" width="16.3984375" style="578" customWidth="1"/>
    <col min="15860" max="15860" width="13.8984375" style="578" customWidth="1"/>
    <col min="15861" max="15861" width="18.59765625" style="578" customWidth="1"/>
    <col min="15862" max="15862" width="3" style="578" customWidth="1"/>
    <col min="15863" max="15863" width="4" style="578" customWidth="1"/>
    <col min="15864" max="15864" width="24.5" style="578" customWidth="1"/>
    <col min="15865" max="15865" width="8.8984375" style="578" customWidth="1"/>
    <col min="15866" max="15866" width="10.8984375" style="578" customWidth="1"/>
    <col min="15867" max="15867" width="10" style="578" customWidth="1"/>
    <col min="15868" max="15868" width="17.3984375" style="578" customWidth="1"/>
    <col min="15869" max="15869" width="10.8984375" style="578" customWidth="1"/>
    <col min="15870" max="15870" width="10" style="578" customWidth="1"/>
    <col min="15871" max="15871" width="16.09765625" style="578" customWidth="1"/>
    <col min="15872" max="15872" width="10.8984375" style="578" customWidth="1"/>
    <col min="15873" max="15873" width="12" style="578" customWidth="1"/>
    <col min="15874" max="15874" width="18.8984375" style="578" customWidth="1"/>
    <col min="15875" max="15875" width="10.8984375" style="578" customWidth="1"/>
    <col min="15876" max="15876" width="16.19921875" style="578" bestFit="1" customWidth="1"/>
    <col min="15877" max="15877" width="12.3984375" style="578" bestFit="1" customWidth="1"/>
    <col min="15878" max="15878" width="10.8984375" style="578" customWidth="1"/>
    <col min="15879" max="15879" width="10" style="578" customWidth="1"/>
    <col min="15880" max="15880" width="17.5" style="578" customWidth="1"/>
    <col min="15881" max="15881" width="10.8984375" style="578" customWidth="1"/>
    <col min="15882" max="15882" width="16" style="578" customWidth="1"/>
    <col min="15883" max="15883" width="12.3984375" style="578" bestFit="1" customWidth="1"/>
    <col min="15884" max="16100" width="11" style="578"/>
    <col min="16101" max="16101" width="32.69921875" style="578" customWidth="1"/>
    <col min="16102" max="16102" width="14.5" style="578" customWidth="1"/>
    <col min="16103" max="16103" width="15.59765625" style="578" bestFit="1" customWidth="1"/>
    <col min="16104" max="16104" width="15.5" style="578" customWidth="1"/>
    <col min="16105" max="16105" width="15.59765625" style="578" customWidth="1"/>
    <col min="16106" max="16106" width="15.59765625" style="578" bestFit="1" customWidth="1"/>
    <col min="16107" max="16107" width="15.8984375" style="578" customWidth="1"/>
    <col min="16108" max="16108" width="14.8984375" style="578" customWidth="1"/>
    <col min="16109" max="16109" width="14.5" style="578" customWidth="1"/>
    <col min="16110" max="16110" width="15.8984375" style="578" customWidth="1"/>
    <col min="16111" max="16111" width="12" style="578" bestFit="1" customWidth="1"/>
    <col min="16112" max="16112" width="18.59765625" style="578" customWidth="1"/>
    <col min="16113" max="16113" width="15.09765625" style="578" customWidth="1"/>
    <col min="16114" max="16114" width="15.59765625" style="578" bestFit="1" customWidth="1"/>
    <col min="16115" max="16115" width="16.3984375" style="578" customWidth="1"/>
    <col min="16116" max="16116" width="13.8984375" style="578" customWidth="1"/>
    <col min="16117" max="16117" width="18.59765625" style="578" customWidth="1"/>
    <col min="16118" max="16118" width="3" style="578" customWidth="1"/>
    <col min="16119" max="16119" width="4" style="578" customWidth="1"/>
    <col min="16120" max="16120" width="24.5" style="578" customWidth="1"/>
    <col min="16121" max="16121" width="8.8984375" style="578" customWidth="1"/>
    <col min="16122" max="16122" width="10.8984375" style="578" customWidth="1"/>
    <col min="16123" max="16123" width="10" style="578" customWidth="1"/>
    <col min="16124" max="16124" width="17.3984375" style="578" customWidth="1"/>
    <col min="16125" max="16125" width="10.8984375" style="578" customWidth="1"/>
    <col min="16126" max="16126" width="10" style="578" customWidth="1"/>
    <col min="16127" max="16127" width="16.09765625" style="578" customWidth="1"/>
    <col min="16128" max="16128" width="10.8984375" style="578" customWidth="1"/>
    <col min="16129" max="16129" width="12" style="578" customWidth="1"/>
    <col min="16130" max="16130" width="18.8984375" style="578" customWidth="1"/>
    <col min="16131" max="16131" width="10.8984375" style="578" customWidth="1"/>
    <col min="16132" max="16132" width="16.19921875" style="578" bestFit="1" customWidth="1"/>
    <col min="16133" max="16133" width="12.3984375" style="578" bestFit="1" customWidth="1"/>
    <col min="16134" max="16134" width="10.8984375" style="578" customWidth="1"/>
    <col min="16135" max="16135" width="10" style="578" customWidth="1"/>
    <col min="16136" max="16136" width="17.5" style="578" customWidth="1"/>
    <col min="16137" max="16137" width="10.8984375" style="578" customWidth="1"/>
    <col min="16138" max="16138" width="16" style="578" customWidth="1"/>
    <col min="16139" max="16139" width="12.3984375" style="578" bestFit="1" customWidth="1"/>
    <col min="16140" max="16384" width="11" style="578"/>
  </cols>
  <sheetData>
    <row r="1" spans="1:219" ht="41.25" customHeight="1">
      <c r="B1" s="1413" t="str">
        <f>"Budget 2022 Mensuel Révisé"&amp;" "&amp;Parametres!$B$1</f>
        <v>Budget 2022 Mensuel Révisé Volks</v>
      </c>
      <c r="C1" s="1413"/>
      <c r="D1" s="1413"/>
      <c r="E1" s="1413"/>
      <c r="F1" s="1413"/>
      <c r="G1" s="1413"/>
      <c r="H1" s="1413"/>
      <c r="I1" s="1413"/>
      <c r="J1" s="1413"/>
      <c r="K1" s="1413"/>
      <c r="L1" s="1413"/>
      <c r="M1" s="1413"/>
      <c r="N1" s="1413"/>
      <c r="O1" s="1413"/>
      <c r="P1" s="1413"/>
      <c r="Q1" s="1413"/>
      <c r="R1" s="1413"/>
      <c r="S1" s="1413"/>
      <c r="T1" s="1413"/>
      <c r="U1" s="1413"/>
      <c r="V1" s="1413"/>
      <c r="W1" s="1413"/>
      <c r="X1" s="1413"/>
      <c r="Y1" s="1413"/>
      <c r="Z1" s="1413"/>
      <c r="AA1" s="1413"/>
      <c r="AB1" s="1413"/>
      <c r="AC1" s="1413"/>
      <c r="AD1" s="1413"/>
      <c r="AE1" s="1413"/>
      <c r="AF1" s="1413"/>
      <c r="AG1" s="1413"/>
      <c r="AH1" s="1413"/>
      <c r="AI1" s="1413"/>
      <c r="AJ1" s="1413"/>
      <c r="AK1" s="1413"/>
      <c r="AL1" s="1413"/>
      <c r="AM1" s="1413"/>
      <c r="AN1" s="1413"/>
      <c r="AO1" s="1413"/>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
      </c>
      <c r="P2" s="610" t="str">
        <f>+IF(Parametres!$B$3=O$6,"O","")</f>
        <v/>
      </c>
      <c r="Q2" s="610" t="str">
        <f>+IF(Parametres!$B$3=O$6,"U","")</f>
        <v/>
      </c>
      <c r="R2" s="610" t="str">
        <f>+IF(Parametres!$B$3=R$6,"X","")</f>
        <v>X</v>
      </c>
      <c r="S2" s="610" t="str">
        <f>+IF(Parametres!$B$3=R$6,"O","")</f>
        <v>O</v>
      </c>
      <c r="T2" s="610" t="str">
        <f>+IF(Parametres!$B$3=R$6,"U","")</f>
        <v>U</v>
      </c>
      <c r="U2" s="610" t="str">
        <f>+IF(Parametres!$B$3=U$6,"X","")</f>
        <v/>
      </c>
      <c r="V2" s="610" t="str">
        <f>+IF(Parametres!$B$3=U$6,"O","")</f>
        <v/>
      </c>
      <c r="W2" s="610" t="str">
        <f>+IF(Parametres!$B$3=U$6,"U","")</f>
        <v/>
      </c>
      <c r="X2" s="610" t="str">
        <f>+IF(Parametres!$B$3=X$6,"X","")</f>
        <v/>
      </c>
      <c r="Y2" s="610" t="str">
        <f>+IF(Parametres!$B$3=X$6,"O","")</f>
        <v/>
      </c>
      <c r="Z2" s="610" t="str">
        <f>+IF(Parametres!$B$3=X$6,"U","")</f>
        <v/>
      </c>
      <c r="AA2" s="610" t="str">
        <f>+IF(Parametres!$B$3=AA$6,"X","")</f>
        <v/>
      </c>
      <c r="AB2" s="610" t="str">
        <f>+IF(Parametres!$B$3=AA$6,"O","")</f>
        <v/>
      </c>
      <c r="AC2" s="610" t="str">
        <f>+IF(Parametres!$B$3=AA$6,"U","")</f>
        <v/>
      </c>
      <c r="AD2" s="610" t="str">
        <f>+IF(Parametres!$B$3=AD$6,"X","")</f>
        <v/>
      </c>
      <c r="AE2" s="610" t="str">
        <f>+IF(Parametres!$B$3=AD$6,"O","")</f>
        <v/>
      </c>
      <c r="AF2" s="610" t="str">
        <f>+IF(Parametres!$B$3=AD$6,"U","")</f>
        <v/>
      </c>
      <c r="AG2" s="610" t="str">
        <f>+IF(Parametres!$B$3=AG$6,"X","")</f>
        <v/>
      </c>
      <c r="AH2" s="610" t="str">
        <f>+IF(Parametres!$B$3=AG$6,"O","")</f>
        <v/>
      </c>
      <c r="AI2" s="610" t="str">
        <f>+IF(Parametres!$B$3=AG$6,"U","")</f>
        <v/>
      </c>
      <c r="AJ2" s="610" t="str">
        <f>+IF(Parametres!$B$3=AJ$6,"X","")</f>
        <v/>
      </c>
      <c r="AK2" s="610" t="str">
        <f>+IF(Parametres!$B$3=AJ$6,"O","")</f>
        <v/>
      </c>
      <c r="AL2" s="610" t="str">
        <f>+IF(Parametres!$B$3=AJ$6,"U","")</f>
        <v/>
      </c>
      <c r="AM2" s="610" t="str">
        <f>+IF(Parametres!$B$3=AM$6,"X","")</f>
        <v/>
      </c>
      <c r="AN2" s="610" t="str">
        <f>+IF(Parametres!$B$3=AM$6,"O","")</f>
        <v/>
      </c>
      <c r="AO2" s="610" t="str">
        <f>+IF(Parametres!$B$3=AM$6,"U","")</f>
        <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X</v>
      </c>
      <c r="S3" s="615" t="str">
        <f>+IF(VLOOKUP(R$6,Parametres!$K$3:$N$14,4,0)="X","O","")</f>
        <v>O</v>
      </c>
      <c r="T3" s="615" t="str">
        <f>+IF(VLOOKUP(R$6,Parametres!$K$3:$N$14,4,0)="X","U","")</f>
        <v>U</v>
      </c>
      <c r="U3" s="615" t="str">
        <f>+IF(VLOOKUP(U$6,Parametres!$K$3:$N$14,4,0)="X","X","")</f>
        <v/>
      </c>
      <c r="V3" s="615" t="str">
        <f>+IF(VLOOKUP(U$6,Parametres!$K$3:$N$14,4,0)="X","O","")</f>
        <v/>
      </c>
      <c r="W3" s="615" t="str">
        <f>+IF(VLOOKUP(U$6,Parametres!$K$3:$N$14,4,0)="X","U","")</f>
        <v/>
      </c>
      <c r="X3" s="615" t="str">
        <f>+IF(VLOOKUP(X$6,Parametres!$K$3:$N$14,4,0)="X","X","")</f>
        <v/>
      </c>
      <c r="Y3" s="615" t="str">
        <f>+IF(VLOOKUP(X$6,Parametres!$K$3:$N$14,4,0)="X","O","")</f>
        <v/>
      </c>
      <c r="Z3" s="615" t="str">
        <f>+IF(VLOOKUP(X$6,Parametres!$K$3:$N$14,4,0)="X","U","")</f>
        <v/>
      </c>
      <c r="AA3" s="615" t="str">
        <f>+IF(VLOOKUP(AA$6,Parametres!$K$3:$N$14,4,0)="X","X","")</f>
        <v/>
      </c>
      <c r="AB3" s="615" t="str">
        <f>+IF(VLOOKUP(AA$6,Parametres!$K$3:$N$14,4,0)="X","O","")</f>
        <v/>
      </c>
      <c r="AC3" s="615" t="str">
        <f>+IF(VLOOKUP(AA$6,Parametres!$K$3:$N$14,4,0)="X","U","")</f>
        <v/>
      </c>
      <c r="AD3" s="615" t="str">
        <f>+IF(VLOOKUP(AD$6,Parametres!$K$3:$N$14,4,0)="X","X","")</f>
        <v/>
      </c>
      <c r="AE3" s="615" t="str">
        <f>+IF(VLOOKUP(AD$6,Parametres!$K$3:$N$14,4,0)="X","O","")</f>
        <v/>
      </c>
      <c r="AF3" s="615" t="str">
        <f>+IF(VLOOKUP(AD$6,Parametres!$K$3:$N$14,4,0)="X","U","")</f>
        <v/>
      </c>
      <c r="AG3" s="615" t="str">
        <f>+IF(VLOOKUP(AG$6,Parametres!$K$3:$N$14,4,0)="X","X","")</f>
        <v/>
      </c>
      <c r="AH3" s="615" t="str">
        <f>+IF(VLOOKUP(AG$6,Parametres!$K$3:$N$14,4,0)="X","O","")</f>
        <v/>
      </c>
      <c r="AI3" s="615" t="str">
        <f>+IF(VLOOKUP(AG$6,Parametres!$K$3:$N$14,4,0)="X","U","")</f>
        <v/>
      </c>
      <c r="AJ3" s="615" t="str">
        <f>+IF(VLOOKUP(AJ$6,Parametres!$K$3:$N$14,4,0)="X","X","")</f>
        <v/>
      </c>
      <c r="AK3" s="615" t="str">
        <f>+IF(VLOOKUP(AJ$6,Parametres!$K$3:$N$14,4,0)="X","O","")</f>
        <v/>
      </c>
      <c r="AL3" s="615" t="str">
        <f>+IF(VLOOKUP(AJ$6,Parametres!$K$3:$N$14,4,0)="X","U","")</f>
        <v/>
      </c>
      <c r="AM3" s="615" t="str">
        <f>+IF(VLOOKUP(AM$6,Parametres!$K$3:$N$14,4,0)="X","X","")</f>
        <v/>
      </c>
      <c r="AN3" s="615" t="str">
        <f>+IF(VLOOKUP(AM$6,Parametres!$K$3:$N$14,4,0)="X","O","")</f>
        <v/>
      </c>
      <c r="AO3" s="615" t="str">
        <f>+IF(VLOOKUP(AM$6,Parametres!$K$3:$N$14,4,0)="X","U","")</f>
        <v/>
      </c>
    </row>
    <row r="4" spans="1:219" s="579" customFormat="1" ht="35.4">
      <c r="A4" s="1091"/>
      <c r="B4" s="1091" t="s">
        <v>2962</v>
      </c>
      <c r="C4" s="1414" t="s">
        <v>75</v>
      </c>
      <c r="D4" s="1414"/>
      <c r="E4" s="1414"/>
      <c r="F4" s="1414"/>
      <c r="G4" s="1414"/>
      <c r="H4" s="1414"/>
      <c r="I4" s="1414"/>
      <c r="J4" s="1414"/>
      <c r="K4" s="1414"/>
      <c r="L4" s="1414"/>
      <c r="M4" s="1414"/>
      <c r="N4" s="1414"/>
      <c r="O4" s="1414"/>
      <c r="P4" s="1414"/>
      <c r="Q4" s="1414"/>
      <c r="R4" s="1414"/>
      <c r="S4" s="1414"/>
      <c r="T4" s="1414"/>
      <c r="U4" s="1414"/>
      <c r="V4" s="1414"/>
      <c r="W4" s="1414"/>
      <c r="X4" s="1414"/>
      <c r="Y4" s="1414"/>
      <c r="Z4" s="1414"/>
      <c r="AA4" s="1414"/>
      <c r="AB4" s="1414"/>
      <c r="AC4" s="1414"/>
      <c r="AD4" s="1414"/>
      <c r="AE4" s="1414"/>
      <c r="AF4" s="1414"/>
      <c r="AG4" s="1414"/>
      <c r="AH4" s="1414"/>
      <c r="AI4" s="1414"/>
      <c r="AJ4" s="1414"/>
      <c r="AK4" s="1414"/>
      <c r="AL4" s="1414"/>
      <c r="AM4" s="1414"/>
      <c r="AN4" s="1414"/>
      <c r="AO4" s="1414"/>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6" thickTop="1">
      <c r="A6" s="611"/>
      <c r="B6" s="1092" t="s">
        <v>1928</v>
      </c>
      <c r="C6" s="1410">
        <v>2022</v>
      </c>
      <c r="D6" s="1411"/>
      <c r="E6" s="1412"/>
      <c r="F6" s="1007" t="s">
        <v>1929</v>
      </c>
      <c r="G6" s="1008"/>
      <c r="H6" s="1009"/>
      <c r="I6" s="1007" t="s">
        <v>1930</v>
      </c>
      <c r="J6" s="1008"/>
      <c r="K6" s="1009"/>
      <c r="L6" s="1007" t="s">
        <v>1931</v>
      </c>
      <c r="M6" s="1008"/>
      <c r="N6" s="1009"/>
      <c r="O6" s="1007" t="s">
        <v>1932</v>
      </c>
      <c r="P6" s="1008"/>
      <c r="Q6" s="1009"/>
      <c r="R6" s="1007" t="s">
        <v>1933</v>
      </c>
      <c r="S6" s="1008"/>
      <c r="T6" s="1009"/>
      <c r="U6" s="1007" t="s">
        <v>1912</v>
      </c>
      <c r="V6" s="1008"/>
      <c r="W6" s="1009"/>
      <c r="X6" s="1007" t="s">
        <v>1934</v>
      </c>
      <c r="Y6" s="1008"/>
      <c r="Z6" s="1009"/>
      <c r="AA6" s="1007" t="s">
        <v>1935</v>
      </c>
      <c r="AB6" s="1008"/>
      <c r="AC6" s="1009"/>
      <c r="AD6" s="1007" t="s">
        <v>3</v>
      </c>
      <c r="AE6" s="1008"/>
      <c r="AF6" s="1009"/>
      <c r="AG6" s="1007" t="s">
        <v>1936</v>
      </c>
      <c r="AH6" s="1008"/>
      <c r="AI6" s="1009"/>
      <c r="AJ6" s="1007" t="s">
        <v>1937</v>
      </c>
      <c r="AK6" s="1008"/>
      <c r="AL6" s="1009"/>
      <c r="AM6" s="1007" t="s">
        <v>1938</v>
      </c>
      <c r="AN6" s="1008"/>
      <c r="AO6" s="1009"/>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399999999999999">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399999999999999">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399999999999999">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399999999999999">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399999999999999">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399999999999999">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399999999999999">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399999999999999">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399999999999999">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1">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399999999999999">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1">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399999999999999">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1">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1">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1">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1">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399999999999999">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399999999999999">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399999999999999">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1">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399999999999999">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6"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6"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6"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1">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399999999999999">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399999999999999">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399999999999999">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399999999999999">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399999999999999">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399999999999999">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399999999999999">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399999999999999">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399999999999999">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399999999999999">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1">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399999999999999">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399999999999999">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399999999999999">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399999999999999">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399999999999999">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399999999999999">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399999999999999">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399999999999999">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399999999999999">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399999999999999">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399999999999999">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399999999999999">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1">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399999999999999">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399999999999999">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399999999999999">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399999999999999">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399999999999999">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399999999999999">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399999999999999">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399999999999999">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399999999999999">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399999999999999">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399999999999999">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399999999999999">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399999999999999">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399999999999999">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399999999999999">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399999999999999">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399999999999999">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1">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399999999999999">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1">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399999999999999">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399999999999999">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399999999999999">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399999999999999">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399999999999999">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399999999999999">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399999999999999">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399999999999999">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1">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1">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6"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2.8">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2.8">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399999999999999">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4">
      <c r="A92" s="612"/>
      <c r="B92" s="776" t="str">
        <f>B4</f>
        <v>Budget 2022</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6" thickTop="1">
      <c r="A94" s="612"/>
      <c r="B94" s="1092" t="s">
        <v>1928</v>
      </c>
      <c r="C94" s="1410">
        <v>2022</v>
      </c>
      <c r="D94" s="1411"/>
      <c r="E94" s="1412"/>
      <c r="F94" s="1007" t="s">
        <v>1929</v>
      </c>
      <c r="G94" s="1008"/>
      <c r="H94" s="1009"/>
      <c r="I94" s="1007" t="s">
        <v>1930</v>
      </c>
      <c r="J94" s="1008"/>
      <c r="K94" s="1009"/>
      <c r="L94" s="1007" t="s">
        <v>1931</v>
      </c>
      <c r="M94" s="1008"/>
      <c r="N94" s="1009"/>
      <c r="O94" s="1007" t="s">
        <v>1932</v>
      </c>
      <c r="P94" s="1008"/>
      <c r="Q94" s="1009"/>
      <c r="R94" s="1007" t="s">
        <v>1933</v>
      </c>
      <c r="S94" s="1008"/>
      <c r="T94" s="1009"/>
      <c r="U94" s="1007" t="s">
        <v>1912</v>
      </c>
      <c r="V94" s="1008"/>
      <c r="W94" s="1009"/>
      <c r="X94" s="1007" t="s">
        <v>1934</v>
      </c>
      <c r="Y94" s="1008"/>
      <c r="Z94" s="1009"/>
      <c r="AA94" s="1007" t="s">
        <v>1935</v>
      </c>
      <c r="AB94" s="1008"/>
      <c r="AC94" s="1009"/>
      <c r="AD94" s="1007" t="s">
        <v>3</v>
      </c>
      <c r="AE94" s="1008"/>
      <c r="AF94" s="1009"/>
      <c r="AG94" s="1007" t="s">
        <v>1936</v>
      </c>
      <c r="AH94" s="1008"/>
      <c r="AI94" s="1009"/>
      <c r="AJ94" s="1007" t="s">
        <v>1937</v>
      </c>
      <c r="AK94" s="1008"/>
      <c r="AL94" s="1009"/>
      <c r="AM94" s="1007" t="s">
        <v>1938</v>
      </c>
      <c r="AN94" s="1008"/>
      <c r="AO94" s="1009"/>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399999999999999">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399999999999999">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399999999999999">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399999999999999">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1">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399999999999999">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399999999999999">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399999999999999">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399999999999999">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399999999999999">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399999999999999">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399999999999999">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1">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399999999999999">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6"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6"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6"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1">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399999999999999">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399999999999999">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399999999999999">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399999999999999">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399999999999999">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399999999999999">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399999999999999">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399999999999999">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399999999999999">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399999999999999">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1">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399999999999999">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399999999999999">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399999999999999">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399999999999999">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399999999999999">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399999999999999">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399999999999999">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399999999999999">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399999999999999">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399999999999999">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399999999999999">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399999999999999">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1">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399999999999999">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399999999999999">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399999999999999">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399999999999999">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399999999999999">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399999999999999">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399999999999999">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399999999999999">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399999999999999">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399999999999999">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399999999999999">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399999999999999">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399999999999999">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399999999999999">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399999999999999">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399999999999999">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399999999999999">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1">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399999999999999">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1">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399999999999999">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399999999999999">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399999999999999">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399999999999999">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399999999999999">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399999999999999">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399999999999999">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1">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399999999999999">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6"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399999999999999">
      <c r="A168" s="612"/>
      <c r="B168" s="775"/>
      <c r="C168" s="775"/>
      <c r="D168" s="775"/>
      <c r="E168" s="792"/>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399999999999999">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4">
      <c r="A170" s="612"/>
      <c r="B170" s="776" t="str">
        <f>B4</f>
        <v>Budget 2022</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6" thickTop="1">
      <c r="A172" s="612"/>
      <c r="B172" s="1092" t="s">
        <v>1928</v>
      </c>
      <c r="C172" s="1410">
        <v>2022</v>
      </c>
      <c r="D172" s="1411"/>
      <c r="E172" s="1412"/>
      <c r="F172" s="1007" t="s">
        <v>1929</v>
      </c>
      <c r="G172" s="1008"/>
      <c r="H172" s="1009"/>
      <c r="I172" s="1007" t="s">
        <v>1930</v>
      </c>
      <c r="J172" s="1008"/>
      <c r="K172" s="1009"/>
      <c r="L172" s="1007" t="s">
        <v>1931</v>
      </c>
      <c r="M172" s="1008"/>
      <c r="N172" s="1009"/>
      <c r="O172" s="1007" t="s">
        <v>1932</v>
      </c>
      <c r="P172" s="1008"/>
      <c r="Q172" s="1009"/>
      <c r="R172" s="1007" t="s">
        <v>1933</v>
      </c>
      <c r="S172" s="1008"/>
      <c r="T172" s="1009"/>
      <c r="U172" s="1007" t="s">
        <v>1912</v>
      </c>
      <c r="V172" s="1008"/>
      <c r="W172" s="1009"/>
      <c r="X172" s="1007" t="s">
        <v>1934</v>
      </c>
      <c r="Y172" s="1008"/>
      <c r="Z172" s="1009"/>
      <c r="AA172" s="1007" t="s">
        <v>1935</v>
      </c>
      <c r="AB172" s="1008"/>
      <c r="AC172" s="1009"/>
      <c r="AD172" s="1007" t="s">
        <v>3</v>
      </c>
      <c r="AE172" s="1008"/>
      <c r="AF172" s="1009"/>
      <c r="AG172" s="1007" t="s">
        <v>1936</v>
      </c>
      <c r="AH172" s="1008"/>
      <c r="AI172" s="1009"/>
      <c r="AJ172" s="1007" t="s">
        <v>1937</v>
      </c>
      <c r="AK172" s="1008"/>
      <c r="AL172" s="1009"/>
      <c r="AM172" s="1007" t="s">
        <v>1938</v>
      </c>
      <c r="AN172" s="1008"/>
      <c r="AO172" s="1009"/>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399999999999999">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399999999999999">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399999999999999">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399999999999999">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399999999999999">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399999999999999">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399999999999999">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399999999999999">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399999999999999">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399999999999999">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399999999999999">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1">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1">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6"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1">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1">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399999999999999">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399999999999999">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399999999999999">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399999999999999">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399999999999999">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6"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6"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6"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6"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1">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399999999999999">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399999999999999">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399999999999999">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399999999999999">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399999999999999">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399999999999999">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399999999999999">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399999999999999">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1">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399999999999999">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399999999999999">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399999999999999">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399999999999999">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399999999999999">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399999999999999">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399999999999999">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399999999999999">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399999999999999">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399999999999999">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399999999999999">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399999999999999">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399999999999999">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399999999999999">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399999999999999">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1">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399999999999999">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1">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399999999999999">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6"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399999999999999">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399999999999999">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4">
      <c r="A238" s="612"/>
      <c r="B238" s="776" t="str">
        <f>B4</f>
        <v>Budget 2022</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6" thickTop="1">
      <c r="A240" s="612"/>
      <c r="B240" s="1092" t="s">
        <v>1928</v>
      </c>
      <c r="C240" s="1410">
        <v>2022</v>
      </c>
      <c r="D240" s="1411"/>
      <c r="E240" s="1412"/>
      <c r="F240" s="1007" t="s">
        <v>1929</v>
      </c>
      <c r="G240" s="1008"/>
      <c r="H240" s="1009"/>
      <c r="I240" s="1007" t="s">
        <v>1930</v>
      </c>
      <c r="J240" s="1008"/>
      <c r="K240" s="1009"/>
      <c r="L240" s="1007" t="s">
        <v>1931</v>
      </c>
      <c r="M240" s="1008"/>
      <c r="N240" s="1009"/>
      <c r="O240" s="1007" t="s">
        <v>1932</v>
      </c>
      <c r="P240" s="1008"/>
      <c r="Q240" s="1009"/>
      <c r="R240" s="1007" t="s">
        <v>1933</v>
      </c>
      <c r="S240" s="1008"/>
      <c r="T240" s="1009"/>
      <c r="U240" s="1007" t="s">
        <v>1912</v>
      </c>
      <c r="V240" s="1008"/>
      <c r="W240" s="1009"/>
      <c r="X240" s="1007" t="s">
        <v>1934</v>
      </c>
      <c r="Y240" s="1008"/>
      <c r="Z240" s="1009"/>
      <c r="AA240" s="1007" t="s">
        <v>1935</v>
      </c>
      <c r="AB240" s="1008"/>
      <c r="AC240" s="1009"/>
      <c r="AD240" s="1007" t="s">
        <v>3</v>
      </c>
      <c r="AE240" s="1008"/>
      <c r="AF240" s="1009"/>
      <c r="AG240" s="1007" t="s">
        <v>1936</v>
      </c>
      <c r="AH240" s="1008"/>
      <c r="AI240" s="1009"/>
      <c r="AJ240" s="1007" t="s">
        <v>1937</v>
      </c>
      <c r="AK240" s="1008"/>
      <c r="AL240" s="1009"/>
      <c r="AM240" s="1007" t="s">
        <v>1938</v>
      </c>
      <c r="AN240" s="1008"/>
      <c r="AO240" s="1009"/>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399999999999999">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399999999999999">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399999999999999">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399999999999999">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399999999999999">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399999999999999">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399999999999999">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399999999999999">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399999999999999">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399999999999999">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6"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6"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1">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399999999999999">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399999999999999">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399999999999999">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399999999999999">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399999999999999">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399999999999999">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399999999999999">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399999999999999">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1">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399999999999999">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399999999999999">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399999999999999">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399999999999999">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399999999999999">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399999999999999">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399999999999999">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399999999999999">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399999999999999">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399999999999999">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399999999999999">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399999999999999">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399999999999999">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399999999999999">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399999999999999">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1">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399999999999999">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1">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399999999999999">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6"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399999999999999">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4">
      <c r="A293" s="612"/>
      <c r="B293" s="776" t="str">
        <f>B4</f>
        <v>Budget 2022</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6" thickTop="1">
      <c r="A295" s="612"/>
      <c r="B295" s="1092" t="s">
        <v>1928</v>
      </c>
      <c r="C295" s="1410">
        <v>2022</v>
      </c>
      <c r="D295" s="1411"/>
      <c r="E295" s="1412"/>
      <c r="F295" s="1007" t="s">
        <v>1929</v>
      </c>
      <c r="G295" s="1008"/>
      <c r="H295" s="1009"/>
      <c r="I295" s="1007" t="s">
        <v>1930</v>
      </c>
      <c r="J295" s="1008"/>
      <c r="K295" s="1009"/>
      <c r="L295" s="1007" t="s">
        <v>1931</v>
      </c>
      <c r="M295" s="1008"/>
      <c r="N295" s="1009"/>
      <c r="O295" s="1007" t="s">
        <v>1932</v>
      </c>
      <c r="P295" s="1008"/>
      <c r="Q295" s="1009"/>
      <c r="R295" s="1007" t="s">
        <v>1933</v>
      </c>
      <c r="S295" s="1008"/>
      <c r="T295" s="1009"/>
      <c r="U295" s="1007" t="s">
        <v>1912</v>
      </c>
      <c r="V295" s="1008"/>
      <c r="W295" s="1009"/>
      <c r="X295" s="1007" t="s">
        <v>1934</v>
      </c>
      <c r="Y295" s="1008"/>
      <c r="Z295" s="1009"/>
      <c r="AA295" s="1007" t="s">
        <v>1935</v>
      </c>
      <c r="AB295" s="1008"/>
      <c r="AC295" s="1009"/>
      <c r="AD295" s="1007" t="s">
        <v>3</v>
      </c>
      <c r="AE295" s="1008"/>
      <c r="AF295" s="1009"/>
      <c r="AG295" s="1007" t="s">
        <v>1936</v>
      </c>
      <c r="AH295" s="1008"/>
      <c r="AI295" s="1009"/>
      <c r="AJ295" s="1007" t="s">
        <v>1937</v>
      </c>
      <c r="AK295" s="1008"/>
      <c r="AL295" s="1009"/>
      <c r="AM295" s="1007" t="s">
        <v>1938</v>
      </c>
      <c r="AN295" s="1008"/>
      <c r="AO295" s="1009"/>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399999999999999">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399999999999999">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399999999999999">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399999999999999">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399999999999999">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399999999999999">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399999999999999">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399999999999999">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399999999999999">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399999999999999">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1">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399999999999999">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399999999999999">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399999999999999">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399999999999999">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1">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399999999999999">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399999999999999">
      <c r="A313" s="612" t="str">
        <f t="shared" si="964"/>
        <v>Pièces</v>
      </c>
      <c r="B313" s="702"/>
      <c r="C313" s="793">
        <f>+SUM(F313,I313,L313,O313,R313,U313,X313,AA313,AD313,AG313,AJ313,AM313)</f>
        <v>0</v>
      </c>
      <c r="D313" s="1125">
        <f>IF(C313&lt;=0,0,E313/C313)</f>
        <v>0</v>
      </c>
      <c r="E313" s="725">
        <f>+SUM(H313,K313,N313,Q313,T313,W313,Z313,AC313,AF313,AI313,AL313,AO313)</f>
        <v>0</v>
      </c>
      <c r="F313" s="702">
        <v>0</v>
      </c>
      <c r="G313" s="1126">
        <f>IF(F313&lt;=0,0,H313/F313)</f>
        <v>0</v>
      </c>
      <c r="H313" s="712">
        <v>0</v>
      </c>
      <c r="I313" s="702">
        <v>0</v>
      </c>
      <c r="J313" s="1126">
        <f t="shared" ref="J313:J314" si="1015">IF(I313&lt;=0,0,K313/I313)</f>
        <v>0</v>
      </c>
      <c r="K313" s="712">
        <v>0</v>
      </c>
      <c r="L313" s="702">
        <v>0</v>
      </c>
      <c r="M313" s="1126">
        <f t="shared" ref="M313:M314" si="1016">IF(L313&lt;=0,0,N313/L313)</f>
        <v>0</v>
      </c>
      <c r="N313" s="712">
        <v>0</v>
      </c>
      <c r="O313" s="702">
        <v>0</v>
      </c>
      <c r="P313" s="1126">
        <f t="shared" ref="P313:P314" si="1017">IF(O313&lt;=0,0,Q313/O313)</f>
        <v>0</v>
      </c>
      <c r="Q313" s="712">
        <v>0</v>
      </c>
      <c r="R313" s="702">
        <v>0</v>
      </c>
      <c r="S313" s="1126">
        <f t="shared" ref="S313:S314" si="1018">IF(R313&lt;=0,0,T313/R313)</f>
        <v>0</v>
      </c>
      <c r="T313" s="712">
        <v>0</v>
      </c>
      <c r="U313" s="702">
        <v>0</v>
      </c>
      <c r="V313" s="1126">
        <f t="shared" ref="V313:V314" si="1019">IF(U313&lt;=0,0,W313/U313)</f>
        <v>0</v>
      </c>
      <c r="W313" s="712">
        <v>0</v>
      </c>
      <c r="X313" s="702">
        <v>0</v>
      </c>
      <c r="Y313" s="1126">
        <f t="shared" ref="Y313:Y314" si="1020">IF(X313&lt;=0,0,Z313/X313)</f>
        <v>0</v>
      </c>
      <c r="Z313" s="712">
        <v>0</v>
      </c>
      <c r="AA313" s="702">
        <v>0</v>
      </c>
      <c r="AB313" s="1126">
        <f t="shared" ref="AB313:AB314" si="1021">IF(AA313&lt;=0,0,AC313/AA313)</f>
        <v>0</v>
      </c>
      <c r="AC313" s="712">
        <v>0</v>
      </c>
      <c r="AD313" s="702">
        <v>0</v>
      </c>
      <c r="AE313" s="1126">
        <f t="shared" ref="AE313:AE314" si="1022">IF(AD313&lt;=0,0,AF313/AD313)</f>
        <v>0</v>
      </c>
      <c r="AF313" s="712">
        <v>0</v>
      </c>
      <c r="AG313" s="702">
        <v>0</v>
      </c>
      <c r="AH313" s="1126">
        <f t="shared" ref="AH313:AH314" si="1023">IF(AG313&lt;=0,0,AI313/AG313)</f>
        <v>0</v>
      </c>
      <c r="AI313" s="712">
        <v>0</v>
      </c>
      <c r="AJ313" s="702">
        <v>0</v>
      </c>
      <c r="AK313" s="1126">
        <f t="shared" ref="AK313:AK314" si="1024">IF(AJ313&lt;=0,0,AL313/AJ313)</f>
        <v>0</v>
      </c>
      <c r="AL313" s="712">
        <v>0</v>
      </c>
      <c r="AM313" s="702">
        <v>0</v>
      </c>
      <c r="AN313" s="1126">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399999999999999">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6"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6"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6"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1">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399999999999999">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399999999999999">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399999999999999">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399999999999999">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399999999999999">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399999999999999">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399999999999999">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399999999999999">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399999999999999">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399999999999999">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399999999999999">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399999999999999">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1">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399999999999999">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399999999999999">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399999999999999">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399999999999999">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399999999999999">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399999999999999">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399999999999999">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399999999999999">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399999999999999">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399999999999999">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399999999999999">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399999999999999">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399999999999999">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399999999999999">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399999999999999">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399999999999999">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399999999999999">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399999999999999">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1">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399999999999999">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1">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399999999999999">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6"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1">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1">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4">
      <c r="A358" s="612"/>
      <c r="B358" s="776" t="str">
        <f>+B293</f>
        <v>Budget 2022</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6" thickTop="1">
      <c r="A360" s="612"/>
      <c r="B360" s="1092" t="s">
        <v>1928</v>
      </c>
      <c r="C360" s="1410">
        <v>2022</v>
      </c>
      <c r="D360" s="1411"/>
      <c r="E360" s="1412"/>
      <c r="F360" s="1007" t="s">
        <v>1929</v>
      </c>
      <c r="G360" s="1008"/>
      <c r="H360" s="1009"/>
      <c r="I360" s="1007" t="s">
        <v>1930</v>
      </c>
      <c r="J360" s="1008"/>
      <c r="K360" s="1009"/>
      <c r="L360" s="1007" t="s">
        <v>1931</v>
      </c>
      <c r="M360" s="1008"/>
      <c r="N360" s="1009"/>
      <c r="O360" s="1007" t="s">
        <v>1932</v>
      </c>
      <c r="P360" s="1008"/>
      <c r="Q360" s="1009"/>
      <c r="R360" s="1007" t="s">
        <v>1933</v>
      </c>
      <c r="S360" s="1008"/>
      <c r="T360" s="1009"/>
      <c r="U360" s="1007" t="s">
        <v>1912</v>
      </c>
      <c r="V360" s="1008"/>
      <c r="W360" s="1009"/>
      <c r="X360" s="1007" t="s">
        <v>1934</v>
      </c>
      <c r="Y360" s="1008"/>
      <c r="Z360" s="1009"/>
      <c r="AA360" s="1007" t="s">
        <v>1935</v>
      </c>
      <c r="AB360" s="1008"/>
      <c r="AC360" s="1009"/>
      <c r="AD360" s="1007" t="s">
        <v>3</v>
      </c>
      <c r="AE360" s="1008"/>
      <c r="AF360" s="1009"/>
      <c r="AG360" s="1007" t="s">
        <v>1936</v>
      </c>
      <c r="AH360" s="1008"/>
      <c r="AI360" s="1009"/>
      <c r="AJ360" s="1007" t="s">
        <v>1937</v>
      </c>
      <c r="AK360" s="1008"/>
      <c r="AL360" s="1009"/>
      <c r="AM360" s="1007" t="s">
        <v>1938</v>
      </c>
      <c r="AN360" s="1008"/>
      <c r="AO360" s="1009"/>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6"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6"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6"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1">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1">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399999999999999">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399999999999999">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399999999999999">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399999999999999">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399999999999999">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399999999999999">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399999999999999">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399999999999999">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399999999999999">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399999999999999">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399999999999999">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399999999999999">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1">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399999999999999">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399999999999999">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399999999999999">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399999999999999">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399999999999999">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399999999999999">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399999999999999">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399999999999999">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399999999999999">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1">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399999999999999">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1">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2.2"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6" thickTop="1">
      <c r="A402" s="611"/>
      <c r="B402" s="785"/>
      <c r="C402" s="785"/>
      <c r="D402" s="785"/>
      <c r="E402" s="849"/>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399999999999999">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4">
      <c r="A404" s="611"/>
      <c r="B404" s="776" t="str">
        <f>B4</f>
        <v>Budget 2022</v>
      </c>
      <c r="C404" s="777" t="s">
        <v>193</v>
      </c>
      <c r="D404" s="777"/>
      <c r="E404" s="777"/>
      <c r="F404" s="777"/>
      <c r="G404" s="777"/>
      <c r="H404" s="1127"/>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28"/>
      <c r="D405" s="1128"/>
      <c r="E405" s="1128"/>
      <c r="F405" s="855"/>
      <c r="G405" s="855"/>
      <c r="H405" s="1129">
        <f>+F362+F316+G252+G196+H96+H8</f>
        <v>3013237.8887348697</v>
      </c>
      <c r="I405" s="855"/>
      <c r="J405" s="855"/>
      <c r="K405" s="1129">
        <f t="shared" ref="K405" si="1210">+I362+I316+J252+J196+K96+K8</f>
        <v>3063809.1271078121</v>
      </c>
      <c r="L405" s="855"/>
      <c r="M405" s="855"/>
      <c r="N405" s="1129">
        <f t="shared" ref="N405" si="1211">+L362+L316+M252+M196+N96+N8</f>
        <v>5036825.4105494414</v>
      </c>
      <c r="O405" s="855"/>
      <c r="P405" s="855"/>
      <c r="Q405" s="1129">
        <f t="shared" ref="Q405" si="1212">+O362+O316+P252+P196+Q96+Q8</f>
        <v>5458038.9390158504</v>
      </c>
      <c r="R405" s="855"/>
      <c r="S405" s="855"/>
      <c r="T405" s="1129">
        <f t="shared" ref="T405" si="1213">+R362+R316+S252+S196+T96+T8</f>
        <v>6023595.7978889085</v>
      </c>
      <c r="U405" s="855"/>
      <c r="V405" s="855"/>
      <c r="W405" s="1129">
        <f t="shared" ref="W405" si="1214">+U362+U316+V252+V196+W96+W8</f>
        <v>5215482.7763500381</v>
      </c>
      <c r="X405" s="855"/>
      <c r="Y405" s="855"/>
      <c r="Z405" s="1129">
        <f t="shared" ref="Z405" si="1215">+X362+X316+Y252+Y196+Z96+Z8</f>
        <v>5494518.5913875327</v>
      </c>
      <c r="AA405" s="855"/>
      <c r="AB405" s="855"/>
      <c r="AC405" s="1129">
        <f t="shared" ref="AC405" si="1216">+AA362+AA316+AB252+AB196+AC96+AC8</f>
        <v>5291083.2460958883</v>
      </c>
      <c r="AD405" s="855"/>
      <c r="AE405" s="855"/>
      <c r="AF405" s="1129">
        <f t="shared" ref="AF405" si="1217">+AD362+AD316+AE252+AE196+AF96+AF8</f>
        <v>4625273.705059493</v>
      </c>
      <c r="AG405" s="855"/>
      <c r="AH405" s="855"/>
      <c r="AI405" s="1129">
        <f t="shared" ref="AI405" si="1218">+AG362+AG316+AH252+AH196+AI96+AI8</f>
        <v>5228481.0007511191</v>
      </c>
      <c r="AJ405" s="855"/>
      <c r="AK405" s="855"/>
      <c r="AL405" s="1129">
        <f t="shared" ref="AL405" si="1219">+AJ362+AJ316+AK252+AK196+AL96+AL8</f>
        <v>4883911.9567251373</v>
      </c>
      <c r="AM405" s="855"/>
      <c r="AN405" s="855"/>
      <c r="AO405" s="1129">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6" thickTop="1">
      <c r="A406" s="611"/>
      <c r="B406" s="856" t="s">
        <v>1928</v>
      </c>
      <c r="C406" s="1410">
        <v>2022</v>
      </c>
      <c r="D406" s="1411"/>
      <c r="E406" s="1412"/>
      <c r="F406" s="1007" t="s">
        <v>1929</v>
      </c>
      <c r="G406" s="1008"/>
      <c r="H406" s="1009"/>
      <c r="I406" s="1007" t="s">
        <v>1930</v>
      </c>
      <c r="J406" s="1008"/>
      <c r="K406" s="1009"/>
      <c r="L406" s="1007" t="s">
        <v>1931</v>
      </c>
      <c r="M406" s="1008"/>
      <c r="N406" s="1009"/>
      <c r="O406" s="1007" t="s">
        <v>1932</v>
      </c>
      <c r="P406" s="1008"/>
      <c r="Q406" s="1009"/>
      <c r="R406" s="1007" t="s">
        <v>1933</v>
      </c>
      <c r="S406" s="1008"/>
      <c r="T406" s="1009"/>
      <c r="U406" s="1007" t="s">
        <v>1912</v>
      </c>
      <c r="V406" s="1008"/>
      <c r="W406" s="1009"/>
      <c r="X406" s="1007" t="s">
        <v>1934</v>
      </c>
      <c r="Y406" s="1008"/>
      <c r="Z406" s="1009"/>
      <c r="AA406" s="1007" t="s">
        <v>1935</v>
      </c>
      <c r="AB406" s="1008"/>
      <c r="AC406" s="1009"/>
      <c r="AD406" s="1007" t="s">
        <v>3</v>
      </c>
      <c r="AE406" s="1008"/>
      <c r="AF406" s="1009"/>
      <c r="AG406" s="1007" t="s">
        <v>1936</v>
      </c>
      <c r="AH406" s="1008"/>
      <c r="AI406" s="1009"/>
      <c r="AJ406" s="1007" t="s">
        <v>1937</v>
      </c>
      <c r="AK406" s="1008"/>
      <c r="AL406" s="1009"/>
      <c r="AM406" s="1007" t="s">
        <v>1938</v>
      </c>
      <c r="AN406" s="1008"/>
      <c r="AO406" s="1009"/>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399999999999999">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399999999999999">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399999999999999">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399999999999999">
      <c r="A410" s="611" t="str">
        <f t="shared" si="1232"/>
        <v>DÉPENSES</v>
      </c>
      <c r="B410" s="869" t="s">
        <v>206</v>
      </c>
      <c r="C410" s="870"/>
      <c r="D410" s="1130"/>
      <c r="E410" s="871"/>
      <c r="F410" s="870"/>
      <c r="G410" s="1130"/>
      <c r="H410" s="871"/>
      <c r="I410" s="870"/>
      <c r="J410" s="1130"/>
      <c r="K410" s="871"/>
      <c r="L410" s="870"/>
      <c r="M410" s="1130"/>
      <c r="N410" s="871"/>
      <c r="O410" s="870"/>
      <c r="P410" s="1130"/>
      <c r="Q410" s="871"/>
      <c r="R410" s="870"/>
      <c r="S410" s="1130"/>
      <c r="T410" s="871"/>
      <c r="U410" s="870"/>
      <c r="V410" s="1130"/>
      <c r="W410" s="871"/>
      <c r="X410" s="870"/>
      <c r="Y410" s="1130"/>
      <c r="Z410" s="871"/>
      <c r="AA410" s="870"/>
      <c r="AB410" s="1130"/>
      <c r="AC410" s="871"/>
      <c r="AD410" s="870"/>
      <c r="AE410" s="1130"/>
      <c r="AF410" s="871"/>
      <c r="AG410" s="870"/>
      <c r="AH410" s="1130"/>
      <c r="AI410" s="871"/>
      <c r="AJ410" s="870"/>
      <c r="AK410" s="1130"/>
      <c r="AL410" s="871"/>
      <c r="AM410" s="870"/>
      <c r="AN410" s="1130"/>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399999999999999">
      <c r="A411" s="611" t="str">
        <f t="shared" si="1232"/>
        <v>Comm. vendeurs</v>
      </c>
      <c r="B411" s="872" t="s">
        <v>103</v>
      </c>
      <c r="C411" s="873">
        <f>E411/(E99+E20+E18+E16)</f>
        <v>0.34609257887802841</v>
      </c>
      <c r="D411" s="1131">
        <f>IF(E411=0,0,E411/(C$16+C$99+C18+C20))</f>
        <v>578.36313325291746</v>
      </c>
      <c r="E411" s="871">
        <f t="shared" ref="E411:E420" si="1244">+SUM(H411,K411,N411,Q411,T411,W411,Z411,AC411,AF411,AI411,AL411,AO411)</f>
        <v>751872.07322879264</v>
      </c>
      <c r="F411" s="872"/>
      <c r="G411" s="1131">
        <f t="shared" ref="G411:G417" si="1245">IF(H411=0,0,H411/(F$16+F$99))</f>
        <v>690.03518112585482</v>
      </c>
      <c r="H411" s="871">
        <f t="shared" ref="H411:H420" si="1246">+SUMIF($B$4:$B$401,$B411,H$4:H$401)</f>
        <v>43144.883544682772</v>
      </c>
      <c r="I411" s="872"/>
      <c r="J411" s="1131">
        <f t="shared" ref="J411:J417" si="1247">IF(K411=0,0,K411/(I$16+I$99))</f>
        <v>679.41918632081831</v>
      </c>
      <c r="K411" s="871">
        <f t="shared" ref="K411:AO420" si="1248">+SUMIF($B$4:$B$401,$B411,K$4:K$401)</f>
        <v>43868.473216569088</v>
      </c>
      <c r="L411" s="872"/>
      <c r="M411" s="1131">
        <f t="shared" ref="M411:M417" si="1249">IF(N411=0,0,N411/(L$16+L$99))</f>
        <v>604.79628676207005</v>
      </c>
      <c r="N411" s="871">
        <f t="shared" si="1248"/>
        <v>67930.854758905232</v>
      </c>
      <c r="O411" s="872"/>
      <c r="P411" s="1131">
        <f t="shared" ref="P411:P417" si="1250">IF(Q411=0,0,Q411/(O$16+O$99))</f>
        <v>598.32002819221077</v>
      </c>
      <c r="Q411" s="871">
        <f t="shared" si="1248"/>
        <v>70834.561538141366</v>
      </c>
      <c r="R411" s="872"/>
      <c r="S411" s="1131">
        <f t="shared" ref="S411:S417" si="1251">IF(T411=0,0,T411/(R$16+R$99))</f>
        <v>592.20314527558082</v>
      </c>
      <c r="T411" s="871">
        <f t="shared" si="1248"/>
        <v>78257.70950617356</v>
      </c>
      <c r="U411" s="872"/>
      <c r="V411" s="1131">
        <f t="shared" ref="V411:V417" si="1252">IF(W411=0,0,W411/(U$16+U$99))</f>
        <v>596.91497446734923</v>
      </c>
      <c r="W411" s="871">
        <f t="shared" si="1248"/>
        <v>68407.517380264457</v>
      </c>
      <c r="X411" s="872"/>
      <c r="Y411" s="1131">
        <f t="shared" ref="Y411:Y417" si="1253">IF(Z411=0,0,Z411/(X$16+X$99))</f>
        <v>596.10741315198209</v>
      </c>
      <c r="Z411" s="871">
        <f t="shared" si="1248"/>
        <v>72864.282132539403</v>
      </c>
      <c r="AA411" s="872"/>
      <c r="AB411" s="1131">
        <f t="shared" ref="AB411:AB417" si="1254">IF(AC411=0,0,AC411/(AA$16+AA$99))</f>
        <v>606.91926758612487</v>
      </c>
      <c r="AC411" s="871">
        <f t="shared" si="1248"/>
        <v>70467.898916782142</v>
      </c>
      <c r="AD411" s="872"/>
      <c r="AE411" s="1131">
        <f t="shared" ref="AE411:AE417" si="1255">IF(AF411=0,0,AF411/(AD$16+AD$99))</f>
        <v>626.09573192565244</v>
      </c>
      <c r="AF411" s="871">
        <f t="shared" si="1248"/>
        <v>62766.613440309797</v>
      </c>
      <c r="AG411" s="872"/>
      <c r="AH411" s="1131">
        <f t="shared" ref="AH411:AH417" si="1256">IF(AI411=0,0,AI411/(AG$16+AG$99))</f>
        <v>607.49116390434085</v>
      </c>
      <c r="AI411" s="871">
        <f t="shared" si="1248"/>
        <v>67103.918799905194</v>
      </c>
      <c r="AJ411" s="872"/>
      <c r="AK411" s="1131">
        <f t="shared" ref="AK411:AK417" si="1257">IF(AL411=0,0,AL411/(AJ$16+AJ$99))</f>
        <v>628.31344977384799</v>
      </c>
      <c r="AL411" s="871">
        <f t="shared" si="1248"/>
        <v>61290.224156591386</v>
      </c>
      <c r="AM411" s="872"/>
      <c r="AN411" s="1131">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399999999999999">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399999999999999">
      <c r="A413" s="611" t="str">
        <f t="shared" si="1232"/>
        <v>Frais de livraison</v>
      </c>
      <c r="B413" s="872" t="s">
        <v>105</v>
      </c>
      <c r="C413" s="872"/>
      <c r="D413" s="1131">
        <f t="shared" si="1259"/>
        <v>139.66430648945789</v>
      </c>
      <c r="E413" s="871">
        <f t="shared" si="1244"/>
        <v>170111.12530415971</v>
      </c>
      <c r="F413" s="872"/>
      <c r="G413" s="1131">
        <f t="shared" si="1245"/>
        <v>133.74939886524507</v>
      </c>
      <c r="H413" s="871">
        <f t="shared" si="1246"/>
        <v>8362.7652561092109</v>
      </c>
      <c r="I413" s="872"/>
      <c r="J413" s="1131">
        <f t="shared" si="1247"/>
        <v>133.31490312543232</v>
      </c>
      <c r="K413" s="871">
        <f t="shared" si="1248"/>
        <v>8607.824705094481</v>
      </c>
      <c r="L413" s="872"/>
      <c r="M413" s="1131">
        <f t="shared" si="1249"/>
        <v>137.34610341481047</v>
      </c>
      <c r="N413" s="871">
        <f t="shared" si="1248"/>
        <v>15426.74518179301</v>
      </c>
      <c r="O413" s="872"/>
      <c r="P413" s="1131">
        <f t="shared" si="1250"/>
        <v>140.81102677594785</v>
      </c>
      <c r="Q413" s="871">
        <f t="shared" si="1248"/>
        <v>16670.488821085397</v>
      </c>
      <c r="R413" s="872"/>
      <c r="S413" s="1131">
        <f t="shared" si="1251"/>
        <v>144.27932898180427</v>
      </c>
      <c r="T413" s="871">
        <f t="shared" si="1248"/>
        <v>19066.041619805063</v>
      </c>
      <c r="U413" s="872"/>
      <c r="V413" s="1131">
        <f t="shared" si="1252"/>
        <v>136.00154572624527</v>
      </c>
      <c r="W413" s="871">
        <f t="shared" si="1248"/>
        <v>15586.018949035179</v>
      </c>
      <c r="X413" s="872"/>
      <c r="Y413" s="1131">
        <f t="shared" si="1253"/>
        <v>141.09386184099409</v>
      </c>
      <c r="Z413" s="871">
        <f t="shared" si="1248"/>
        <v>17246.393400799036</v>
      </c>
      <c r="AA413" s="872"/>
      <c r="AB413" s="1131">
        <f t="shared" si="1254"/>
        <v>142.20623434891436</v>
      </c>
      <c r="AC413" s="871">
        <f t="shared" si="1248"/>
        <v>16511.215053843229</v>
      </c>
      <c r="AD413" s="872"/>
      <c r="AE413" s="1131">
        <f t="shared" si="1255"/>
        <v>143.43191836625221</v>
      </c>
      <c r="AF413" s="871">
        <f t="shared" si="1248"/>
        <v>14379.168098474882</v>
      </c>
      <c r="AG413" s="872"/>
      <c r="AH413" s="1131">
        <f t="shared" si="1256"/>
        <v>141.26708220774063</v>
      </c>
      <c r="AI413" s="871">
        <f t="shared" si="1248"/>
        <v>15604.465343401225</v>
      </c>
      <c r="AJ413" s="872"/>
      <c r="AK413" s="1131">
        <f t="shared" si="1257"/>
        <v>142.31980980199268</v>
      </c>
      <c r="AL413" s="871">
        <f t="shared" si="1248"/>
        <v>13882.900402382329</v>
      </c>
      <c r="AM413" s="872"/>
      <c r="AN413" s="1131">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399999999999999">
      <c r="A414" s="611" t="str">
        <f t="shared" si="1232"/>
        <v>Service gratuit 1</v>
      </c>
      <c r="B414" s="872" t="s">
        <v>106</v>
      </c>
      <c r="C414" s="872"/>
      <c r="D414" s="1131">
        <f t="shared" si="1259"/>
        <v>17.870615499367979</v>
      </c>
      <c r="E414" s="871">
        <f t="shared" si="1244"/>
        <v>21766.409678230197</v>
      </c>
      <c r="F414" s="872"/>
      <c r="G414" s="1131">
        <f t="shared" si="1245"/>
        <v>19.194952770972929</v>
      </c>
      <c r="H414" s="871">
        <f t="shared" si="1246"/>
        <v>1200.1764904190659</v>
      </c>
      <c r="I414" s="872"/>
      <c r="J414" s="1131">
        <f t="shared" si="1247"/>
        <v>19.292235592471631</v>
      </c>
      <c r="K414" s="871">
        <f t="shared" si="1248"/>
        <v>1245.6535485243921</v>
      </c>
      <c r="L414" s="872"/>
      <c r="M414" s="1131">
        <f t="shared" si="1249"/>
        <v>18.389657034748399</v>
      </c>
      <c r="N414" s="871">
        <f t="shared" si="1248"/>
        <v>2065.5304082331854</v>
      </c>
      <c r="O414" s="872"/>
      <c r="P414" s="1131">
        <f t="shared" si="1250"/>
        <v>17.61386687166539</v>
      </c>
      <c r="Q414" s="871">
        <f t="shared" si="1248"/>
        <v>2085.2896076626012</v>
      </c>
      <c r="R414" s="872"/>
      <c r="S414" s="1131">
        <f t="shared" si="1251"/>
        <v>16.837320191273808</v>
      </c>
      <c r="T414" s="871">
        <f t="shared" si="1248"/>
        <v>2224.9968155403326</v>
      </c>
      <c r="U414" s="872"/>
      <c r="V414" s="1131">
        <f t="shared" si="1252"/>
        <v>18.690701104059087</v>
      </c>
      <c r="W414" s="871">
        <f t="shared" si="1248"/>
        <v>2141.9875783250059</v>
      </c>
      <c r="X414" s="872"/>
      <c r="Y414" s="1131">
        <f t="shared" si="1253"/>
        <v>17.550540604857062</v>
      </c>
      <c r="Z414" s="871">
        <f t="shared" si="1248"/>
        <v>2145.263611886759</v>
      </c>
      <c r="AA414" s="872"/>
      <c r="AB414" s="1131">
        <f t="shared" si="1254"/>
        <v>17.301482383538922</v>
      </c>
      <c r="AC414" s="871">
        <f t="shared" si="1248"/>
        <v>2008.8324375707803</v>
      </c>
      <c r="AD414" s="872"/>
      <c r="AE414" s="1131">
        <f t="shared" si="1255"/>
        <v>17.027053917280842</v>
      </c>
      <c r="AF414" s="871">
        <f t="shared" si="1248"/>
        <v>1706.97619670116</v>
      </c>
      <c r="AG414" s="872"/>
      <c r="AH414" s="1131">
        <f t="shared" si="1256"/>
        <v>17.511756873570288</v>
      </c>
      <c r="AI414" s="871">
        <f t="shared" si="1248"/>
        <v>1934.3614872277908</v>
      </c>
      <c r="AJ414" s="872"/>
      <c r="AK414" s="1131">
        <f t="shared" si="1257"/>
        <v>17.276053042083909</v>
      </c>
      <c r="AL414" s="871">
        <f t="shared" si="1248"/>
        <v>1685.2307775229124</v>
      </c>
      <c r="AM414" s="872"/>
      <c r="AN414" s="1131">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399999999999999">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399999999999999">
      <c r="A416" s="611" t="str">
        <f t="shared" si="1232"/>
        <v>Publicité 1</v>
      </c>
      <c r="B416" s="872" t="s">
        <v>108</v>
      </c>
      <c r="C416" s="872"/>
      <c r="D416" s="1131">
        <f t="shared" si="1259"/>
        <v>148.0886699507389</v>
      </c>
      <c r="E416" s="871">
        <f t="shared" si="1244"/>
        <v>180372</v>
      </c>
      <c r="F416" s="872"/>
      <c r="G416" s="1131">
        <f t="shared" si="1245"/>
        <v>139.16965975444671</v>
      </c>
      <c r="H416" s="871">
        <f t="shared" si="1246"/>
        <v>8701.6704760790744</v>
      </c>
      <c r="I416" s="872"/>
      <c r="J416" s="1131">
        <f t="shared" si="1247"/>
        <v>138.51448943229795</v>
      </c>
      <c r="K416" s="871">
        <f t="shared" si="1248"/>
        <v>8943.5495672008437</v>
      </c>
      <c r="L416" s="872"/>
      <c r="M416" s="1131">
        <f t="shared" si="1249"/>
        <v>144.59308250061235</v>
      </c>
      <c r="N416" s="871">
        <f t="shared" si="1248"/>
        <v>16240.727500292433</v>
      </c>
      <c r="O416" s="872"/>
      <c r="P416" s="1131">
        <f t="shared" si="1250"/>
        <v>149.81779415305652</v>
      </c>
      <c r="Q416" s="871">
        <f t="shared" si="1248"/>
        <v>17736.791782664637</v>
      </c>
      <c r="R416" s="872"/>
      <c r="S416" s="1131">
        <f t="shared" si="1251"/>
        <v>155.04760072031854</v>
      </c>
      <c r="T416" s="871">
        <f t="shared" si="1248"/>
        <v>20489.033524388815</v>
      </c>
      <c r="U416" s="872"/>
      <c r="V416" s="1131">
        <f t="shared" si="1252"/>
        <v>142.5656419223815</v>
      </c>
      <c r="W416" s="871">
        <f t="shared" si="1248"/>
        <v>16338.276043981754</v>
      </c>
      <c r="X416" s="872"/>
      <c r="Y416" s="1131">
        <f t="shared" si="1253"/>
        <v>150.24427736958049</v>
      </c>
      <c r="Z416" s="871">
        <f t="shared" si="1248"/>
        <v>18364.880512340624</v>
      </c>
      <c r="AA416" s="872"/>
      <c r="AB416" s="1131">
        <f t="shared" si="1254"/>
        <v>151.92160901540421</v>
      </c>
      <c r="AC416" s="871">
        <f t="shared" si="1248"/>
        <v>17639.243238975316</v>
      </c>
      <c r="AD416" s="872"/>
      <c r="AE416" s="1131">
        <f t="shared" si="1255"/>
        <v>153.76980157268414</v>
      </c>
      <c r="AF416" s="871">
        <f t="shared" si="1248"/>
        <v>15415.549415136273</v>
      </c>
      <c r="AG416" s="872"/>
      <c r="AH416" s="1131">
        <f t="shared" si="1256"/>
        <v>150.50547404675149</v>
      </c>
      <c r="AI416" s="871">
        <f t="shared" si="1248"/>
        <v>16624.944870745116</v>
      </c>
      <c r="AJ416" s="872"/>
      <c r="AK416" s="1131">
        <f t="shared" si="1257"/>
        <v>152.09286792398078</v>
      </c>
      <c r="AL416" s="871">
        <f t="shared" si="1248"/>
        <v>14836.234957304947</v>
      </c>
      <c r="AM416" s="872"/>
      <c r="AN416" s="1131">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399999999999999">
      <c r="A417" s="611" t="str">
        <f t="shared" si="1232"/>
        <v>Intérêt de gros</v>
      </c>
      <c r="B417" s="872" t="s">
        <v>109</v>
      </c>
      <c r="C417" s="872"/>
      <c r="D417" s="1131">
        <f t="shared" si="1259"/>
        <v>76.931076160343892</v>
      </c>
      <c r="E417" s="871">
        <f t="shared" si="1244"/>
        <v>93702.050763298859</v>
      </c>
      <c r="F417" s="872"/>
      <c r="G417" s="1131">
        <f t="shared" si="1245"/>
        <v>100.98923703843231</v>
      </c>
      <c r="H417" s="871">
        <f t="shared" si="1246"/>
        <v>6314.4155406401314</v>
      </c>
      <c r="I417" s="872"/>
      <c r="J417" s="1131">
        <f t="shared" si="1247"/>
        <v>112.15503118991158</v>
      </c>
      <c r="K417" s="871">
        <f t="shared" si="1248"/>
        <v>7241.5823410893117</v>
      </c>
      <c r="L417" s="872"/>
      <c r="M417" s="1131">
        <f t="shared" si="1249"/>
        <v>73.552727457011827</v>
      </c>
      <c r="N417" s="871">
        <f t="shared" si="1248"/>
        <v>8261.4588670073299</v>
      </c>
      <c r="O417" s="872"/>
      <c r="P417" s="1131">
        <f t="shared" si="1250"/>
        <v>76.630654361470832</v>
      </c>
      <c r="Q417" s="871">
        <f t="shared" si="1248"/>
        <v>9072.2331633730064</v>
      </c>
      <c r="R417" s="872"/>
      <c r="S417" s="1131">
        <f t="shared" si="1251"/>
        <v>67.093247494206267</v>
      </c>
      <c r="T417" s="871">
        <f t="shared" si="1248"/>
        <v>8866.153302485518</v>
      </c>
      <c r="U417" s="872"/>
      <c r="V417" s="1131">
        <f t="shared" si="1252"/>
        <v>69.000053298476843</v>
      </c>
      <c r="W417" s="871">
        <f t="shared" si="1248"/>
        <v>7907.5287891155349</v>
      </c>
      <c r="X417" s="872"/>
      <c r="Y417" s="1131">
        <f t="shared" si="1253"/>
        <v>66.332859902788286</v>
      </c>
      <c r="Z417" s="871">
        <f t="shared" si="1248"/>
        <v>8108.0961450527884</v>
      </c>
      <c r="AA417" s="872"/>
      <c r="AB417" s="1131">
        <f t="shared" si="1254"/>
        <v>73.821579645014324</v>
      </c>
      <c r="AC417" s="871">
        <f t="shared" si="1248"/>
        <v>8571.2414980528774</v>
      </c>
      <c r="AD417" s="872"/>
      <c r="AE417" s="1131">
        <f t="shared" si="1255"/>
        <v>91.303248923389674</v>
      </c>
      <c r="AF417" s="871">
        <f t="shared" si="1248"/>
        <v>9153.2259985112014</v>
      </c>
      <c r="AG417" s="872"/>
      <c r="AH417" s="1131">
        <f t="shared" si="1256"/>
        <v>74.329748569785579</v>
      </c>
      <c r="AI417" s="871">
        <f t="shared" si="1248"/>
        <v>8210.5184549312598</v>
      </c>
      <c r="AJ417" s="872"/>
      <c r="AK417" s="1131">
        <f t="shared" si="1257"/>
        <v>63.022566358858178</v>
      </c>
      <c r="AL417" s="871">
        <f t="shared" si="1248"/>
        <v>6147.6755279524614</v>
      </c>
      <c r="AM417" s="872"/>
      <c r="AN417" s="1131">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399999999999999">
      <c r="A418" s="611" t="str">
        <f t="shared" si="1232"/>
        <v>[...]</v>
      </c>
      <c r="B418" s="877" t="s">
        <v>42</v>
      </c>
      <c r="C418" s="872"/>
      <c r="D418" s="1131"/>
      <c r="E418" s="871">
        <f t="shared" si="1244"/>
        <v>0</v>
      </c>
      <c r="F418" s="872"/>
      <c r="G418" s="1131"/>
      <c r="H418" s="871">
        <f t="shared" si="1246"/>
        <v>0</v>
      </c>
      <c r="I418" s="872"/>
      <c r="J418" s="1131"/>
      <c r="K418" s="871">
        <f t="shared" si="1248"/>
        <v>0</v>
      </c>
      <c r="L418" s="872"/>
      <c r="M418" s="1131"/>
      <c r="N418" s="871">
        <f t="shared" si="1248"/>
        <v>0</v>
      </c>
      <c r="O418" s="872"/>
      <c r="P418" s="1131"/>
      <c r="Q418" s="871">
        <f t="shared" si="1248"/>
        <v>0</v>
      </c>
      <c r="R418" s="872"/>
      <c r="S418" s="1131"/>
      <c r="T418" s="871">
        <f t="shared" si="1248"/>
        <v>0</v>
      </c>
      <c r="U418" s="872"/>
      <c r="V418" s="1131"/>
      <c r="W418" s="871">
        <f t="shared" si="1248"/>
        <v>0</v>
      </c>
      <c r="X418" s="872"/>
      <c r="Y418" s="1131"/>
      <c r="Z418" s="871">
        <f t="shared" si="1248"/>
        <v>0</v>
      </c>
      <c r="AA418" s="872"/>
      <c r="AB418" s="1131"/>
      <c r="AC418" s="871">
        <f t="shared" si="1248"/>
        <v>0</v>
      </c>
      <c r="AD418" s="872"/>
      <c r="AE418" s="1131"/>
      <c r="AF418" s="871">
        <f t="shared" si="1248"/>
        <v>0</v>
      </c>
      <c r="AG418" s="872"/>
      <c r="AH418" s="1131"/>
      <c r="AI418" s="871">
        <f t="shared" si="1248"/>
        <v>0</v>
      </c>
      <c r="AJ418" s="872"/>
      <c r="AK418" s="1131"/>
      <c r="AL418" s="871">
        <f t="shared" si="1248"/>
        <v>0</v>
      </c>
      <c r="AM418" s="872"/>
      <c r="AN418" s="1131"/>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399999999999999">
      <c r="A419" s="611" t="str">
        <f t="shared" si="1232"/>
        <v>[...]</v>
      </c>
      <c r="B419" s="877" t="s">
        <v>42</v>
      </c>
      <c r="C419" s="872"/>
      <c r="D419" s="1131"/>
      <c r="E419" s="871">
        <f t="shared" si="1244"/>
        <v>0</v>
      </c>
      <c r="F419" s="872"/>
      <c r="G419" s="1131"/>
      <c r="H419" s="871">
        <f t="shared" si="1246"/>
        <v>0</v>
      </c>
      <c r="I419" s="872"/>
      <c r="J419" s="1131"/>
      <c r="K419" s="871">
        <f t="shared" si="1248"/>
        <v>0</v>
      </c>
      <c r="L419" s="872"/>
      <c r="M419" s="1131"/>
      <c r="N419" s="871">
        <f t="shared" si="1248"/>
        <v>0</v>
      </c>
      <c r="O419" s="872"/>
      <c r="P419" s="1131"/>
      <c r="Q419" s="871">
        <f t="shared" si="1248"/>
        <v>0</v>
      </c>
      <c r="R419" s="872"/>
      <c r="S419" s="1131"/>
      <c r="T419" s="871">
        <f t="shared" si="1248"/>
        <v>0</v>
      </c>
      <c r="U419" s="872"/>
      <c r="V419" s="1131"/>
      <c r="W419" s="871">
        <f t="shared" si="1248"/>
        <v>0</v>
      </c>
      <c r="X419" s="872"/>
      <c r="Y419" s="1131"/>
      <c r="Z419" s="871">
        <f t="shared" si="1248"/>
        <v>0</v>
      </c>
      <c r="AA419" s="872"/>
      <c r="AB419" s="1131"/>
      <c r="AC419" s="871">
        <f t="shared" si="1248"/>
        <v>0</v>
      </c>
      <c r="AD419" s="872"/>
      <c r="AE419" s="1131"/>
      <c r="AF419" s="871">
        <f t="shared" si="1248"/>
        <v>0</v>
      </c>
      <c r="AG419" s="872"/>
      <c r="AH419" s="1131"/>
      <c r="AI419" s="871">
        <f t="shared" si="1248"/>
        <v>0</v>
      </c>
      <c r="AJ419" s="872"/>
      <c r="AK419" s="1131"/>
      <c r="AL419" s="871">
        <f t="shared" si="1248"/>
        <v>0</v>
      </c>
      <c r="AM419" s="872"/>
      <c r="AN419" s="1131"/>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399999999999999">
      <c r="A420" s="611" t="str">
        <f t="shared" si="1232"/>
        <v>[...]</v>
      </c>
      <c r="B420" s="857" t="s">
        <v>42</v>
      </c>
      <c r="C420" s="872"/>
      <c r="D420" s="1131"/>
      <c r="E420" s="871">
        <f t="shared" si="1244"/>
        <v>0</v>
      </c>
      <c r="F420" s="872"/>
      <c r="G420" s="1131"/>
      <c r="H420" s="871">
        <f t="shared" si="1246"/>
        <v>0</v>
      </c>
      <c r="I420" s="872"/>
      <c r="J420" s="1131"/>
      <c r="K420" s="871">
        <f t="shared" si="1248"/>
        <v>0</v>
      </c>
      <c r="L420" s="872"/>
      <c r="M420" s="1131"/>
      <c r="N420" s="871">
        <f t="shared" si="1248"/>
        <v>0</v>
      </c>
      <c r="O420" s="872"/>
      <c r="P420" s="1131"/>
      <c r="Q420" s="871">
        <f t="shared" si="1248"/>
        <v>0</v>
      </c>
      <c r="R420" s="872"/>
      <c r="S420" s="1131"/>
      <c r="T420" s="871">
        <f t="shared" si="1248"/>
        <v>0</v>
      </c>
      <c r="U420" s="872"/>
      <c r="V420" s="1131"/>
      <c r="W420" s="871">
        <f t="shared" si="1248"/>
        <v>0</v>
      </c>
      <c r="X420" s="872"/>
      <c r="Y420" s="1131"/>
      <c r="Z420" s="871">
        <f t="shared" si="1248"/>
        <v>0</v>
      </c>
      <c r="AA420" s="872"/>
      <c r="AB420" s="1131"/>
      <c r="AC420" s="871">
        <f t="shared" si="1248"/>
        <v>0</v>
      </c>
      <c r="AD420" s="872"/>
      <c r="AE420" s="1131"/>
      <c r="AF420" s="871">
        <f t="shared" si="1248"/>
        <v>0</v>
      </c>
      <c r="AG420" s="872"/>
      <c r="AH420" s="1131"/>
      <c r="AI420" s="871">
        <f t="shared" si="1248"/>
        <v>0</v>
      </c>
      <c r="AJ420" s="872"/>
      <c r="AK420" s="1131"/>
      <c r="AL420" s="871">
        <f t="shared" si="1248"/>
        <v>0</v>
      </c>
      <c r="AM420" s="872"/>
      <c r="AN420" s="1131"/>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399999999999999">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399999999999999">
      <c r="A422" s="611" t="str">
        <f t="shared" si="1232"/>
        <v>Salaires propriétaire</v>
      </c>
      <c r="B422" s="872" t="s">
        <v>213</v>
      </c>
      <c r="C422" s="872"/>
      <c r="D422" s="1131"/>
      <c r="E422" s="871">
        <f t="shared" ref="E422:E434" si="1282">+SUM(H422,K422,N422,Q422,T422,W422,Z422,AC422,AF422,AI422,AL422,AO422)</f>
        <v>184609.07536000002</v>
      </c>
      <c r="F422" s="872"/>
      <c r="G422" s="1131"/>
      <c r="H422" s="882">
        <v>15043.715813333336</v>
      </c>
      <c r="I422" s="872"/>
      <c r="J422" s="1131"/>
      <c r="K422" s="882">
        <v>14589.884080000002</v>
      </c>
      <c r="L422" s="872"/>
      <c r="M422" s="1131"/>
      <c r="N422" s="882">
        <v>15951.379280000001</v>
      </c>
      <c r="O422" s="872"/>
      <c r="P422" s="1131"/>
      <c r="Q422" s="882">
        <v>15043.715813333336</v>
      </c>
      <c r="R422" s="872"/>
      <c r="S422" s="1131"/>
      <c r="T422" s="882">
        <v>15497.547546666668</v>
      </c>
      <c r="U422" s="872"/>
      <c r="V422" s="1131"/>
      <c r="W422" s="882">
        <v>15497.547546666668</v>
      </c>
      <c r="X422" s="872"/>
      <c r="Y422" s="1131"/>
      <c r="Z422" s="882">
        <v>15497.547546666668</v>
      </c>
      <c r="AA422" s="872"/>
      <c r="AB422" s="1131"/>
      <c r="AC422" s="882">
        <v>15497.547546666668</v>
      </c>
      <c r="AD422" s="872"/>
      <c r="AE422" s="1131"/>
      <c r="AF422" s="882">
        <v>15497.547546666668</v>
      </c>
      <c r="AG422" s="872"/>
      <c r="AH422" s="1131"/>
      <c r="AI422" s="882">
        <v>15043.715813333336</v>
      </c>
      <c r="AJ422" s="872"/>
      <c r="AK422" s="1131"/>
      <c r="AL422" s="882">
        <v>15497.547546666668</v>
      </c>
      <c r="AM422" s="872"/>
      <c r="AN422" s="1131"/>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399999999999999">
      <c r="A423" s="611" t="str">
        <f t="shared" si="1232"/>
        <v>Salaires cadres</v>
      </c>
      <c r="B423" s="872" t="s">
        <v>112</v>
      </c>
      <c r="C423" s="872"/>
      <c r="D423" s="1131"/>
      <c r="E423" s="871">
        <f t="shared" si="1282"/>
        <v>457988.99999999994</v>
      </c>
      <c r="F423" s="872"/>
      <c r="G423" s="1131"/>
      <c r="H423" s="871">
        <v>37259.747126436778</v>
      </c>
      <c r="I423" s="872"/>
      <c r="J423" s="1131"/>
      <c r="K423" s="871">
        <v>36051.743295019158</v>
      </c>
      <c r="L423" s="872"/>
      <c r="M423" s="1131"/>
      <c r="N423" s="871">
        <v>39675.754789272032</v>
      </c>
      <c r="O423" s="872"/>
      <c r="P423" s="1131"/>
      <c r="Q423" s="871">
        <v>37259.747126436778</v>
      </c>
      <c r="R423" s="872"/>
      <c r="S423" s="1131"/>
      <c r="T423" s="871">
        <v>38467.750957854405</v>
      </c>
      <c r="U423" s="872"/>
      <c r="V423" s="1131"/>
      <c r="W423" s="871">
        <v>38467.750957854405</v>
      </c>
      <c r="X423" s="872"/>
      <c r="Y423" s="1131"/>
      <c r="Z423" s="871">
        <v>38467.750957854405</v>
      </c>
      <c r="AA423" s="872"/>
      <c r="AB423" s="1131"/>
      <c r="AC423" s="871">
        <v>38467.750957854405</v>
      </c>
      <c r="AD423" s="872"/>
      <c r="AE423" s="1131"/>
      <c r="AF423" s="871">
        <v>38467.750957854405</v>
      </c>
      <c r="AG423" s="872"/>
      <c r="AH423" s="1131"/>
      <c r="AI423" s="871">
        <v>37259.747126436778</v>
      </c>
      <c r="AJ423" s="872"/>
      <c r="AK423" s="1131"/>
      <c r="AL423" s="871">
        <v>38467.750957854405</v>
      </c>
      <c r="AM423" s="872"/>
      <c r="AN423" s="1131"/>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399999999999999">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399999999999999">
      <c r="A425" s="611" t="str">
        <f t="shared" si="1232"/>
        <v>Salaires autres</v>
      </c>
      <c r="B425" s="872" t="s">
        <v>114</v>
      </c>
      <c r="C425" s="872"/>
      <c r="D425" s="1131"/>
      <c r="E425" s="871">
        <f t="shared" si="1282"/>
        <v>675464.17135999992</v>
      </c>
      <c r="F425" s="872"/>
      <c r="G425" s="1131"/>
      <c r="H425" s="871">
        <v>54420.077005977015</v>
      </c>
      <c r="I425" s="872"/>
      <c r="J425" s="1131"/>
      <c r="K425" s="871">
        <v>51928.605085057468</v>
      </c>
      <c r="L425" s="872"/>
      <c r="M425" s="1131"/>
      <c r="N425" s="871">
        <v>59403.020847816086</v>
      </c>
      <c r="O425" s="872"/>
      <c r="P425" s="1131"/>
      <c r="Q425" s="871">
        <v>54420.077005977015</v>
      </c>
      <c r="R425" s="872"/>
      <c r="S425" s="1131"/>
      <c r="T425" s="871">
        <v>56911.548926896547</v>
      </c>
      <c r="U425" s="872"/>
      <c r="V425" s="1131"/>
      <c r="W425" s="871">
        <v>56911.548926896547</v>
      </c>
      <c r="X425" s="872"/>
      <c r="Y425" s="1131"/>
      <c r="Z425" s="871">
        <v>56911.548926896547</v>
      </c>
      <c r="AA425" s="872"/>
      <c r="AB425" s="1131"/>
      <c r="AC425" s="871">
        <v>56911.548926896547</v>
      </c>
      <c r="AD425" s="872"/>
      <c r="AE425" s="1131"/>
      <c r="AF425" s="871">
        <v>56911.548926896547</v>
      </c>
      <c r="AG425" s="872"/>
      <c r="AH425" s="1131"/>
      <c r="AI425" s="871">
        <v>54420.077005977015</v>
      </c>
      <c r="AJ425" s="872"/>
      <c r="AK425" s="1131"/>
      <c r="AL425" s="871">
        <v>56911.548926896547</v>
      </c>
      <c r="AM425" s="872"/>
      <c r="AN425" s="1131"/>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399999999999999">
      <c r="A426" s="611" t="str">
        <f t="shared" si="1232"/>
        <v>Salaires spécialistes</v>
      </c>
      <c r="B426" s="872" t="s">
        <v>115</v>
      </c>
      <c r="C426" s="872"/>
      <c r="D426" s="1131"/>
      <c r="E426" s="871">
        <f t="shared" si="1282"/>
        <v>406556.64223627653</v>
      </c>
      <c r="F426" s="872"/>
      <c r="G426" s="1131"/>
      <c r="H426" s="871">
        <v>28269.988941915435</v>
      </c>
      <c r="I426" s="872"/>
      <c r="J426" s="1131"/>
      <c r="K426" s="871">
        <v>27365.953079306841</v>
      </c>
      <c r="L426" s="872"/>
      <c r="M426" s="1131"/>
      <c r="N426" s="871">
        <v>32854.503329004117</v>
      </c>
      <c r="O426" s="872"/>
      <c r="P426" s="1131"/>
      <c r="Q426" s="871">
        <v>39931.429587516213</v>
      </c>
      <c r="R426" s="872"/>
      <c r="S426" s="1131"/>
      <c r="T426" s="871">
        <v>36866.512348284632</v>
      </c>
      <c r="U426" s="872"/>
      <c r="V426" s="1131"/>
      <c r="W426" s="871">
        <v>32276.157801321722</v>
      </c>
      <c r="X426" s="872"/>
      <c r="Y426" s="1131"/>
      <c r="Z426" s="871">
        <v>31473.660258041866</v>
      </c>
      <c r="AA426" s="872"/>
      <c r="AB426" s="1131"/>
      <c r="AC426" s="871">
        <v>31383.738445112467</v>
      </c>
      <c r="AD426" s="872"/>
      <c r="AE426" s="1131"/>
      <c r="AF426" s="871">
        <v>29995.648333885685</v>
      </c>
      <c r="AG426" s="872"/>
      <c r="AH426" s="1131"/>
      <c r="AI426" s="871">
        <v>35996.825580752877</v>
      </c>
      <c r="AJ426" s="872"/>
      <c r="AK426" s="1131"/>
      <c r="AL426" s="871">
        <v>47596.913203579163</v>
      </c>
      <c r="AM426" s="872"/>
      <c r="AN426" s="1131"/>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399999999999999">
      <c r="A427" s="611" t="str">
        <f t="shared" si="1232"/>
        <v>[...]</v>
      </c>
      <c r="B427" s="877" t="s">
        <v>42</v>
      </c>
      <c r="C427" s="872"/>
      <c r="D427" s="1131"/>
      <c r="E427" s="871">
        <f t="shared" si="1282"/>
        <v>0</v>
      </c>
      <c r="F427" s="872"/>
      <c r="G427" s="1131"/>
      <c r="H427" s="871">
        <v>0</v>
      </c>
      <c r="I427" s="872"/>
      <c r="J427" s="1131"/>
      <c r="K427" s="871">
        <v>0</v>
      </c>
      <c r="L427" s="872"/>
      <c r="M427" s="1131"/>
      <c r="N427" s="871">
        <v>0</v>
      </c>
      <c r="O427" s="872"/>
      <c r="P427" s="1131"/>
      <c r="Q427" s="871">
        <v>0</v>
      </c>
      <c r="R427" s="872"/>
      <c r="S427" s="1131"/>
      <c r="T427" s="871">
        <v>0</v>
      </c>
      <c r="U427" s="872"/>
      <c r="V427" s="1131"/>
      <c r="W427" s="871">
        <v>0</v>
      </c>
      <c r="X427" s="872"/>
      <c r="Y427" s="1131"/>
      <c r="Z427" s="871">
        <v>0</v>
      </c>
      <c r="AA427" s="872"/>
      <c r="AB427" s="1131"/>
      <c r="AC427" s="871">
        <v>0</v>
      </c>
      <c r="AD427" s="872"/>
      <c r="AE427" s="1131"/>
      <c r="AF427" s="871">
        <v>0</v>
      </c>
      <c r="AG427" s="872"/>
      <c r="AH427" s="1131"/>
      <c r="AI427" s="871">
        <v>0</v>
      </c>
      <c r="AJ427" s="872"/>
      <c r="AK427" s="1131"/>
      <c r="AL427" s="871">
        <v>0</v>
      </c>
      <c r="AM427" s="872"/>
      <c r="AN427" s="1131"/>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399999999999999">
      <c r="A428" s="611" t="str">
        <f t="shared" si="1232"/>
        <v>[...]</v>
      </c>
      <c r="B428" s="877" t="s">
        <v>42</v>
      </c>
      <c r="C428" s="872"/>
      <c r="D428" s="1131"/>
      <c r="E428" s="871">
        <f t="shared" si="1282"/>
        <v>0</v>
      </c>
      <c r="F428" s="872"/>
      <c r="G428" s="1131"/>
      <c r="H428" s="871">
        <v>0</v>
      </c>
      <c r="I428" s="872"/>
      <c r="J428" s="1131"/>
      <c r="K428" s="871">
        <v>0</v>
      </c>
      <c r="L428" s="872"/>
      <c r="M428" s="1131"/>
      <c r="N428" s="871">
        <v>0</v>
      </c>
      <c r="O428" s="872"/>
      <c r="P428" s="1131"/>
      <c r="Q428" s="871">
        <v>0</v>
      </c>
      <c r="R428" s="872"/>
      <c r="S428" s="1131"/>
      <c r="T428" s="871">
        <v>0</v>
      </c>
      <c r="U428" s="872"/>
      <c r="V428" s="1131"/>
      <c r="W428" s="871">
        <v>0</v>
      </c>
      <c r="X428" s="872"/>
      <c r="Y428" s="1131"/>
      <c r="Z428" s="871">
        <v>0</v>
      </c>
      <c r="AA428" s="872"/>
      <c r="AB428" s="1131"/>
      <c r="AC428" s="871">
        <v>0</v>
      </c>
      <c r="AD428" s="872"/>
      <c r="AE428" s="1131"/>
      <c r="AF428" s="871">
        <v>0</v>
      </c>
      <c r="AG428" s="872"/>
      <c r="AH428" s="1131"/>
      <c r="AI428" s="871">
        <v>0</v>
      </c>
      <c r="AJ428" s="872"/>
      <c r="AK428" s="1131"/>
      <c r="AL428" s="871">
        <v>0</v>
      </c>
      <c r="AM428" s="872"/>
      <c r="AN428" s="1131"/>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399999999999999">
      <c r="A429" s="611" t="str">
        <f t="shared" si="1232"/>
        <v>[...]</v>
      </c>
      <c r="B429" s="877" t="s">
        <v>42</v>
      </c>
      <c r="C429" s="872"/>
      <c r="D429" s="1131"/>
      <c r="E429" s="871">
        <f t="shared" si="1282"/>
        <v>0</v>
      </c>
      <c r="F429" s="872"/>
      <c r="G429" s="1131"/>
      <c r="H429" s="871">
        <v>0</v>
      </c>
      <c r="I429" s="872"/>
      <c r="J429" s="1131"/>
      <c r="K429" s="871">
        <v>0</v>
      </c>
      <c r="L429" s="872"/>
      <c r="M429" s="1131"/>
      <c r="N429" s="871">
        <v>0</v>
      </c>
      <c r="O429" s="872"/>
      <c r="P429" s="1131"/>
      <c r="Q429" s="871">
        <v>0</v>
      </c>
      <c r="R429" s="872"/>
      <c r="S429" s="1131"/>
      <c r="T429" s="871">
        <v>0</v>
      </c>
      <c r="U429" s="872"/>
      <c r="V429" s="1131"/>
      <c r="W429" s="871">
        <v>0</v>
      </c>
      <c r="X429" s="872"/>
      <c r="Y429" s="1131"/>
      <c r="Z429" s="871">
        <v>0</v>
      </c>
      <c r="AA429" s="872"/>
      <c r="AB429" s="1131"/>
      <c r="AC429" s="871">
        <v>0</v>
      </c>
      <c r="AD429" s="872"/>
      <c r="AE429" s="1131"/>
      <c r="AF429" s="871">
        <v>0</v>
      </c>
      <c r="AG429" s="872"/>
      <c r="AH429" s="1131"/>
      <c r="AI429" s="871">
        <v>0</v>
      </c>
      <c r="AJ429" s="872"/>
      <c r="AK429" s="1131"/>
      <c r="AL429" s="871">
        <v>0</v>
      </c>
      <c r="AM429" s="872"/>
      <c r="AN429" s="1131"/>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399999999999999">
      <c r="A430" s="611" t="str">
        <f t="shared" si="1232"/>
        <v>Salaires en absences</v>
      </c>
      <c r="B430" s="861" t="s">
        <v>116</v>
      </c>
      <c r="C430" s="861"/>
      <c r="D430" s="1132">
        <f>+E430/(SUM(E$422:E$426,E$411:E$412)+D$196-E$196)</f>
        <v>0.10963917886113292</v>
      </c>
      <c r="E430" s="864">
        <f t="shared" si="1282"/>
        <v>472929.81717640383</v>
      </c>
      <c r="F430" s="861"/>
      <c r="G430" s="1132">
        <f>+H430/(SUM(H$422:H$426,H$411:H$412)+G$196-H$196)</f>
        <v>0.11981860096603972</v>
      </c>
      <c r="H430" s="864">
        <v>34587.24660872305</v>
      </c>
      <c r="I430" s="861"/>
      <c r="J430" s="1132">
        <f>+K430/(SUM(K$422:K$426,K$411:K$412)+J$196-K$196)</f>
        <v>0.11657867104302116</v>
      </c>
      <c r="K430" s="864">
        <v>33655.544674904158</v>
      </c>
      <c r="L430" s="861"/>
      <c r="M430" s="1132">
        <f>+N430/(SUM(N$422:N$426,N$411:N$412)+M$196-N$196)</f>
        <v>0.11360909602462498</v>
      </c>
      <c r="N430" s="864">
        <v>41707.618476492964</v>
      </c>
      <c r="O430" s="861"/>
      <c r="P430" s="1132">
        <f>+Q430/(SUM(Q$422:Q$426,Q$411:Q$412)+P$196-Q$196)</f>
        <v>0.10277429417404209</v>
      </c>
      <c r="Q430" s="864">
        <v>41383.490135764128</v>
      </c>
      <c r="R430" s="861"/>
      <c r="S430" s="1132">
        <f>+T430/(SUM(T$422:T$426,T$411:T$412)+S$196-T$196)</f>
        <v>0.10384029962278359</v>
      </c>
      <c r="T430" s="864">
        <v>42551.816629138484</v>
      </c>
      <c r="U430" s="861"/>
      <c r="V430" s="1132">
        <f>+W430/(SUM(W$422:W$426,W$411:W$412)+V$196-W$196)</f>
        <v>0.10855638958441334</v>
      </c>
      <c r="W430" s="864">
        <v>40828.51854315016</v>
      </c>
      <c r="X430" s="861"/>
      <c r="Y430" s="1132">
        <f>+Z430/(SUM(Z$422:Z$426,Z$411:Z$412)+Y$196-Z$196)</f>
        <v>0.1133113315160645</v>
      </c>
      <c r="Z430" s="864">
        <v>41821.547275255361</v>
      </c>
      <c r="AA430" s="861"/>
      <c r="AB430" s="1132">
        <f>+AC430/(SUM(AC$422:AC$426,AC$411:AC$412)+AB$196-AC$196)</f>
        <v>0.11260378982387188</v>
      </c>
      <c r="AC430" s="864">
        <v>40829.245266991187</v>
      </c>
      <c r="AD430" s="861"/>
      <c r="AE430" s="1132">
        <f>+AF430/(SUM(AF$422:AF$426,AF$411:AF$412)+AE$196-AF$196)</f>
        <v>0.11212348639876156</v>
      </c>
      <c r="AF430" s="864">
        <v>39074.315709122791</v>
      </c>
      <c r="AG430" s="861"/>
      <c r="AH430" s="1132">
        <f>+AI430/(SUM(AI$422:AI$426,AI$411:AI$412)+AH$196-AI$196)</f>
        <v>0.10617200462709293</v>
      </c>
      <c r="AI430" s="864">
        <v>40150.625488047583</v>
      </c>
      <c r="AJ430" s="861"/>
      <c r="AK430" s="1132">
        <f>+AL430/(SUM(AL$422:AL$426,AL$411:AL$412)+AK$196-AL$196)</f>
        <v>0.10077115962649316</v>
      </c>
      <c r="AL430" s="864">
        <v>40824.908683481714</v>
      </c>
      <c r="AM430" s="861"/>
      <c r="AN430" s="1132">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399999999999999">
      <c r="A431" s="611" t="str">
        <f t="shared" si="1232"/>
        <v>Déduction à la source</v>
      </c>
      <c r="B431" s="872" t="s">
        <v>117</v>
      </c>
      <c r="C431" s="872"/>
      <c r="D431" s="1133">
        <f t="shared" ref="D431:D432" si="1283">+E431/(SUM(E$422:E$426,E$411:E$412)+D$196-E$196)</f>
        <v>9.8193123314121736E-2</v>
      </c>
      <c r="E431" s="871">
        <f t="shared" si="1282"/>
        <v>423557.12929723604</v>
      </c>
      <c r="F431" s="872"/>
      <c r="G431" s="1133">
        <f t="shared" ref="G431:G432" si="1284">+H431/(SUM(H$422:H$426,H$411:H$412)+G$196-H$196)</f>
        <v>0.10730983925815135</v>
      </c>
      <c r="H431" s="871">
        <v>30976.424729045859</v>
      </c>
      <c r="I431" s="872"/>
      <c r="J431" s="1133">
        <f t="shared" ref="J431:J432" si="1285">+K431/(SUM(K$422:K$426,K$411:K$412)+J$196-K$196)</f>
        <v>0.10440814990070894</v>
      </c>
      <c r="K431" s="871">
        <v>30141.990142524926</v>
      </c>
      <c r="L431" s="872"/>
      <c r="M431" s="1133">
        <f t="shared" ref="M431:M432" si="1286">+N431/(SUM(N$422:N$426,N$411:N$412)+M$196-N$196)</f>
        <v>0.10174859107328253</v>
      </c>
      <c r="N431" s="871">
        <v>37353.447615544253</v>
      </c>
      <c r="O431" s="872"/>
      <c r="P431" s="1133">
        <f t="shared" ref="P431:P432" si="1287">+Q431/(SUM(Q$422:Q$426,Q$411:Q$412)+P$196-Q$196)</f>
        <v>9.2044915386821191E-2</v>
      </c>
      <c r="Q431" s="871">
        <v>37063.157461409653</v>
      </c>
      <c r="R431" s="872"/>
      <c r="S431" s="1133">
        <f t="shared" ref="S431:S432" si="1288">+T431/(SUM(T$422:T$426,T$411:T$412)+S$196-T$196)</f>
        <v>9.2999632537835053E-2</v>
      </c>
      <c r="T431" s="871">
        <v>38109.513596385528</v>
      </c>
      <c r="U431" s="872"/>
      <c r="V431" s="1133">
        <f t="shared" ref="V431:V432" si="1289">+W431/(SUM(W$422:W$426,W$411:W$412)+V$196-W$196)</f>
        <v>9.7223374524714953E-2</v>
      </c>
      <c r="W431" s="871">
        <v>36566.123512456063</v>
      </c>
      <c r="X431" s="872"/>
      <c r="Y431" s="1133">
        <f t="shared" ref="Y431:Y432" si="1290">+Z431/(SUM(Z$422:Z$426,Z$411:Z$412)+Y$196-Z$196)</f>
        <v>0.10148191243329854</v>
      </c>
      <c r="Z431" s="871">
        <v>37455.482533190567</v>
      </c>
      <c r="AA431" s="872"/>
      <c r="AB431" s="1133">
        <f t="shared" ref="AB431:AB432" si="1291">+AC431/(SUM(AC$422:AC$426,AC$411:AC$412)+AB$196-AC$196)</f>
        <v>0.10084823632086296</v>
      </c>
      <c r="AC431" s="871">
        <v>36566.774368149061</v>
      </c>
      <c r="AD431" s="872"/>
      <c r="AE431" s="1133">
        <f t="shared" ref="AE431:AE432" si="1292">+AF431/(SUM(AF$422:AF$426,AF$411:AF$412)+AE$196-AF$196)</f>
        <v>0.10041807536982383</v>
      </c>
      <c r="AF431" s="871">
        <v>34995.055058743899</v>
      </c>
      <c r="AG431" s="872"/>
      <c r="AH431" s="1133">
        <f t="shared" ref="AH431:AH432" si="1293">+AI431/(SUM(AI$422:AI$426,AI$411:AI$412)+AH$196-AI$196)</f>
        <v>9.5087913382315786E-2</v>
      </c>
      <c r="AI431" s="871">
        <v>35959.000793689775</v>
      </c>
      <c r="AJ431" s="872"/>
      <c r="AK431" s="1133">
        <f t="shared" ref="AK431:AK432" si="1294">+AL431/(SUM(AL$422:AL$426,AL$411:AL$412)+AK$196-AL$196)</f>
        <v>9.0250903066723648E-2</v>
      </c>
      <c r="AL431" s="871">
        <v>36562.890513091668</v>
      </c>
      <c r="AM431" s="872"/>
      <c r="AN431" s="1133">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399999999999999">
      <c r="A432" s="611" t="str">
        <f t="shared" si="1232"/>
        <v>Bénéfices marginaux</v>
      </c>
      <c r="B432" s="883" t="s">
        <v>118</v>
      </c>
      <c r="C432" s="872"/>
      <c r="D432" s="1133">
        <f t="shared" si="1283"/>
        <v>7.7976892043567225E-2</v>
      </c>
      <c r="E432" s="871">
        <f t="shared" si="1282"/>
        <v>336354.19091251085</v>
      </c>
      <c r="F432" s="872"/>
      <c r="G432" s="1133">
        <f t="shared" si="1284"/>
        <v>8.5216637057943731E-2</v>
      </c>
      <c r="H432" s="871">
        <v>24598.925520124656</v>
      </c>
      <c r="I432" s="872"/>
      <c r="J432" s="1133">
        <f t="shared" si="1285"/>
        <v>8.2912354332915938E-2</v>
      </c>
      <c r="K432" s="871">
        <v>23936.286289652151</v>
      </c>
      <c r="L432" s="872"/>
      <c r="M432" s="1133">
        <f t="shared" si="1286"/>
        <v>8.0800351734665529E-2</v>
      </c>
      <c r="N432" s="871">
        <v>29663.031929991022</v>
      </c>
      <c r="O432" s="872"/>
      <c r="P432" s="1133">
        <f t="shared" si="1287"/>
        <v>7.3094491630710967E-2</v>
      </c>
      <c r="Q432" s="871">
        <v>29432.50739582532</v>
      </c>
      <c r="R432" s="872"/>
      <c r="S432" s="1133">
        <f t="shared" si="1288"/>
        <v>7.3852649368280787E-2</v>
      </c>
      <c r="T432" s="871">
        <v>30263.437267717924</v>
      </c>
      <c r="U432" s="872"/>
      <c r="V432" s="1133">
        <f t="shared" si="1289"/>
        <v>7.7206797416685416E-2</v>
      </c>
      <c r="W432" s="871">
        <v>29037.803965773935</v>
      </c>
      <c r="X432" s="872"/>
      <c r="Y432" s="1133">
        <f t="shared" si="1290"/>
        <v>8.0588577520560603E-2</v>
      </c>
      <c r="Z432" s="871">
        <v>29744.059658710157</v>
      </c>
      <c r="AA432" s="872"/>
      <c r="AB432" s="1133">
        <f t="shared" si="1291"/>
        <v>8.0085364137155876E-2</v>
      </c>
      <c r="AC432" s="871">
        <v>29038.320821765432</v>
      </c>
      <c r="AD432" s="872"/>
      <c r="AE432" s="1133">
        <f t="shared" si="1292"/>
        <v>7.9743765734860111E-2</v>
      </c>
      <c r="AF432" s="871">
        <v>27790.190781943689</v>
      </c>
      <c r="AG432" s="872"/>
      <c r="AH432" s="1133">
        <f t="shared" si="1293"/>
        <v>7.5510990038897843E-2</v>
      </c>
      <c r="AI432" s="871">
        <v>28555.677100871297</v>
      </c>
      <c r="AJ432" s="872"/>
      <c r="AK432" s="1133">
        <f t="shared" si="1294"/>
        <v>7.1669834788280568E-2</v>
      </c>
      <c r="AL432" s="871">
        <v>29035.236583925744</v>
      </c>
      <c r="AM432" s="872"/>
      <c r="AN432" s="1133">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399999999999999">
      <c r="A433" s="611" t="str">
        <f t="shared" si="1232"/>
        <v>Csst</v>
      </c>
      <c r="B433" s="872" t="s">
        <v>119</v>
      </c>
      <c r="C433" s="872"/>
      <c r="D433" s="1133">
        <f>+E433/(SUM(E$422:E$426,E$411:E$412)+D$196-E$196)</f>
        <v>3.1768363425157022E-2</v>
      </c>
      <c r="E433" s="871">
        <f t="shared" si="1282"/>
        <v>137033.18889028221</v>
      </c>
      <c r="F433" s="872"/>
      <c r="G433" s="1133">
        <f>+H433/(SUM(H$422:H$426,H$411:H$412)+G$196-H$196)</f>
        <v>3.4717889171754848E-2</v>
      </c>
      <c r="H433" s="871">
        <v>10021.784471161896</v>
      </c>
      <c r="I433" s="872"/>
      <c r="J433" s="1133">
        <f>+K433/(SUM(K$422:K$426,K$411:K$412)+J$196-K$196)</f>
        <v>3.3779107320817611E-2</v>
      </c>
      <c r="K433" s="871">
        <v>9751.8203402286563</v>
      </c>
      <c r="L433" s="872"/>
      <c r="M433" s="1133">
        <f>+N433/(SUM(N$422:N$426,N$411:N$412)+M$196-N$196)</f>
        <v>3.2918661817826711E-2</v>
      </c>
      <c r="N433" s="871">
        <v>12084.93893444079</v>
      </c>
      <c r="O433" s="872"/>
      <c r="P433" s="1133">
        <f>+Q433/(SUM(Q$422:Q$426,Q$411:Q$412)+P$196-Q$196)</f>
        <v>2.977923733103038E-2</v>
      </c>
      <c r="Q433" s="871">
        <v>11991.021531632534</v>
      </c>
      <c r="R433" s="872"/>
      <c r="S433" s="1133">
        <f>+T433/(SUM(T$422:T$426,T$411:T$412)+S$196-T$196)</f>
        <v>3.0088116409299575E-2</v>
      </c>
      <c r="T433" s="871">
        <v>12329.548516477671</v>
      </c>
      <c r="U433" s="872"/>
      <c r="V433" s="1133">
        <f>+W433/(SUM(W$422:W$426,W$411:W$412)+V$196-W$196)</f>
        <v>3.1454621169760728E-2</v>
      </c>
      <c r="W433" s="871">
        <v>11830.216430500494</v>
      </c>
      <c r="X433" s="872"/>
      <c r="Y433" s="1133">
        <f>+Z433/(SUM(Z$422:Z$426,Z$411:Z$412)+Y$196-Z$196)</f>
        <v>3.2832383434302469E-2</v>
      </c>
      <c r="Z433" s="871">
        <v>12117.95023132636</v>
      </c>
      <c r="AA433" s="872"/>
      <c r="AB433" s="1133">
        <f>+AC433/(SUM(AC$422:AC$426,AC$411:AC$412)+AB$196-AC$196)</f>
        <v>3.2627370574396838E-2</v>
      </c>
      <c r="AC433" s="871">
        <v>11830.427001459992</v>
      </c>
      <c r="AD433" s="872"/>
      <c r="AE433" s="1133">
        <f>+AF433/(SUM(AF$422:AF$426,AF$411:AF$412)+AE$196-AF$196)</f>
        <v>3.2488200854943007E-2</v>
      </c>
      <c r="AF433" s="871">
        <v>11321.929577828911</v>
      </c>
      <c r="AG433" s="872"/>
      <c r="AH433" s="1133">
        <f>+AI433/(SUM(AI$422:AI$426,AI$411:AI$412)+AH$196-AI$196)</f>
        <v>3.0763736682513934E-2</v>
      </c>
      <c r="AI433" s="871">
        <v>11633.794374429046</v>
      </c>
      <c r="AJ433" s="872"/>
      <c r="AK433" s="1133">
        <f>+AL433/(SUM(AL$422:AL$426,AL$411:AL$412)+AK$196-AL$196)</f>
        <v>2.9198821580410601E-2</v>
      </c>
      <c r="AL433" s="871">
        <v>11829.170460117895</v>
      </c>
      <c r="AM433" s="872"/>
      <c r="AN433" s="1133">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399999999999999">
      <c r="A434" s="611" t="str">
        <f t="shared" si="1232"/>
        <v>[...]</v>
      </c>
      <c r="B434" s="877" t="s">
        <v>42</v>
      </c>
      <c r="C434" s="872"/>
      <c r="D434" s="1131"/>
      <c r="E434" s="871">
        <f t="shared" si="1282"/>
        <v>0</v>
      </c>
      <c r="F434" s="872"/>
      <c r="G434" s="1131"/>
      <c r="H434" s="871">
        <f t="shared" ref="H434" si="1296">+SUMIF($B$4:$B$401,$B434,H$4:H$401)</f>
        <v>0</v>
      </c>
      <c r="I434" s="872"/>
      <c r="J434" s="1131"/>
      <c r="K434" s="871">
        <f t="shared" ref="K434:AO434" si="1297">+SUMIF($B$4:$B$401,$B434,K$4:K$401)</f>
        <v>0</v>
      </c>
      <c r="L434" s="872"/>
      <c r="M434" s="1131"/>
      <c r="N434" s="871">
        <f t="shared" si="1297"/>
        <v>0</v>
      </c>
      <c r="O434" s="872"/>
      <c r="P434" s="1131"/>
      <c r="Q434" s="871">
        <f t="shared" si="1297"/>
        <v>0</v>
      </c>
      <c r="R434" s="872"/>
      <c r="S434" s="1131"/>
      <c r="T434" s="871">
        <f t="shared" si="1297"/>
        <v>0</v>
      </c>
      <c r="U434" s="872"/>
      <c r="V434" s="1131"/>
      <c r="W434" s="871">
        <f t="shared" si="1297"/>
        <v>0</v>
      </c>
      <c r="X434" s="872"/>
      <c r="Y434" s="1131"/>
      <c r="Z434" s="871">
        <f t="shared" si="1297"/>
        <v>0</v>
      </c>
      <c r="AA434" s="872"/>
      <c r="AB434" s="1131"/>
      <c r="AC434" s="871">
        <f t="shared" si="1297"/>
        <v>0</v>
      </c>
      <c r="AD434" s="872"/>
      <c r="AE434" s="1131"/>
      <c r="AF434" s="871">
        <f t="shared" si="1297"/>
        <v>0</v>
      </c>
      <c r="AG434" s="872"/>
      <c r="AH434" s="1131"/>
      <c r="AI434" s="871">
        <f t="shared" si="1297"/>
        <v>0</v>
      </c>
      <c r="AJ434" s="872"/>
      <c r="AK434" s="1131"/>
      <c r="AL434" s="871">
        <f t="shared" si="1297"/>
        <v>0</v>
      </c>
      <c r="AM434" s="872"/>
      <c r="AN434" s="1131"/>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399999999999999">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399999999999999">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399999999999999">
      <c r="A437" s="611" t="str">
        <f t="shared" si="1232"/>
        <v>Service gratuit 2</v>
      </c>
      <c r="B437" s="872" t="s">
        <v>122</v>
      </c>
      <c r="C437" s="872"/>
      <c r="D437" s="1131"/>
      <c r="E437" s="871">
        <f t="shared" si="1320"/>
        <v>47760.092962337272</v>
      </c>
      <c r="F437" s="872"/>
      <c r="G437" s="1131"/>
      <c r="H437" s="871">
        <v>2506.5808325317239</v>
      </c>
      <c r="I437" s="872"/>
      <c r="J437" s="1131"/>
      <c r="K437" s="871">
        <v>2486.4637072358846</v>
      </c>
      <c r="L437" s="872"/>
      <c r="M437" s="1131"/>
      <c r="N437" s="871">
        <v>3315.2445671469141</v>
      </c>
      <c r="O437" s="872"/>
      <c r="P437" s="1131"/>
      <c r="Q437" s="871">
        <v>6043.6941787975629</v>
      </c>
      <c r="R437" s="872"/>
      <c r="S437" s="1131"/>
      <c r="T437" s="871">
        <v>4693.4716422992187</v>
      </c>
      <c r="U437" s="872"/>
      <c r="V437" s="1131"/>
      <c r="W437" s="871">
        <v>3454.4294301290929</v>
      </c>
      <c r="X437" s="872"/>
      <c r="Y437" s="1131"/>
      <c r="Z437" s="871">
        <v>3266.9993457882165</v>
      </c>
      <c r="AA437" s="872"/>
      <c r="AB437" s="1131"/>
      <c r="AC437" s="871">
        <v>3201.2832699302448</v>
      </c>
      <c r="AD437" s="872"/>
      <c r="AE437" s="1131"/>
      <c r="AF437" s="871">
        <v>2644.9571535311065</v>
      </c>
      <c r="AG437" s="872"/>
      <c r="AH437" s="1131"/>
      <c r="AI437" s="871">
        <v>4887.1336259974432</v>
      </c>
      <c r="AJ437" s="872"/>
      <c r="AK437" s="1131"/>
      <c r="AL437" s="871">
        <v>8210.6570130502769</v>
      </c>
      <c r="AM437" s="872"/>
      <c r="AN437" s="1131"/>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399999999999999">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399999999999999">
      <c r="A439" s="611" t="str">
        <f t="shared" si="1232"/>
        <v>Informatique</v>
      </c>
      <c r="B439" s="872" t="s">
        <v>124</v>
      </c>
      <c r="C439" s="872"/>
      <c r="D439" s="1131"/>
      <c r="E439" s="871">
        <f t="shared" si="1320"/>
        <v>240410.51099999994</v>
      </c>
      <c r="F439" s="872"/>
      <c r="G439" s="1131"/>
      <c r="H439" s="871">
        <v>20034.202416666667</v>
      </c>
      <c r="I439" s="872"/>
      <c r="J439" s="1131"/>
      <c r="K439" s="871">
        <v>20034.202416666667</v>
      </c>
      <c r="L439" s="872"/>
      <c r="M439" s="1131"/>
      <c r="N439" s="871">
        <v>20034.202416666667</v>
      </c>
      <c r="O439" s="872"/>
      <c r="P439" s="1131"/>
      <c r="Q439" s="871">
        <v>20034.202416666667</v>
      </c>
      <c r="R439" s="872"/>
      <c r="S439" s="1131"/>
      <c r="T439" s="871">
        <v>20034.212666666666</v>
      </c>
      <c r="U439" s="872"/>
      <c r="V439" s="1131"/>
      <c r="W439" s="871">
        <v>20034.212666666666</v>
      </c>
      <c r="X439" s="872"/>
      <c r="Y439" s="1131"/>
      <c r="Z439" s="871">
        <v>20034.212666666666</v>
      </c>
      <c r="AA439" s="872"/>
      <c r="AB439" s="1131"/>
      <c r="AC439" s="871">
        <v>20034.212666666666</v>
      </c>
      <c r="AD439" s="872"/>
      <c r="AE439" s="1131"/>
      <c r="AF439" s="871">
        <v>20034.212666666666</v>
      </c>
      <c r="AG439" s="872"/>
      <c r="AH439" s="1131"/>
      <c r="AI439" s="871">
        <v>20034.212666666666</v>
      </c>
      <c r="AJ439" s="872"/>
      <c r="AK439" s="1131"/>
      <c r="AL439" s="871">
        <v>20034.212666666666</v>
      </c>
      <c r="AM439" s="872"/>
      <c r="AN439" s="1131"/>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399999999999999">
      <c r="A440" s="611" t="str">
        <f t="shared" si="1232"/>
        <v>Frais de déplacement</v>
      </c>
      <c r="B440" s="872" t="s">
        <v>125</v>
      </c>
      <c r="C440" s="872"/>
      <c r="D440" s="1131"/>
      <c r="E440" s="871">
        <f t="shared" si="1320"/>
        <v>29705.317500000008</v>
      </c>
      <c r="F440" s="872"/>
      <c r="G440" s="1131"/>
      <c r="H440" s="871">
        <v>2475.4431250000002</v>
      </c>
      <c r="I440" s="872"/>
      <c r="J440" s="1131"/>
      <c r="K440" s="871">
        <v>2475.4431250000002</v>
      </c>
      <c r="L440" s="872"/>
      <c r="M440" s="1131"/>
      <c r="N440" s="871">
        <v>2475.4431250000002</v>
      </c>
      <c r="O440" s="872"/>
      <c r="P440" s="1131"/>
      <c r="Q440" s="871">
        <v>2475.4431250000002</v>
      </c>
      <c r="R440" s="872"/>
      <c r="S440" s="1131"/>
      <c r="T440" s="871">
        <v>2475.4431250000002</v>
      </c>
      <c r="U440" s="872"/>
      <c r="V440" s="1131"/>
      <c r="W440" s="871">
        <v>2475.4431250000002</v>
      </c>
      <c r="X440" s="872"/>
      <c r="Y440" s="1131"/>
      <c r="Z440" s="871">
        <v>2475.4431250000002</v>
      </c>
      <c r="AA440" s="872"/>
      <c r="AB440" s="1131"/>
      <c r="AC440" s="871">
        <v>2475.4431250000002</v>
      </c>
      <c r="AD440" s="872"/>
      <c r="AE440" s="1131"/>
      <c r="AF440" s="871">
        <v>2475.4431250000002</v>
      </c>
      <c r="AG440" s="872"/>
      <c r="AH440" s="1131"/>
      <c r="AI440" s="871">
        <v>2475.4431250000002</v>
      </c>
      <c r="AJ440" s="872"/>
      <c r="AK440" s="1131"/>
      <c r="AL440" s="871">
        <v>2475.4431250000002</v>
      </c>
      <c r="AM440" s="872"/>
      <c r="AN440" s="1131"/>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399999999999999">
      <c r="A441" s="611" t="str">
        <f t="shared" si="1232"/>
        <v>Services extérieurs</v>
      </c>
      <c r="B441" s="872" t="s">
        <v>126</v>
      </c>
      <c r="C441" s="1134"/>
      <c r="D441" s="1135"/>
      <c r="E441" s="1136">
        <f t="shared" si="1320"/>
        <v>251188.81806666666</v>
      </c>
      <c r="F441" s="1134"/>
      <c r="G441" s="1135"/>
      <c r="H441" s="1136">
        <v>20117.604355555559</v>
      </c>
      <c r="I441" s="1134"/>
      <c r="J441" s="1135"/>
      <c r="K441" s="1136">
        <v>20322.272155555554</v>
      </c>
      <c r="L441" s="1134"/>
      <c r="M441" s="1135"/>
      <c r="N441" s="1136">
        <v>20219.995055555555</v>
      </c>
      <c r="O441" s="1134"/>
      <c r="P441" s="1135"/>
      <c r="Q441" s="1136">
        <v>19541.726855555557</v>
      </c>
      <c r="R441" s="1134"/>
      <c r="S441" s="1135"/>
      <c r="T441" s="1136">
        <v>26609.873755555556</v>
      </c>
      <c r="U441" s="1134"/>
      <c r="V441" s="1135"/>
      <c r="W441" s="1136">
        <v>20630.700055555557</v>
      </c>
      <c r="X441" s="1134"/>
      <c r="Y441" s="1135"/>
      <c r="Z441" s="1136">
        <v>20314.200055555557</v>
      </c>
      <c r="AA441" s="1134"/>
      <c r="AB441" s="1135"/>
      <c r="AC441" s="1136">
        <v>18933.671255555557</v>
      </c>
      <c r="AD441" s="1134"/>
      <c r="AE441" s="1135"/>
      <c r="AF441" s="1136">
        <v>19272.323455555557</v>
      </c>
      <c r="AG441" s="1134"/>
      <c r="AH441" s="1135"/>
      <c r="AI441" s="1136">
        <v>18693.551455555556</v>
      </c>
      <c r="AJ441" s="1134"/>
      <c r="AK441" s="1135"/>
      <c r="AL441" s="1136">
        <v>27219.629355555553</v>
      </c>
      <c r="AM441" s="1134"/>
      <c r="AN441" s="1135"/>
      <c r="AO441" s="1136">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399999999999999">
      <c r="A442" s="611"/>
      <c r="B442" s="872"/>
      <c r="C442" s="1137"/>
      <c r="D442" s="1138"/>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399999999999999">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399999999999999">
      <c r="A444" s="611" t="str">
        <f t="shared" si="1232"/>
        <v>Uniformes</v>
      </c>
      <c r="B444" s="872" t="s">
        <v>128</v>
      </c>
      <c r="C444" s="872"/>
      <c r="D444" s="1131"/>
      <c r="E444" s="871">
        <f t="shared" si="1320"/>
        <v>9139.6687499999989</v>
      </c>
      <c r="F444" s="872"/>
      <c r="G444" s="1131"/>
      <c r="H444" s="871">
        <v>467.02277717171074</v>
      </c>
      <c r="I444" s="872"/>
      <c r="J444" s="1131"/>
      <c r="K444" s="871">
        <v>482.11117011246233</v>
      </c>
      <c r="L444" s="872"/>
      <c r="M444" s="1131"/>
      <c r="N444" s="871">
        <v>841.31210324238816</v>
      </c>
      <c r="O444" s="872"/>
      <c r="P444" s="1131"/>
      <c r="Q444" s="871">
        <v>889.16451825784043</v>
      </c>
      <c r="R444" s="872"/>
      <c r="S444" s="1131"/>
      <c r="T444" s="871">
        <v>995.16741157977481</v>
      </c>
      <c r="U444" s="872"/>
      <c r="V444" s="1131"/>
      <c r="W444" s="871">
        <v>857.50204291140165</v>
      </c>
      <c r="X444" s="872"/>
      <c r="Y444" s="1131"/>
      <c r="Z444" s="871">
        <v>918.23975741108154</v>
      </c>
      <c r="AA444" s="872"/>
      <c r="AB444" s="1131"/>
      <c r="AC444" s="871">
        <v>872.97457858882672</v>
      </c>
      <c r="AD444" s="872"/>
      <c r="AE444" s="1131"/>
      <c r="AF444" s="871">
        <v>754.47052851933779</v>
      </c>
      <c r="AG444" s="872"/>
      <c r="AH444" s="1131"/>
      <c r="AI444" s="871">
        <v>829.91249322309579</v>
      </c>
      <c r="AJ444" s="872"/>
      <c r="AK444" s="1131"/>
      <c r="AL444" s="871">
        <v>733.49025920060342</v>
      </c>
      <c r="AM444" s="872"/>
      <c r="AN444" s="1131"/>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399999999999999">
      <c r="A445" s="611" t="str">
        <f t="shared" si="1232"/>
        <v>Papeterie</v>
      </c>
      <c r="B445" s="872" t="s">
        <v>129</v>
      </c>
      <c r="C445" s="872"/>
      <c r="D445" s="1131"/>
      <c r="E445" s="871">
        <f t="shared" si="1320"/>
        <v>24482.412</v>
      </c>
      <c r="F445" s="872"/>
      <c r="G445" s="1131"/>
      <c r="H445" s="871">
        <v>2040.2009999999998</v>
      </c>
      <c r="I445" s="872"/>
      <c r="J445" s="1131"/>
      <c r="K445" s="871">
        <v>2040.2009999999998</v>
      </c>
      <c r="L445" s="872"/>
      <c r="M445" s="1131"/>
      <c r="N445" s="871">
        <v>2040.2009999999998</v>
      </c>
      <c r="O445" s="872"/>
      <c r="P445" s="1131"/>
      <c r="Q445" s="871">
        <v>2040.2009999999998</v>
      </c>
      <c r="R445" s="872"/>
      <c r="S445" s="1131"/>
      <c r="T445" s="871">
        <v>2040.2009999999998</v>
      </c>
      <c r="U445" s="872"/>
      <c r="V445" s="1131"/>
      <c r="W445" s="871">
        <v>2040.2009999999998</v>
      </c>
      <c r="X445" s="872"/>
      <c r="Y445" s="1131"/>
      <c r="Z445" s="871">
        <v>2040.2009999999998</v>
      </c>
      <c r="AA445" s="872"/>
      <c r="AB445" s="1131"/>
      <c r="AC445" s="871">
        <v>2040.2009999999998</v>
      </c>
      <c r="AD445" s="872"/>
      <c r="AE445" s="1131"/>
      <c r="AF445" s="871">
        <v>2040.2009999999998</v>
      </c>
      <c r="AG445" s="872"/>
      <c r="AH445" s="1131"/>
      <c r="AI445" s="871">
        <v>2040.2009999999998</v>
      </c>
      <c r="AJ445" s="872"/>
      <c r="AK445" s="1131"/>
      <c r="AL445" s="871">
        <v>2040.2009999999998</v>
      </c>
      <c r="AM445" s="872"/>
      <c r="AN445" s="1131"/>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399999999999999">
      <c r="A446" s="611" t="str">
        <f t="shared" si="1232"/>
        <v>Téléphone</v>
      </c>
      <c r="B446" s="872" t="s">
        <v>130</v>
      </c>
      <c r="C446" s="872"/>
      <c r="D446" s="1131"/>
      <c r="E446" s="871">
        <f t="shared" si="1320"/>
        <v>11304.919749999999</v>
      </c>
      <c r="F446" s="872"/>
      <c r="G446" s="1131"/>
      <c r="H446" s="871">
        <v>942.07664583333337</v>
      </c>
      <c r="I446" s="872"/>
      <c r="J446" s="1131"/>
      <c r="K446" s="871">
        <v>942.07664583333337</v>
      </c>
      <c r="L446" s="872"/>
      <c r="M446" s="1131"/>
      <c r="N446" s="871">
        <v>942.07664583333337</v>
      </c>
      <c r="O446" s="872"/>
      <c r="P446" s="1131"/>
      <c r="Q446" s="871">
        <v>942.07664583333337</v>
      </c>
      <c r="R446" s="872"/>
      <c r="S446" s="1131"/>
      <c r="T446" s="871">
        <v>942.07664583333337</v>
      </c>
      <c r="U446" s="872"/>
      <c r="V446" s="1131"/>
      <c r="W446" s="871">
        <v>942.07664583333337</v>
      </c>
      <c r="X446" s="872"/>
      <c r="Y446" s="1131"/>
      <c r="Z446" s="871">
        <v>942.07664583333337</v>
      </c>
      <c r="AA446" s="872"/>
      <c r="AB446" s="1131"/>
      <c r="AC446" s="871">
        <v>942.07664583333337</v>
      </c>
      <c r="AD446" s="872"/>
      <c r="AE446" s="1131"/>
      <c r="AF446" s="871">
        <v>942.07664583333337</v>
      </c>
      <c r="AG446" s="872"/>
      <c r="AH446" s="1131"/>
      <c r="AI446" s="871">
        <v>942.07664583333337</v>
      </c>
      <c r="AJ446" s="872"/>
      <c r="AK446" s="1131"/>
      <c r="AL446" s="871">
        <v>942.07664583333337</v>
      </c>
      <c r="AM446" s="872"/>
      <c r="AN446" s="1131"/>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399999999999999">
      <c r="A447" s="611" t="str">
        <f t="shared" si="1232"/>
        <v>Frais postaux</v>
      </c>
      <c r="B447" s="872" t="s">
        <v>131</v>
      </c>
      <c r="C447" s="872"/>
      <c r="D447" s="1131"/>
      <c r="E447" s="871">
        <f t="shared" si="1320"/>
        <v>6034.3902499999976</v>
      </c>
      <c r="F447" s="872"/>
      <c r="G447" s="1131"/>
      <c r="H447" s="871">
        <v>502.86585416666657</v>
      </c>
      <c r="I447" s="872"/>
      <c r="J447" s="1131"/>
      <c r="K447" s="871">
        <v>502.86585416666657</v>
      </c>
      <c r="L447" s="872"/>
      <c r="M447" s="1131"/>
      <c r="N447" s="871">
        <v>502.86585416666657</v>
      </c>
      <c r="O447" s="872"/>
      <c r="P447" s="1131"/>
      <c r="Q447" s="871">
        <v>502.86585416666657</v>
      </c>
      <c r="R447" s="872"/>
      <c r="S447" s="1131"/>
      <c r="T447" s="871">
        <v>502.86585416666657</v>
      </c>
      <c r="U447" s="872"/>
      <c r="V447" s="1131"/>
      <c r="W447" s="871">
        <v>502.86585416666657</v>
      </c>
      <c r="X447" s="872"/>
      <c r="Y447" s="1131"/>
      <c r="Z447" s="871">
        <v>502.86585416666657</v>
      </c>
      <c r="AA447" s="872"/>
      <c r="AB447" s="1131"/>
      <c r="AC447" s="871">
        <v>502.86585416666657</v>
      </c>
      <c r="AD447" s="872"/>
      <c r="AE447" s="1131"/>
      <c r="AF447" s="871">
        <v>502.86585416666657</v>
      </c>
      <c r="AG447" s="872"/>
      <c r="AH447" s="1131"/>
      <c r="AI447" s="871">
        <v>502.86585416666657</v>
      </c>
      <c r="AJ447" s="872"/>
      <c r="AK447" s="1131"/>
      <c r="AL447" s="871">
        <v>502.86585416666657</v>
      </c>
      <c r="AM447" s="872"/>
      <c r="AN447" s="1131"/>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399999999999999">
      <c r="A448" s="611" t="str">
        <f t="shared" si="1232"/>
        <v>Divers</v>
      </c>
      <c r="B448" s="872" t="s">
        <v>132</v>
      </c>
      <c r="C448" s="872"/>
      <c r="D448" s="1131"/>
      <c r="E448" s="871">
        <f t="shared" si="1320"/>
        <v>29108.759749999994</v>
      </c>
      <c r="F448" s="872"/>
      <c r="G448" s="1131"/>
      <c r="H448" s="871">
        <v>2425.729979166666</v>
      </c>
      <c r="I448" s="872"/>
      <c r="J448" s="1131"/>
      <c r="K448" s="871">
        <v>2425.729979166666</v>
      </c>
      <c r="L448" s="872"/>
      <c r="M448" s="1131"/>
      <c r="N448" s="871">
        <v>2425.729979166666</v>
      </c>
      <c r="O448" s="872"/>
      <c r="P448" s="1131"/>
      <c r="Q448" s="871">
        <v>2425.729979166666</v>
      </c>
      <c r="R448" s="872"/>
      <c r="S448" s="1131"/>
      <c r="T448" s="871">
        <v>2425.729979166666</v>
      </c>
      <c r="U448" s="872"/>
      <c r="V448" s="1131"/>
      <c r="W448" s="871">
        <v>2425.729979166666</v>
      </c>
      <c r="X448" s="872"/>
      <c r="Y448" s="1131"/>
      <c r="Z448" s="871">
        <v>2425.729979166666</v>
      </c>
      <c r="AA448" s="872"/>
      <c r="AB448" s="1131"/>
      <c r="AC448" s="871">
        <v>2425.729979166666</v>
      </c>
      <c r="AD448" s="872"/>
      <c r="AE448" s="1131"/>
      <c r="AF448" s="871">
        <v>2425.729979166666</v>
      </c>
      <c r="AG448" s="872"/>
      <c r="AH448" s="1131"/>
      <c r="AI448" s="871">
        <v>2425.729979166666</v>
      </c>
      <c r="AJ448" s="872"/>
      <c r="AK448" s="1131"/>
      <c r="AL448" s="871">
        <v>2425.729979166666</v>
      </c>
      <c r="AM448" s="872"/>
      <c r="AN448" s="1131"/>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399999999999999">
      <c r="A449" s="611" t="str">
        <f t="shared" si="1232"/>
        <v>Formation</v>
      </c>
      <c r="B449" s="872" t="s">
        <v>133</v>
      </c>
      <c r="C449" s="872"/>
      <c r="D449" s="1131"/>
      <c r="E449" s="871">
        <f t="shared" si="1320"/>
        <v>43247.110000000008</v>
      </c>
      <c r="F449" s="872"/>
      <c r="G449" s="1131"/>
      <c r="H449" s="871">
        <v>3603.9258333333332</v>
      </c>
      <c r="I449" s="872"/>
      <c r="J449" s="1131"/>
      <c r="K449" s="871">
        <v>3603.9258333333332</v>
      </c>
      <c r="L449" s="872"/>
      <c r="M449" s="1131"/>
      <c r="N449" s="871">
        <v>3603.9258333333332</v>
      </c>
      <c r="O449" s="872"/>
      <c r="P449" s="1131"/>
      <c r="Q449" s="871">
        <v>3603.9258333333332</v>
      </c>
      <c r="R449" s="872"/>
      <c r="S449" s="1131"/>
      <c r="T449" s="871">
        <v>3603.9258333333332</v>
      </c>
      <c r="U449" s="872"/>
      <c r="V449" s="1131"/>
      <c r="W449" s="871">
        <v>3603.9258333333332</v>
      </c>
      <c r="X449" s="872"/>
      <c r="Y449" s="1131"/>
      <c r="Z449" s="871">
        <v>3603.9258333333332</v>
      </c>
      <c r="AA449" s="872"/>
      <c r="AB449" s="1131"/>
      <c r="AC449" s="871">
        <v>3603.9258333333332</v>
      </c>
      <c r="AD449" s="872"/>
      <c r="AE449" s="1131"/>
      <c r="AF449" s="871">
        <v>3603.9258333333332</v>
      </c>
      <c r="AG449" s="872"/>
      <c r="AH449" s="1131"/>
      <c r="AI449" s="871">
        <v>3603.9258333333332</v>
      </c>
      <c r="AJ449" s="872"/>
      <c r="AK449" s="1131"/>
      <c r="AL449" s="871">
        <v>3603.9258333333332</v>
      </c>
      <c r="AM449" s="872"/>
      <c r="AN449" s="1131"/>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399999999999999">
      <c r="A450" s="611" t="str">
        <f t="shared" si="1232"/>
        <v>Frais bancaires</v>
      </c>
      <c r="B450" s="872" t="s">
        <v>134</v>
      </c>
      <c r="C450" s="872"/>
      <c r="D450" s="1131"/>
      <c r="E450" s="871">
        <f t="shared" si="1320"/>
        <v>87404.247868401319</v>
      </c>
      <c r="F450" s="872"/>
      <c r="G450" s="1131"/>
      <c r="H450" s="871">
        <v>5260.1164656443607</v>
      </c>
      <c r="I450" s="872"/>
      <c r="J450" s="1131"/>
      <c r="K450" s="871">
        <v>4476.4105126150998</v>
      </c>
      <c r="L450" s="872"/>
      <c r="M450" s="1131"/>
      <c r="N450" s="871">
        <v>5248.2085234784781</v>
      </c>
      <c r="O450" s="872"/>
      <c r="P450" s="1131"/>
      <c r="Q450" s="871">
        <v>10497.029953519042</v>
      </c>
      <c r="R450" s="872"/>
      <c r="S450" s="1131"/>
      <c r="T450" s="871">
        <v>9583.8504690154659</v>
      </c>
      <c r="U450" s="872"/>
      <c r="V450" s="1131"/>
      <c r="W450" s="871">
        <v>6184.7280924782972</v>
      </c>
      <c r="X450" s="872"/>
      <c r="Y450" s="1131"/>
      <c r="Z450" s="871">
        <v>5805.5848648570627</v>
      </c>
      <c r="AA450" s="872"/>
      <c r="AB450" s="1131"/>
      <c r="AC450" s="871">
        <v>6444.1879269473675</v>
      </c>
      <c r="AD450" s="872"/>
      <c r="AE450" s="1131"/>
      <c r="AF450" s="871">
        <v>4772.8874573503599</v>
      </c>
      <c r="AG450" s="872"/>
      <c r="AH450" s="1131"/>
      <c r="AI450" s="871">
        <v>9333.6146670067283</v>
      </c>
      <c r="AJ450" s="872"/>
      <c r="AK450" s="1131"/>
      <c r="AL450" s="871">
        <v>13783.275856393127</v>
      </c>
      <c r="AM450" s="872"/>
      <c r="AN450" s="1131"/>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399999999999999">
      <c r="A451" s="611" t="str">
        <f t="shared" si="1232"/>
        <v>[...]</v>
      </c>
      <c r="B451" s="872" t="s">
        <v>42</v>
      </c>
      <c r="C451" s="872"/>
      <c r="D451" s="1131"/>
      <c r="E451" s="871">
        <f t="shared" si="1320"/>
        <v>0</v>
      </c>
      <c r="F451" s="872"/>
      <c r="G451" s="1131"/>
      <c r="H451" s="871">
        <f t="shared" ref="H451:H453" si="1321">+SUMIF($B$4:$B$401,$B451,H$4:H$401)</f>
        <v>0</v>
      </c>
      <c r="I451" s="872"/>
      <c r="J451" s="1131"/>
      <c r="K451" s="871">
        <f t="shared" ref="K451:AO453" si="1322">+SUMIF($B$4:$B$401,$B451,K$4:K$401)</f>
        <v>0</v>
      </c>
      <c r="L451" s="872"/>
      <c r="M451" s="1131"/>
      <c r="N451" s="871">
        <f t="shared" si="1322"/>
        <v>0</v>
      </c>
      <c r="O451" s="872"/>
      <c r="P451" s="1131"/>
      <c r="Q451" s="871">
        <f t="shared" si="1322"/>
        <v>0</v>
      </c>
      <c r="R451" s="872"/>
      <c r="S451" s="1131"/>
      <c r="T451" s="871">
        <f t="shared" si="1322"/>
        <v>0</v>
      </c>
      <c r="U451" s="872"/>
      <c r="V451" s="1131"/>
      <c r="W451" s="871">
        <f t="shared" si="1322"/>
        <v>0</v>
      </c>
      <c r="X451" s="872"/>
      <c r="Y451" s="1131"/>
      <c r="Z451" s="871">
        <f t="shared" si="1322"/>
        <v>0</v>
      </c>
      <c r="AA451" s="872"/>
      <c r="AB451" s="1131"/>
      <c r="AC451" s="871">
        <f t="shared" si="1322"/>
        <v>0</v>
      </c>
      <c r="AD451" s="872"/>
      <c r="AE451" s="1131"/>
      <c r="AF451" s="871">
        <f t="shared" si="1322"/>
        <v>0</v>
      </c>
      <c r="AG451" s="872"/>
      <c r="AH451" s="1131"/>
      <c r="AI451" s="871">
        <f t="shared" si="1322"/>
        <v>0</v>
      </c>
      <c r="AJ451" s="872"/>
      <c r="AK451" s="1131"/>
      <c r="AL451" s="871">
        <f t="shared" si="1322"/>
        <v>0</v>
      </c>
      <c r="AM451" s="872"/>
      <c r="AN451" s="1131"/>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399999999999999">
      <c r="A452" s="611" t="str">
        <f t="shared" si="1232"/>
        <v>[...]</v>
      </c>
      <c r="B452" s="872" t="s">
        <v>42</v>
      </c>
      <c r="C452" s="872"/>
      <c r="D452" s="1131"/>
      <c r="E452" s="871">
        <f t="shared" si="1320"/>
        <v>0</v>
      </c>
      <c r="F452" s="872"/>
      <c r="G452" s="1131"/>
      <c r="H452" s="871">
        <f t="shared" si="1321"/>
        <v>0</v>
      </c>
      <c r="I452" s="872"/>
      <c r="J452" s="1131"/>
      <c r="K452" s="871">
        <f t="shared" si="1322"/>
        <v>0</v>
      </c>
      <c r="L452" s="872"/>
      <c r="M452" s="1131"/>
      <c r="N452" s="871">
        <f t="shared" si="1322"/>
        <v>0</v>
      </c>
      <c r="O452" s="872"/>
      <c r="P452" s="1131"/>
      <c r="Q452" s="871">
        <f t="shared" si="1322"/>
        <v>0</v>
      </c>
      <c r="R452" s="872"/>
      <c r="S452" s="1131"/>
      <c r="T452" s="871">
        <f t="shared" si="1322"/>
        <v>0</v>
      </c>
      <c r="U452" s="872"/>
      <c r="V452" s="1131"/>
      <c r="W452" s="871">
        <f t="shared" si="1322"/>
        <v>0</v>
      </c>
      <c r="X452" s="872"/>
      <c r="Y452" s="1131"/>
      <c r="Z452" s="871">
        <f t="shared" si="1322"/>
        <v>0</v>
      </c>
      <c r="AA452" s="872"/>
      <c r="AB452" s="1131"/>
      <c r="AC452" s="871">
        <f t="shared" si="1322"/>
        <v>0</v>
      </c>
      <c r="AD452" s="872"/>
      <c r="AE452" s="1131"/>
      <c r="AF452" s="871">
        <f t="shared" si="1322"/>
        <v>0</v>
      </c>
      <c r="AG452" s="872"/>
      <c r="AH452" s="1131"/>
      <c r="AI452" s="871">
        <f t="shared" si="1322"/>
        <v>0</v>
      </c>
      <c r="AJ452" s="872"/>
      <c r="AK452" s="1131"/>
      <c r="AL452" s="871">
        <f t="shared" si="1322"/>
        <v>0</v>
      </c>
      <c r="AM452" s="872"/>
      <c r="AN452" s="1131"/>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399999999999999">
      <c r="A453" s="611" t="str">
        <f t="shared" si="1232"/>
        <v>[...]</v>
      </c>
      <c r="B453" s="872" t="s">
        <v>42</v>
      </c>
      <c r="C453" s="872"/>
      <c r="D453" s="1131"/>
      <c r="E453" s="871">
        <f t="shared" si="1320"/>
        <v>0</v>
      </c>
      <c r="F453" s="872"/>
      <c r="G453" s="1131"/>
      <c r="H453" s="871">
        <f t="shared" si="1321"/>
        <v>0</v>
      </c>
      <c r="I453" s="872"/>
      <c r="J453" s="1131"/>
      <c r="K453" s="871">
        <f t="shared" si="1322"/>
        <v>0</v>
      </c>
      <c r="L453" s="872"/>
      <c r="M453" s="1131"/>
      <c r="N453" s="871">
        <f t="shared" si="1322"/>
        <v>0</v>
      </c>
      <c r="O453" s="872"/>
      <c r="P453" s="1131"/>
      <c r="Q453" s="871">
        <f t="shared" si="1322"/>
        <v>0</v>
      </c>
      <c r="R453" s="872"/>
      <c r="S453" s="1131"/>
      <c r="T453" s="871">
        <f t="shared" si="1322"/>
        <v>0</v>
      </c>
      <c r="U453" s="872"/>
      <c r="V453" s="1131"/>
      <c r="W453" s="871">
        <f t="shared" si="1322"/>
        <v>0</v>
      </c>
      <c r="X453" s="872"/>
      <c r="Y453" s="1131"/>
      <c r="Z453" s="871">
        <f t="shared" si="1322"/>
        <v>0</v>
      </c>
      <c r="AA453" s="872"/>
      <c r="AB453" s="1131"/>
      <c r="AC453" s="871">
        <f t="shared" si="1322"/>
        <v>0</v>
      </c>
      <c r="AD453" s="872"/>
      <c r="AE453" s="1131"/>
      <c r="AF453" s="871">
        <f t="shared" si="1322"/>
        <v>0</v>
      </c>
      <c r="AG453" s="872"/>
      <c r="AH453" s="1131"/>
      <c r="AI453" s="871">
        <f t="shared" si="1322"/>
        <v>0</v>
      </c>
      <c r="AJ453" s="872"/>
      <c r="AK453" s="1131"/>
      <c r="AL453" s="871">
        <f t="shared" si="1322"/>
        <v>0</v>
      </c>
      <c r="AM453" s="872"/>
      <c r="AN453" s="1131"/>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399999999999999">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399999999999999">
      <c r="A455" s="611" t="str">
        <f t="shared" si="1232"/>
        <v>Loyer</v>
      </c>
      <c r="B455" s="872" t="s">
        <v>235</v>
      </c>
      <c r="C455" s="872"/>
      <c r="D455" s="1131"/>
      <c r="E455" s="871">
        <f t="shared" ref="E455:E467" si="1345">+SUM(H455,K455,N455,Q455,T455,W455,Z455,AC455,AF455,AI455,AL455,AO455)</f>
        <v>312000</v>
      </c>
      <c r="F455" s="872"/>
      <c r="G455" s="1131"/>
      <c r="H455" s="882">
        <v>26000</v>
      </c>
      <c r="I455" s="872"/>
      <c r="J455" s="1131"/>
      <c r="K455" s="882">
        <v>26000</v>
      </c>
      <c r="L455" s="872"/>
      <c r="M455" s="1131"/>
      <c r="N455" s="882">
        <v>26000</v>
      </c>
      <c r="O455" s="872"/>
      <c r="P455" s="1131"/>
      <c r="Q455" s="882">
        <v>26000</v>
      </c>
      <c r="R455" s="872"/>
      <c r="S455" s="1131"/>
      <c r="T455" s="882">
        <v>26000</v>
      </c>
      <c r="U455" s="872"/>
      <c r="V455" s="1131"/>
      <c r="W455" s="882">
        <v>26000</v>
      </c>
      <c r="X455" s="872"/>
      <c r="Y455" s="1131"/>
      <c r="Z455" s="882">
        <v>26000</v>
      </c>
      <c r="AA455" s="872"/>
      <c r="AB455" s="1131"/>
      <c r="AC455" s="882">
        <v>26000</v>
      </c>
      <c r="AD455" s="872"/>
      <c r="AE455" s="1131"/>
      <c r="AF455" s="882">
        <v>26000</v>
      </c>
      <c r="AG455" s="872"/>
      <c r="AH455" s="1131"/>
      <c r="AI455" s="882">
        <v>26000</v>
      </c>
      <c r="AJ455" s="872"/>
      <c r="AK455" s="1131"/>
      <c r="AL455" s="882">
        <v>26000</v>
      </c>
      <c r="AM455" s="872"/>
      <c r="AN455" s="1131"/>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399999999999999">
      <c r="A456" s="611" t="str">
        <f t="shared" si="1232"/>
        <v>Taxes foncières</v>
      </c>
      <c r="B456" s="872" t="s">
        <v>237</v>
      </c>
      <c r="C456" s="872"/>
      <c r="D456" s="1131"/>
      <c r="E456" s="871">
        <f t="shared" si="1345"/>
        <v>59162.999999999993</v>
      </c>
      <c r="F456" s="872"/>
      <c r="G456" s="1131"/>
      <c r="H456" s="882">
        <v>4930.2499999999991</v>
      </c>
      <c r="I456" s="872"/>
      <c r="J456" s="1131"/>
      <c r="K456" s="882">
        <v>4930.2499999999991</v>
      </c>
      <c r="L456" s="872"/>
      <c r="M456" s="1131"/>
      <c r="N456" s="882">
        <v>4930.2499999999991</v>
      </c>
      <c r="O456" s="872"/>
      <c r="P456" s="1131"/>
      <c r="Q456" s="882">
        <v>4930.2499999999991</v>
      </c>
      <c r="R456" s="872"/>
      <c r="S456" s="1131"/>
      <c r="T456" s="882">
        <v>4930.2499999999991</v>
      </c>
      <c r="U456" s="872"/>
      <c r="V456" s="1131"/>
      <c r="W456" s="882">
        <v>4930.2499999999991</v>
      </c>
      <c r="X456" s="872"/>
      <c r="Y456" s="1131"/>
      <c r="Z456" s="882">
        <v>4930.2499999999991</v>
      </c>
      <c r="AA456" s="872"/>
      <c r="AB456" s="1131"/>
      <c r="AC456" s="882">
        <v>4930.2499999999991</v>
      </c>
      <c r="AD456" s="872"/>
      <c r="AE456" s="1131"/>
      <c r="AF456" s="882">
        <v>4930.2499999999991</v>
      </c>
      <c r="AG456" s="872"/>
      <c r="AH456" s="1131"/>
      <c r="AI456" s="882">
        <v>4930.2499999999991</v>
      </c>
      <c r="AJ456" s="872"/>
      <c r="AK456" s="1131"/>
      <c r="AL456" s="882">
        <v>4930.2499999999991</v>
      </c>
      <c r="AM456" s="872"/>
      <c r="AN456" s="1131"/>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399999999999999">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399999999999999">
      <c r="A458" s="611" t="str">
        <f t="shared" si="1232"/>
        <v>Taxe sur le capital</v>
      </c>
      <c r="B458" s="872" t="s">
        <v>241</v>
      </c>
      <c r="C458" s="872"/>
      <c r="D458" s="1131"/>
      <c r="E458" s="871">
        <f t="shared" si="1345"/>
        <v>0</v>
      </c>
      <c r="F458" s="872"/>
      <c r="G458" s="1131"/>
      <c r="H458" s="882">
        <v>0</v>
      </c>
      <c r="I458" s="872"/>
      <c r="J458" s="1131"/>
      <c r="K458" s="882">
        <v>0</v>
      </c>
      <c r="L458" s="872"/>
      <c r="M458" s="1131"/>
      <c r="N458" s="882">
        <v>0</v>
      </c>
      <c r="O458" s="872"/>
      <c r="P458" s="1131"/>
      <c r="Q458" s="882">
        <v>0</v>
      </c>
      <c r="R458" s="872"/>
      <c r="S458" s="1131"/>
      <c r="T458" s="882">
        <v>0</v>
      </c>
      <c r="U458" s="872"/>
      <c r="V458" s="1131"/>
      <c r="W458" s="882">
        <v>0</v>
      </c>
      <c r="X458" s="872"/>
      <c r="Y458" s="1131"/>
      <c r="Z458" s="882">
        <v>0</v>
      </c>
      <c r="AA458" s="872"/>
      <c r="AB458" s="1131"/>
      <c r="AC458" s="882">
        <v>0</v>
      </c>
      <c r="AD458" s="872"/>
      <c r="AE458" s="1131"/>
      <c r="AF458" s="882">
        <v>0</v>
      </c>
      <c r="AG458" s="872"/>
      <c r="AH458" s="1131"/>
      <c r="AI458" s="882">
        <v>0</v>
      </c>
      <c r="AJ458" s="872"/>
      <c r="AK458" s="1131"/>
      <c r="AL458" s="882">
        <v>0</v>
      </c>
      <c r="AM458" s="872"/>
      <c r="AN458" s="1131"/>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399999999999999">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399999999999999">
      <c r="A460" s="611" t="str">
        <f t="shared" si="1232"/>
        <v>Chauffage, éclairage</v>
      </c>
      <c r="B460" s="872" t="s">
        <v>244</v>
      </c>
      <c r="C460" s="872"/>
      <c r="D460" s="1131"/>
      <c r="E460" s="871">
        <f t="shared" si="1345"/>
        <v>34061.836500000005</v>
      </c>
      <c r="F460" s="872"/>
      <c r="G460" s="1131"/>
      <c r="H460" s="882">
        <v>2838.4863750000004</v>
      </c>
      <c r="I460" s="872"/>
      <c r="J460" s="1131"/>
      <c r="K460" s="882">
        <v>2838.4863750000004</v>
      </c>
      <c r="L460" s="872"/>
      <c r="M460" s="1131"/>
      <c r="N460" s="882">
        <v>2838.4863750000004</v>
      </c>
      <c r="O460" s="872"/>
      <c r="P460" s="1131"/>
      <c r="Q460" s="882">
        <v>2838.4863750000004</v>
      </c>
      <c r="R460" s="872"/>
      <c r="S460" s="1131"/>
      <c r="T460" s="882">
        <v>2838.4863750000004</v>
      </c>
      <c r="U460" s="872"/>
      <c r="V460" s="1131"/>
      <c r="W460" s="882">
        <v>2838.4863750000004</v>
      </c>
      <c r="X460" s="872"/>
      <c r="Y460" s="1131"/>
      <c r="Z460" s="882">
        <v>2838.4863750000004</v>
      </c>
      <c r="AA460" s="872"/>
      <c r="AB460" s="1131"/>
      <c r="AC460" s="882">
        <v>2838.4863750000004</v>
      </c>
      <c r="AD460" s="872"/>
      <c r="AE460" s="1131"/>
      <c r="AF460" s="882">
        <v>2838.4863750000004</v>
      </c>
      <c r="AG460" s="872"/>
      <c r="AH460" s="1131"/>
      <c r="AI460" s="882">
        <v>2838.4863750000004</v>
      </c>
      <c r="AJ460" s="872"/>
      <c r="AK460" s="1131"/>
      <c r="AL460" s="882">
        <v>2838.4863750000004</v>
      </c>
      <c r="AM460" s="872"/>
      <c r="AN460" s="1131"/>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399999999999999">
      <c r="A461" s="611" t="str">
        <f t="shared" si="1232"/>
        <v>Honoraires</v>
      </c>
      <c r="B461" s="872" t="s">
        <v>246</v>
      </c>
      <c r="C461" s="872"/>
      <c r="D461" s="1131"/>
      <c r="E461" s="871">
        <f t="shared" si="1345"/>
        <v>73474</v>
      </c>
      <c r="F461" s="872"/>
      <c r="G461" s="1131"/>
      <c r="H461" s="882">
        <v>6122.833333333333</v>
      </c>
      <c r="I461" s="872"/>
      <c r="J461" s="1131"/>
      <c r="K461" s="882">
        <v>6122.833333333333</v>
      </c>
      <c r="L461" s="872"/>
      <c r="M461" s="1131"/>
      <c r="N461" s="882">
        <v>6122.833333333333</v>
      </c>
      <c r="O461" s="872"/>
      <c r="P461" s="1131"/>
      <c r="Q461" s="882">
        <v>6122.833333333333</v>
      </c>
      <c r="R461" s="872"/>
      <c r="S461" s="1131"/>
      <c r="T461" s="882">
        <v>6122.833333333333</v>
      </c>
      <c r="U461" s="872"/>
      <c r="V461" s="1131"/>
      <c r="W461" s="882">
        <v>6122.833333333333</v>
      </c>
      <c r="X461" s="872"/>
      <c r="Y461" s="1131"/>
      <c r="Z461" s="882">
        <v>6122.833333333333</v>
      </c>
      <c r="AA461" s="872"/>
      <c r="AB461" s="1131"/>
      <c r="AC461" s="882">
        <v>6122.833333333333</v>
      </c>
      <c r="AD461" s="872"/>
      <c r="AE461" s="1131"/>
      <c r="AF461" s="882">
        <v>6122.833333333333</v>
      </c>
      <c r="AG461" s="872"/>
      <c r="AH461" s="1131"/>
      <c r="AI461" s="882">
        <v>6122.833333333333</v>
      </c>
      <c r="AJ461" s="872"/>
      <c r="AK461" s="1131"/>
      <c r="AL461" s="882">
        <v>6122.833333333333</v>
      </c>
      <c r="AM461" s="872"/>
      <c r="AN461" s="1131"/>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399999999999999">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399999999999999">
      <c r="A463" s="611" t="str">
        <f t="shared" si="1232"/>
        <v>Location équipement</v>
      </c>
      <c r="B463" s="872" t="s">
        <v>250</v>
      </c>
      <c r="C463" s="872"/>
      <c r="D463" s="1131"/>
      <c r="E463" s="871">
        <f t="shared" si="1345"/>
        <v>2767.5</v>
      </c>
      <c r="F463" s="872"/>
      <c r="G463" s="1131"/>
      <c r="H463" s="882">
        <v>230.625</v>
      </c>
      <c r="I463" s="872"/>
      <c r="J463" s="1131"/>
      <c r="K463" s="882">
        <v>230.625</v>
      </c>
      <c r="L463" s="872"/>
      <c r="M463" s="1131"/>
      <c r="N463" s="882">
        <v>230.625</v>
      </c>
      <c r="O463" s="872"/>
      <c r="P463" s="1131"/>
      <c r="Q463" s="882">
        <v>230.625</v>
      </c>
      <c r="R463" s="872"/>
      <c r="S463" s="1131"/>
      <c r="T463" s="882">
        <v>230.625</v>
      </c>
      <c r="U463" s="872"/>
      <c r="V463" s="1131"/>
      <c r="W463" s="882">
        <v>230.625</v>
      </c>
      <c r="X463" s="872"/>
      <c r="Y463" s="1131"/>
      <c r="Z463" s="882">
        <v>230.625</v>
      </c>
      <c r="AA463" s="872"/>
      <c r="AB463" s="1131"/>
      <c r="AC463" s="882">
        <v>230.625</v>
      </c>
      <c r="AD463" s="872"/>
      <c r="AE463" s="1131"/>
      <c r="AF463" s="882">
        <v>230.625</v>
      </c>
      <c r="AG463" s="872"/>
      <c r="AH463" s="1131"/>
      <c r="AI463" s="882">
        <v>230.625</v>
      </c>
      <c r="AJ463" s="872"/>
      <c r="AK463" s="1131"/>
      <c r="AL463" s="882">
        <v>230.625</v>
      </c>
      <c r="AM463" s="872"/>
      <c r="AN463" s="1131"/>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399999999999999">
      <c r="A464" s="611" t="str">
        <f t="shared" si="1232"/>
        <v>Dons</v>
      </c>
      <c r="B464" s="872" t="s">
        <v>252</v>
      </c>
      <c r="C464" s="872"/>
      <c r="D464" s="1131"/>
      <c r="E464" s="871">
        <f t="shared" si="1345"/>
        <v>0</v>
      </c>
      <c r="F464" s="872"/>
      <c r="G464" s="1131"/>
      <c r="H464" s="882">
        <v>0</v>
      </c>
      <c r="I464" s="872"/>
      <c r="J464" s="1131"/>
      <c r="K464" s="882">
        <v>0</v>
      </c>
      <c r="L464" s="872"/>
      <c r="M464" s="1131"/>
      <c r="N464" s="882">
        <v>0</v>
      </c>
      <c r="O464" s="872"/>
      <c r="P464" s="1131"/>
      <c r="Q464" s="882">
        <v>0</v>
      </c>
      <c r="R464" s="872"/>
      <c r="S464" s="1131"/>
      <c r="T464" s="882">
        <v>0</v>
      </c>
      <c r="U464" s="872"/>
      <c r="V464" s="1131"/>
      <c r="W464" s="882">
        <v>0</v>
      </c>
      <c r="X464" s="872"/>
      <c r="Y464" s="1131"/>
      <c r="Z464" s="882">
        <v>0</v>
      </c>
      <c r="AA464" s="872"/>
      <c r="AB464" s="1131"/>
      <c r="AC464" s="882">
        <v>0</v>
      </c>
      <c r="AD464" s="872"/>
      <c r="AE464" s="1131"/>
      <c r="AF464" s="882">
        <v>0</v>
      </c>
      <c r="AG464" s="872"/>
      <c r="AH464" s="1131"/>
      <c r="AI464" s="882">
        <v>0</v>
      </c>
      <c r="AJ464" s="872"/>
      <c r="AK464" s="1131"/>
      <c r="AL464" s="882">
        <v>0</v>
      </c>
      <c r="AM464" s="872"/>
      <c r="AN464" s="1131"/>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399999999999999">
      <c r="A465" s="611" t="str">
        <f t="shared" si="1232"/>
        <v>[...]</v>
      </c>
      <c r="B465" s="872" t="s">
        <v>42</v>
      </c>
      <c r="C465" s="872"/>
      <c r="D465" s="1131"/>
      <c r="E465" s="871">
        <f t="shared" si="1345"/>
        <v>0</v>
      </c>
      <c r="F465" s="872"/>
      <c r="G465" s="1131"/>
      <c r="H465" s="871"/>
      <c r="I465" s="872"/>
      <c r="J465" s="1131"/>
      <c r="K465" s="871"/>
      <c r="L465" s="872"/>
      <c r="M465" s="1131"/>
      <c r="N465" s="871"/>
      <c r="O465" s="872"/>
      <c r="P465" s="1131"/>
      <c r="Q465" s="871"/>
      <c r="R465" s="872"/>
      <c r="S465" s="1131"/>
      <c r="T465" s="871"/>
      <c r="U465" s="872"/>
      <c r="V465" s="1131"/>
      <c r="W465" s="871"/>
      <c r="X465" s="872"/>
      <c r="Y465" s="1131"/>
      <c r="Z465" s="871"/>
      <c r="AA465" s="872"/>
      <c r="AB465" s="1131"/>
      <c r="AC465" s="871"/>
      <c r="AD465" s="872"/>
      <c r="AE465" s="1131"/>
      <c r="AF465" s="871"/>
      <c r="AG465" s="872"/>
      <c r="AH465" s="1131"/>
      <c r="AI465" s="871"/>
      <c r="AJ465" s="872"/>
      <c r="AK465" s="1131"/>
      <c r="AL465" s="871"/>
      <c r="AM465" s="872"/>
      <c r="AN465" s="1131"/>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399999999999999">
      <c r="A466" s="611" t="str">
        <f t="shared" si="1232"/>
        <v>[...]</v>
      </c>
      <c r="B466" s="872" t="s">
        <v>42</v>
      </c>
      <c r="C466" s="872"/>
      <c r="D466" s="1131"/>
      <c r="E466" s="871">
        <f t="shared" si="1345"/>
        <v>0</v>
      </c>
      <c r="F466" s="872"/>
      <c r="G466" s="1131"/>
      <c r="H466" s="871"/>
      <c r="I466" s="872"/>
      <c r="J466" s="1131"/>
      <c r="K466" s="871"/>
      <c r="L466" s="872"/>
      <c r="M466" s="1131"/>
      <c r="N466" s="871"/>
      <c r="O466" s="872"/>
      <c r="P466" s="1131"/>
      <c r="Q466" s="871"/>
      <c r="R466" s="872"/>
      <c r="S466" s="1131"/>
      <c r="T466" s="871"/>
      <c r="U466" s="872"/>
      <c r="V466" s="1131"/>
      <c r="W466" s="871"/>
      <c r="X466" s="872"/>
      <c r="Y466" s="1131"/>
      <c r="Z466" s="871"/>
      <c r="AA466" s="872"/>
      <c r="AB466" s="1131"/>
      <c r="AC466" s="871"/>
      <c r="AD466" s="872"/>
      <c r="AE466" s="1131"/>
      <c r="AF466" s="871"/>
      <c r="AG466" s="872"/>
      <c r="AH466" s="1131"/>
      <c r="AI466" s="871"/>
      <c r="AJ466" s="872"/>
      <c r="AK466" s="1131"/>
      <c r="AL466" s="871"/>
      <c r="AM466" s="872"/>
      <c r="AN466" s="1131"/>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399999999999999">
      <c r="A467" s="611" t="str">
        <f t="shared" si="1232"/>
        <v>[...]</v>
      </c>
      <c r="B467" s="872" t="s">
        <v>42</v>
      </c>
      <c r="C467" s="872"/>
      <c r="D467" s="1131"/>
      <c r="E467" s="871">
        <f t="shared" si="1345"/>
        <v>0</v>
      </c>
      <c r="F467" s="872"/>
      <c r="G467" s="1131"/>
      <c r="H467" s="871"/>
      <c r="I467" s="872"/>
      <c r="J467" s="1131"/>
      <c r="K467" s="871"/>
      <c r="L467" s="872"/>
      <c r="M467" s="1131"/>
      <c r="N467" s="871"/>
      <c r="O467" s="872"/>
      <c r="P467" s="1131"/>
      <c r="Q467" s="871"/>
      <c r="R467" s="872"/>
      <c r="S467" s="1131"/>
      <c r="T467" s="871"/>
      <c r="U467" s="872"/>
      <c r="V467" s="1131"/>
      <c r="W467" s="871"/>
      <c r="X467" s="872"/>
      <c r="Y467" s="1131"/>
      <c r="Z467" s="871"/>
      <c r="AA467" s="872"/>
      <c r="AB467" s="1131"/>
      <c r="AC467" s="871"/>
      <c r="AD467" s="872"/>
      <c r="AE467" s="1131"/>
      <c r="AF467" s="871"/>
      <c r="AG467" s="872"/>
      <c r="AH467" s="1131"/>
      <c r="AI467" s="871"/>
      <c r="AJ467" s="872"/>
      <c r="AK467" s="1131"/>
      <c r="AL467" s="871"/>
      <c r="AM467" s="872"/>
      <c r="AN467" s="1131"/>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399999999999999">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399999999999999">
      <c r="A469" s="611">
        <f t="shared" si="1232"/>
        <v>0</v>
      </c>
      <c r="B469" s="872"/>
      <c r="C469" s="1139"/>
      <c r="D469" s="1140"/>
      <c r="E469" s="1141">
        <f>+E464+SUM(E442:E450,E440)</f>
        <v>257626.90283842714</v>
      </c>
      <c r="F469" s="1139"/>
      <c r="G469" s="1140"/>
      <c r="H469" s="1141">
        <f>+H464+SUM(H442:H450,H440)</f>
        <v>18596.278709719751</v>
      </c>
      <c r="I469" s="1139"/>
      <c r="J469" s="1140"/>
      <c r="K469" s="1141">
        <f>+K464+SUM(K442:K450,K440)</f>
        <v>17856.05621809966</v>
      </c>
      <c r="L469" s="1139"/>
      <c r="M469" s="1140"/>
      <c r="N469" s="1141">
        <f>+N464+SUM(N442:N450,N440)</f>
        <v>19663.040678257301</v>
      </c>
      <c r="O469" s="1139"/>
      <c r="P469" s="1140"/>
      <c r="Q469" s="1141">
        <f>+Q464+SUM(Q442:Q450,Q440)</f>
        <v>25049.768686541869</v>
      </c>
      <c r="R469" s="1139"/>
      <c r="S469" s="1140"/>
      <c r="T469" s="1141">
        <f>+T464+SUM(T442:T450,T440)</f>
        <v>24442.080498502051</v>
      </c>
      <c r="U469" s="1139"/>
      <c r="V469" s="1140"/>
      <c r="W469" s="1141">
        <f>+W464+SUM(W442:W450,W440)</f>
        <v>20646.218272374757</v>
      </c>
      <c r="X469" s="1139"/>
      <c r="Y469" s="1140"/>
      <c r="Z469" s="1141">
        <f>+Z464+SUM(Z442:Z450,Z440)</f>
        <v>20442.115956989768</v>
      </c>
      <c r="AA469" s="1139"/>
      <c r="AB469" s="1140"/>
      <c r="AC469" s="1141">
        <f>+AC464+SUM(AC442:AC450,AC440)</f>
        <v>20950.26863485256</v>
      </c>
      <c r="AD469" s="1139"/>
      <c r="AE469" s="1140"/>
      <c r="AF469" s="1141">
        <f>+AF464+SUM(AF442:AF450,AF440)</f>
        <v>18937.449601399116</v>
      </c>
      <c r="AG469" s="1139"/>
      <c r="AH469" s="1140"/>
      <c r="AI469" s="1141">
        <f>+AI464+SUM(AI442:AI450,AI440)</f>
        <v>23715.594118101337</v>
      </c>
      <c r="AJ469" s="1139"/>
      <c r="AK469" s="1140"/>
      <c r="AL469" s="1141">
        <f>+AL464+SUM(AL442:AL450,AL440)</f>
        <v>27887.374653890827</v>
      </c>
      <c r="AM469" s="1139"/>
      <c r="AN469" s="1140"/>
      <c r="AO469" s="1141">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399999999999999">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42"/>
      <c r="E472" s="871">
        <f t="shared" si="1390"/>
        <v>868219.1549999998</v>
      </c>
      <c r="F472" s="892"/>
      <c r="G472" s="1142"/>
      <c r="H472" s="871">
        <v>40795.839813252998</v>
      </c>
      <c r="I472" s="892"/>
      <c r="J472" s="1142"/>
      <c r="K472" s="871">
        <v>41841.886987951802</v>
      </c>
      <c r="L472" s="892"/>
      <c r="M472" s="1142"/>
      <c r="N472" s="871">
        <v>77407.490927710824</v>
      </c>
      <c r="O472" s="892"/>
      <c r="P472" s="1142"/>
      <c r="Q472" s="871">
        <v>85775.868325301184</v>
      </c>
      <c r="R472" s="892"/>
      <c r="S472" s="1142"/>
      <c r="T472" s="871">
        <v>100420.52877108431</v>
      </c>
      <c r="U472" s="892"/>
      <c r="V472" s="1142"/>
      <c r="W472" s="871">
        <v>77407.490927710824</v>
      </c>
      <c r="X472" s="892"/>
      <c r="Y472" s="1142"/>
      <c r="Z472" s="871">
        <v>88914.009849397567</v>
      </c>
      <c r="AA472" s="892"/>
      <c r="AB472" s="1142"/>
      <c r="AC472" s="871">
        <v>85775.868325301184</v>
      </c>
      <c r="AD472" s="892"/>
      <c r="AE472" s="1142"/>
      <c r="AF472" s="871">
        <v>75315.39657831323</v>
      </c>
      <c r="AG472" s="892"/>
      <c r="AH472" s="1142"/>
      <c r="AI472" s="871">
        <v>80545.632451807207</v>
      </c>
      <c r="AJ472" s="892"/>
      <c r="AK472" s="1142"/>
      <c r="AL472" s="871">
        <v>72177.255054216846</v>
      </c>
      <c r="AM472" s="892"/>
      <c r="AN472" s="1142"/>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42"/>
      <c r="E473" s="871">
        <f t="shared" si="1390"/>
        <v>66483</v>
      </c>
      <c r="F473" s="892"/>
      <c r="G473" s="1142"/>
      <c r="H473" s="871">
        <v>0</v>
      </c>
      <c r="I473" s="892"/>
      <c r="J473" s="1142"/>
      <c r="K473" s="871">
        <v>0</v>
      </c>
      <c r="L473" s="892"/>
      <c r="M473" s="1142"/>
      <c r="N473" s="871">
        <v>12255.3</v>
      </c>
      <c r="O473" s="892"/>
      <c r="P473" s="1142"/>
      <c r="Q473" s="871">
        <v>0</v>
      </c>
      <c r="R473" s="892"/>
      <c r="S473" s="1142"/>
      <c r="T473" s="871">
        <v>0</v>
      </c>
      <c r="U473" s="892"/>
      <c r="V473" s="1142"/>
      <c r="W473" s="871">
        <v>20185.2</v>
      </c>
      <c r="X473" s="892"/>
      <c r="Y473" s="1142"/>
      <c r="Z473" s="871">
        <v>0</v>
      </c>
      <c r="AA473" s="892"/>
      <c r="AB473" s="1142"/>
      <c r="AC473" s="871">
        <v>0</v>
      </c>
      <c r="AD473" s="892"/>
      <c r="AE473" s="1142"/>
      <c r="AF473" s="871">
        <v>19143.900000000001</v>
      </c>
      <c r="AG473" s="892"/>
      <c r="AH473" s="1142"/>
      <c r="AI473" s="871">
        <v>0</v>
      </c>
      <c r="AJ473" s="892"/>
      <c r="AK473" s="1142"/>
      <c r="AL473" s="871">
        <v>0</v>
      </c>
      <c r="AM473" s="892"/>
      <c r="AN473" s="1142"/>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42"/>
      <c r="E474" s="871">
        <f t="shared" si="1390"/>
        <v>0</v>
      </c>
      <c r="F474" s="892"/>
      <c r="G474" s="1142"/>
      <c r="H474" s="871">
        <v>0</v>
      </c>
      <c r="I474" s="892"/>
      <c r="J474" s="1142"/>
      <c r="K474" s="871">
        <v>0</v>
      </c>
      <c r="L474" s="892"/>
      <c r="M474" s="1142"/>
      <c r="N474" s="871">
        <v>0</v>
      </c>
      <c r="O474" s="892"/>
      <c r="P474" s="1142"/>
      <c r="Q474" s="871">
        <v>0</v>
      </c>
      <c r="R474" s="892"/>
      <c r="S474" s="1142"/>
      <c r="T474" s="871">
        <v>0</v>
      </c>
      <c r="U474" s="892"/>
      <c r="V474" s="1142"/>
      <c r="W474" s="871">
        <v>0</v>
      </c>
      <c r="X474" s="892"/>
      <c r="Y474" s="1142"/>
      <c r="Z474" s="871">
        <v>0</v>
      </c>
      <c r="AA474" s="892"/>
      <c r="AB474" s="1142"/>
      <c r="AC474" s="871">
        <v>0</v>
      </c>
      <c r="AD474" s="892"/>
      <c r="AE474" s="1142"/>
      <c r="AF474" s="871">
        <v>0</v>
      </c>
      <c r="AG474" s="892"/>
      <c r="AH474" s="1142"/>
      <c r="AI474" s="871">
        <v>0</v>
      </c>
      <c r="AJ474" s="892"/>
      <c r="AK474" s="1142"/>
      <c r="AL474" s="871">
        <v>0</v>
      </c>
      <c r="AM474" s="892"/>
      <c r="AN474" s="1142"/>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42"/>
      <c r="E475" s="871">
        <f t="shared" si="1390"/>
        <v>0</v>
      </c>
      <c r="F475" s="892"/>
      <c r="G475" s="1142"/>
      <c r="H475" s="871">
        <v>0</v>
      </c>
      <c r="I475" s="892"/>
      <c r="J475" s="1142"/>
      <c r="K475" s="871">
        <v>0</v>
      </c>
      <c r="L475" s="892"/>
      <c r="M475" s="1142"/>
      <c r="N475" s="871">
        <v>0</v>
      </c>
      <c r="O475" s="892"/>
      <c r="P475" s="1142"/>
      <c r="Q475" s="871">
        <v>0</v>
      </c>
      <c r="R475" s="892"/>
      <c r="S475" s="1142"/>
      <c r="T475" s="871">
        <v>0</v>
      </c>
      <c r="U475" s="892"/>
      <c r="V475" s="1142"/>
      <c r="W475" s="871">
        <v>0</v>
      </c>
      <c r="X475" s="892"/>
      <c r="Y475" s="1142"/>
      <c r="Z475" s="871">
        <v>0</v>
      </c>
      <c r="AA475" s="892"/>
      <c r="AB475" s="1142"/>
      <c r="AC475" s="871">
        <v>0</v>
      </c>
      <c r="AD475" s="892"/>
      <c r="AE475" s="1142"/>
      <c r="AF475" s="871">
        <v>0</v>
      </c>
      <c r="AG475" s="892"/>
      <c r="AH475" s="1142"/>
      <c r="AI475" s="871">
        <v>0</v>
      </c>
      <c r="AJ475" s="892"/>
      <c r="AK475" s="1142"/>
      <c r="AL475" s="871">
        <v>0</v>
      </c>
      <c r="AM475" s="892"/>
      <c r="AN475" s="1142"/>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42"/>
      <c r="E476" s="871">
        <f t="shared" si="1390"/>
        <v>0</v>
      </c>
      <c r="F476" s="892"/>
      <c r="G476" s="1142"/>
      <c r="H476" s="871">
        <v>0</v>
      </c>
      <c r="I476" s="892"/>
      <c r="J476" s="1142"/>
      <c r="K476" s="871">
        <v>0</v>
      </c>
      <c r="L476" s="892"/>
      <c r="M476" s="1142"/>
      <c r="N476" s="871">
        <v>0</v>
      </c>
      <c r="O476" s="892"/>
      <c r="P476" s="1142"/>
      <c r="Q476" s="871">
        <v>0</v>
      </c>
      <c r="R476" s="892"/>
      <c r="S476" s="1142"/>
      <c r="T476" s="871">
        <v>0</v>
      </c>
      <c r="U476" s="892"/>
      <c r="V476" s="1142"/>
      <c r="W476" s="871">
        <v>0</v>
      </c>
      <c r="X476" s="892"/>
      <c r="Y476" s="1142"/>
      <c r="Z476" s="871">
        <v>0</v>
      </c>
      <c r="AA476" s="892"/>
      <c r="AB476" s="1142"/>
      <c r="AC476" s="871">
        <v>0</v>
      </c>
      <c r="AD476" s="892"/>
      <c r="AE476" s="1142"/>
      <c r="AF476" s="871">
        <v>0</v>
      </c>
      <c r="AG476" s="892"/>
      <c r="AH476" s="1142"/>
      <c r="AI476" s="871">
        <v>0</v>
      </c>
      <c r="AJ476" s="892"/>
      <c r="AK476" s="1142"/>
      <c r="AL476" s="871">
        <v>0</v>
      </c>
      <c r="AM476" s="892"/>
      <c r="AN476" s="1142"/>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42"/>
      <c r="E477" s="871">
        <f t="shared" si="1390"/>
        <v>0</v>
      </c>
      <c r="F477" s="892"/>
      <c r="G477" s="1142"/>
      <c r="H477" s="871">
        <v>0</v>
      </c>
      <c r="I477" s="892"/>
      <c r="J477" s="1142"/>
      <c r="K477" s="871">
        <v>0</v>
      </c>
      <c r="L477" s="892"/>
      <c r="M477" s="1142"/>
      <c r="N477" s="871">
        <v>0</v>
      </c>
      <c r="O477" s="892"/>
      <c r="P477" s="1142"/>
      <c r="Q477" s="871">
        <v>0</v>
      </c>
      <c r="R477" s="892"/>
      <c r="S477" s="1142"/>
      <c r="T477" s="871">
        <v>0</v>
      </c>
      <c r="U477" s="892"/>
      <c r="V477" s="1142"/>
      <c r="W477" s="871">
        <v>0</v>
      </c>
      <c r="X477" s="892"/>
      <c r="Y477" s="1142"/>
      <c r="Z477" s="871">
        <v>0</v>
      </c>
      <c r="AA477" s="892"/>
      <c r="AB477" s="1142"/>
      <c r="AC477" s="871">
        <v>0</v>
      </c>
      <c r="AD477" s="892"/>
      <c r="AE477" s="1142"/>
      <c r="AF477" s="871">
        <v>0</v>
      </c>
      <c r="AG477" s="892"/>
      <c r="AH477" s="1142"/>
      <c r="AI477" s="871">
        <v>0</v>
      </c>
      <c r="AJ477" s="892"/>
      <c r="AK477" s="1142"/>
      <c r="AL477" s="871">
        <v>0</v>
      </c>
      <c r="AM477" s="892"/>
      <c r="AN477" s="1142"/>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42"/>
      <c r="E478" s="871">
        <f t="shared" si="1390"/>
        <v>0</v>
      </c>
      <c r="F478" s="892"/>
      <c r="G478" s="1142"/>
      <c r="H478" s="871">
        <v>0</v>
      </c>
      <c r="I478" s="892"/>
      <c r="J478" s="1142"/>
      <c r="K478" s="871">
        <v>0</v>
      </c>
      <c r="L478" s="892"/>
      <c r="M478" s="1142"/>
      <c r="N478" s="871">
        <v>0</v>
      </c>
      <c r="O478" s="892"/>
      <c r="P478" s="1142"/>
      <c r="Q478" s="871">
        <v>0</v>
      </c>
      <c r="R478" s="892"/>
      <c r="S478" s="1142"/>
      <c r="T478" s="871">
        <v>0</v>
      </c>
      <c r="U478" s="892"/>
      <c r="V478" s="1142"/>
      <c r="W478" s="871">
        <v>0</v>
      </c>
      <c r="X478" s="892"/>
      <c r="Y478" s="1142"/>
      <c r="Z478" s="871">
        <v>0</v>
      </c>
      <c r="AA478" s="892"/>
      <c r="AB478" s="1142"/>
      <c r="AC478" s="871">
        <v>0</v>
      </c>
      <c r="AD478" s="892"/>
      <c r="AE478" s="1142"/>
      <c r="AF478" s="871">
        <v>0</v>
      </c>
      <c r="AG478" s="892"/>
      <c r="AH478" s="1142"/>
      <c r="AI478" s="871">
        <v>0</v>
      </c>
      <c r="AJ478" s="892"/>
      <c r="AK478" s="1142"/>
      <c r="AL478" s="871">
        <v>0</v>
      </c>
      <c r="AM478" s="892"/>
      <c r="AN478" s="1142"/>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42"/>
      <c r="E479" s="871">
        <f t="shared" si="1390"/>
        <v>0</v>
      </c>
      <c r="F479" s="892"/>
      <c r="G479" s="1142"/>
      <c r="H479" s="871">
        <v>0</v>
      </c>
      <c r="I479" s="892"/>
      <c r="J479" s="1142"/>
      <c r="K479" s="871">
        <v>0</v>
      </c>
      <c r="L479" s="892"/>
      <c r="M479" s="1142"/>
      <c r="N479" s="871">
        <v>0</v>
      </c>
      <c r="O479" s="892"/>
      <c r="P479" s="1142"/>
      <c r="Q479" s="871">
        <v>0</v>
      </c>
      <c r="R479" s="892"/>
      <c r="S479" s="1142"/>
      <c r="T479" s="871">
        <v>0</v>
      </c>
      <c r="U479" s="892"/>
      <c r="V479" s="1142"/>
      <c r="W479" s="871">
        <v>0</v>
      </c>
      <c r="X479" s="892"/>
      <c r="Y479" s="1142"/>
      <c r="Z479" s="871">
        <v>0</v>
      </c>
      <c r="AA479" s="892"/>
      <c r="AB479" s="1142"/>
      <c r="AC479" s="871">
        <v>0</v>
      </c>
      <c r="AD479" s="892"/>
      <c r="AE479" s="1142"/>
      <c r="AF479" s="871">
        <v>0</v>
      </c>
      <c r="AG479" s="892"/>
      <c r="AH479" s="1142"/>
      <c r="AI479" s="871">
        <v>0</v>
      </c>
      <c r="AJ479" s="892"/>
      <c r="AK479" s="1142"/>
      <c r="AL479" s="871">
        <v>0</v>
      </c>
      <c r="AM479" s="892"/>
      <c r="AN479" s="1142"/>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42"/>
      <c r="E480" s="871">
        <f t="shared" si="1390"/>
        <v>0</v>
      </c>
      <c r="F480" s="892"/>
      <c r="G480" s="1142"/>
      <c r="H480" s="871">
        <v>0</v>
      </c>
      <c r="I480" s="892"/>
      <c r="J480" s="1142"/>
      <c r="K480" s="871">
        <v>0</v>
      </c>
      <c r="L480" s="892"/>
      <c r="M480" s="1142"/>
      <c r="N480" s="871">
        <v>0</v>
      </c>
      <c r="O480" s="892"/>
      <c r="P480" s="1142"/>
      <c r="Q480" s="871">
        <v>0</v>
      </c>
      <c r="R480" s="892"/>
      <c r="S480" s="1142"/>
      <c r="T480" s="871">
        <v>0</v>
      </c>
      <c r="U480" s="892"/>
      <c r="V480" s="1142"/>
      <c r="W480" s="871">
        <v>0</v>
      </c>
      <c r="X480" s="892"/>
      <c r="Y480" s="1142"/>
      <c r="Z480" s="871">
        <v>0</v>
      </c>
      <c r="AA480" s="892"/>
      <c r="AB480" s="1142"/>
      <c r="AC480" s="871">
        <v>0</v>
      </c>
      <c r="AD480" s="892"/>
      <c r="AE480" s="1142"/>
      <c r="AF480" s="871">
        <v>0</v>
      </c>
      <c r="AG480" s="892"/>
      <c r="AH480" s="1142"/>
      <c r="AI480" s="871">
        <v>0</v>
      </c>
      <c r="AJ480" s="892"/>
      <c r="AK480" s="1142"/>
      <c r="AL480" s="871">
        <v>0</v>
      </c>
      <c r="AM480" s="892"/>
      <c r="AN480" s="1142"/>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42"/>
      <c r="E481" s="871">
        <f t="shared" si="1390"/>
        <v>0</v>
      </c>
      <c r="F481" s="892"/>
      <c r="G481" s="1142"/>
      <c r="H481" s="871">
        <v>0</v>
      </c>
      <c r="I481" s="892"/>
      <c r="J481" s="1142"/>
      <c r="K481" s="871">
        <v>0</v>
      </c>
      <c r="L481" s="892"/>
      <c r="M481" s="1142"/>
      <c r="N481" s="871">
        <v>0</v>
      </c>
      <c r="O481" s="892"/>
      <c r="P481" s="1142"/>
      <c r="Q481" s="871">
        <v>0</v>
      </c>
      <c r="R481" s="892"/>
      <c r="S481" s="1142"/>
      <c r="T481" s="871">
        <v>0</v>
      </c>
      <c r="U481" s="892"/>
      <c r="V481" s="1142"/>
      <c r="W481" s="871">
        <v>0</v>
      </c>
      <c r="X481" s="892"/>
      <c r="Y481" s="1142"/>
      <c r="Z481" s="871">
        <v>0</v>
      </c>
      <c r="AA481" s="892"/>
      <c r="AB481" s="1142"/>
      <c r="AC481" s="871">
        <v>0</v>
      </c>
      <c r="AD481" s="892"/>
      <c r="AE481" s="1142"/>
      <c r="AF481" s="871">
        <v>0</v>
      </c>
      <c r="AG481" s="892"/>
      <c r="AH481" s="1142"/>
      <c r="AI481" s="871">
        <v>0</v>
      </c>
      <c r="AJ481" s="892"/>
      <c r="AK481" s="1142"/>
      <c r="AL481" s="871">
        <v>0</v>
      </c>
      <c r="AM481" s="892"/>
      <c r="AN481" s="1142"/>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42"/>
      <c r="E482" s="871">
        <f t="shared" si="1390"/>
        <v>466830.00000000006</v>
      </c>
      <c r="F482" s="893"/>
      <c r="G482" s="1142"/>
      <c r="H482" s="871">
        <v>23634.08942098491</v>
      </c>
      <c r="I482" s="893"/>
      <c r="J482" s="1142"/>
      <c r="K482" s="871">
        <v>24615.562030802135</v>
      </c>
      <c r="L482" s="893"/>
      <c r="M482" s="1142"/>
      <c r="N482" s="871">
        <v>42978.459053100451</v>
      </c>
      <c r="O482" s="893"/>
      <c r="P482" s="1142"/>
      <c r="Q482" s="871">
        <v>45443.65398353272</v>
      </c>
      <c r="R482" s="893"/>
      <c r="S482" s="1142"/>
      <c r="T482" s="871">
        <v>50884.290621497938</v>
      </c>
      <c r="U482" s="893"/>
      <c r="V482" s="1142"/>
      <c r="W482" s="871">
        <v>43797.764878343165</v>
      </c>
      <c r="X482" s="893"/>
      <c r="Y482" s="1142"/>
      <c r="Z482" s="871">
        <v>46931.374837299198</v>
      </c>
      <c r="AA482" s="893"/>
      <c r="AB482" s="1142"/>
      <c r="AC482" s="871">
        <v>44624.348158290006</v>
      </c>
      <c r="AD482" s="893"/>
      <c r="AE482" s="1142"/>
      <c r="AF482" s="871">
        <v>38572.870878744812</v>
      </c>
      <c r="AG482" s="893"/>
      <c r="AH482" s="1142"/>
      <c r="AI482" s="871">
        <v>42417.915343760127</v>
      </c>
      <c r="AJ482" s="893"/>
      <c r="AK482" s="1142"/>
      <c r="AL482" s="871">
        <v>37494.802937599699</v>
      </c>
      <c r="AM482" s="893"/>
      <c r="AN482" s="1142"/>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399999999999999">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43"/>
      <c r="D484" s="1144"/>
      <c r="E484" s="1145">
        <f>+E463+E462+E460+E459+E458+E457+E456</f>
        <v>200865.65549999996</v>
      </c>
      <c r="F484" s="1143"/>
      <c r="G484" s="1144"/>
      <c r="H484" s="1145">
        <f>+H463+H462+H460+H459+H458+H457+H456</f>
        <v>16738.804624999997</v>
      </c>
      <c r="I484" s="1143"/>
      <c r="J484" s="1144"/>
      <c r="K484" s="1145">
        <f>+K463+K462+K460+K459+K458+K457+K456</f>
        <v>16738.804624999997</v>
      </c>
      <c r="L484" s="1143"/>
      <c r="M484" s="1144"/>
      <c r="N484" s="1145">
        <f>+N463+N462+N460+N459+N458+N457+N456</f>
        <v>16738.804624999997</v>
      </c>
      <c r="O484" s="1143"/>
      <c r="P484" s="1144"/>
      <c r="Q484" s="1145">
        <f>+Q463+Q462+Q460+Q459+Q458+Q457+Q456</f>
        <v>16738.804624999997</v>
      </c>
      <c r="R484" s="1143"/>
      <c r="S484" s="1144"/>
      <c r="T484" s="1145">
        <f>+T463+T462+T460+T459+T458+T457+T456</f>
        <v>16738.804624999997</v>
      </c>
      <c r="U484" s="1143"/>
      <c r="V484" s="1144"/>
      <c r="W484" s="1145">
        <f>+W463+W462+W460+W459+W458+W457+W456</f>
        <v>16738.804624999997</v>
      </c>
      <c r="X484" s="1143"/>
      <c r="Y484" s="1144"/>
      <c r="Z484" s="1145">
        <f>+Z463+Z462+Z460+Z459+Z458+Z457+Z456</f>
        <v>16738.804624999997</v>
      </c>
      <c r="AA484" s="1143"/>
      <c r="AB484" s="1144"/>
      <c r="AC484" s="1145">
        <f>+AC463+AC462+AC460+AC459+AC458+AC457+AC456</f>
        <v>16738.804624999997</v>
      </c>
      <c r="AD484" s="1143"/>
      <c r="AE484" s="1144"/>
      <c r="AF484" s="1145">
        <f>+AF463+AF462+AF460+AF459+AF458+AF457+AF456</f>
        <v>16738.804624999997</v>
      </c>
      <c r="AG484" s="1143"/>
      <c r="AH484" s="1144"/>
      <c r="AI484" s="1145">
        <f>+AI463+AI462+AI460+AI459+AI458+AI457+AI456</f>
        <v>16738.804624999997</v>
      </c>
      <c r="AJ484" s="1143"/>
      <c r="AK484" s="1144"/>
      <c r="AL484" s="1145">
        <f>+AL463+AL462+AL460+AL459+AL458+AL457+AL456</f>
        <v>16738.804624999997</v>
      </c>
      <c r="AM484" s="1143"/>
      <c r="AN484" s="1144"/>
      <c r="AO484" s="1145">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6"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4">
      <c r="A487" s="611"/>
      <c r="B487" s="776" t="str">
        <f>B4</f>
        <v>Budget 2022</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4">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4">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399999999999999">
      <c r="A492" s="611"/>
      <c r="B492" s="908"/>
      <c r="C492" s="1146"/>
      <c r="D492" s="1146"/>
      <c r="E492" s="1146"/>
      <c r="F492" s="909"/>
      <c r="G492" s="1146"/>
      <c r="H492" s="910"/>
      <c r="I492" s="909"/>
      <c r="J492" s="1146"/>
      <c r="K492" s="910"/>
      <c r="L492" s="909"/>
      <c r="M492" s="1146"/>
      <c r="N492" s="910"/>
      <c r="O492" s="909"/>
      <c r="P492" s="1146"/>
      <c r="Q492" s="910"/>
      <c r="R492" s="909"/>
      <c r="S492" s="1146"/>
      <c r="T492" s="910"/>
      <c r="U492" s="909"/>
      <c r="V492" s="1146"/>
      <c r="W492" s="910"/>
      <c r="X492" s="909"/>
      <c r="Y492" s="1146"/>
      <c r="Z492" s="910"/>
      <c r="AA492" s="909"/>
      <c r="AB492" s="1146"/>
      <c r="AC492" s="910"/>
      <c r="AD492" s="909"/>
      <c r="AE492" s="1146"/>
      <c r="AF492" s="910"/>
      <c r="AG492" s="909"/>
      <c r="AH492" s="1146"/>
      <c r="AI492" s="910"/>
      <c r="AJ492" s="909"/>
      <c r="AK492" s="1146"/>
      <c r="AL492" s="910"/>
      <c r="AM492" s="909"/>
      <c r="AN492" s="1146"/>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399999999999999">
      <c r="A493" s="611" t="str">
        <f t="shared" ref="A493:A499" si="1436">B493</f>
        <v>Amortissement</v>
      </c>
      <c r="B493" s="911" t="s">
        <v>260</v>
      </c>
      <c r="C493" s="1130"/>
      <c r="D493" s="1131"/>
      <c r="E493" s="1147">
        <f>+SUM(H493,K493,N493,Q493,T493,W493,Z493,AC493,AF493,AI493,AL493,AO493)</f>
        <v>88649</v>
      </c>
      <c r="F493" s="872"/>
      <c r="G493" s="1131"/>
      <c r="H493" s="882">
        <v>7144.916666666667</v>
      </c>
      <c r="I493" s="872"/>
      <c r="J493" s="1131"/>
      <c r="K493" s="882">
        <v>7144.916666666667</v>
      </c>
      <c r="L493" s="872"/>
      <c r="M493" s="1131"/>
      <c r="N493" s="882">
        <v>7144.916666666667</v>
      </c>
      <c r="O493" s="872"/>
      <c r="P493" s="1131"/>
      <c r="Q493" s="882">
        <v>7468.25</v>
      </c>
      <c r="R493" s="872"/>
      <c r="S493" s="1131"/>
      <c r="T493" s="882">
        <v>7468.25</v>
      </c>
      <c r="U493" s="872"/>
      <c r="V493" s="1131"/>
      <c r="W493" s="882">
        <v>7468.25</v>
      </c>
      <c r="X493" s="872"/>
      <c r="Y493" s="1131"/>
      <c r="Z493" s="882">
        <v>7468.25</v>
      </c>
      <c r="AA493" s="872"/>
      <c r="AB493" s="1131"/>
      <c r="AC493" s="882">
        <v>7468.25</v>
      </c>
      <c r="AD493" s="872"/>
      <c r="AE493" s="1131"/>
      <c r="AF493" s="882">
        <v>7468.25</v>
      </c>
      <c r="AG493" s="872"/>
      <c r="AH493" s="1131"/>
      <c r="AI493" s="882">
        <v>7468.25</v>
      </c>
      <c r="AJ493" s="872"/>
      <c r="AK493" s="1131"/>
      <c r="AL493" s="882">
        <v>7468.25</v>
      </c>
      <c r="AM493" s="872"/>
      <c r="AN493" s="1131"/>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399999999999999">
      <c r="A494" s="611" t="str">
        <f t="shared" si="1436"/>
        <v>Intérêts sur marge</v>
      </c>
      <c r="B494" s="911" t="s">
        <v>261</v>
      </c>
      <c r="C494" s="775"/>
      <c r="D494" s="724"/>
      <c r="E494" s="1147">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399999999999999">
      <c r="A495" s="611" t="str">
        <f t="shared" si="1436"/>
        <v>Intérêts sur prêt</v>
      </c>
      <c r="B495" s="911" t="s">
        <v>262</v>
      </c>
      <c r="C495" s="724"/>
      <c r="D495" s="724"/>
      <c r="E495" s="1147">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1">
      <c r="A496" s="611" t="str">
        <f t="shared" si="1436"/>
        <v>Intérêts sur avance</v>
      </c>
      <c r="B496" s="911" t="s">
        <v>263</v>
      </c>
      <c r="C496" s="785"/>
      <c r="D496" s="785"/>
      <c r="E496" s="1147">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1">
      <c r="A497" s="611" t="str">
        <f t="shared" si="1436"/>
        <v>[...]</v>
      </c>
      <c r="B497" s="915" t="s">
        <v>42</v>
      </c>
      <c r="C497" s="785"/>
      <c r="D497" s="785"/>
      <c r="E497" s="1147">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1">
      <c r="A498" s="611" t="str">
        <f t="shared" si="1436"/>
        <v>[...]</v>
      </c>
      <c r="B498" s="915" t="s">
        <v>42</v>
      </c>
      <c r="C498" s="785"/>
      <c r="D498" s="785"/>
      <c r="E498" s="1147"/>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6" thickBot="1">
      <c r="A499" s="611" t="str">
        <f t="shared" si="1436"/>
        <v>[...]</v>
      </c>
      <c r="B499" s="916" t="s">
        <v>42</v>
      </c>
      <c r="C499" s="785"/>
      <c r="D499" s="785"/>
      <c r="E499" s="1147"/>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8.600000000000001"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2"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6">
      <c r="B502" s="588"/>
      <c r="C502" s="588"/>
      <c r="D502" s="588"/>
      <c r="E502" s="588"/>
      <c r="F502" s="588"/>
      <c r="G502" s="588"/>
      <c r="H502" s="588"/>
      <c r="I502" s="588"/>
      <c r="J502" s="588"/>
      <c r="K502" s="588"/>
      <c r="L502" s="588"/>
      <c r="M502" s="588"/>
      <c r="N502" s="588"/>
      <c r="O502" s="588"/>
      <c r="P502" s="588"/>
      <c r="Q502" s="588"/>
      <c r="R502" s="588"/>
      <c r="S502" s="588"/>
      <c r="T502" s="588"/>
      <c r="U502" s="588"/>
      <c r="V502" s="588"/>
      <c r="W502" s="588"/>
      <c r="X502" s="588"/>
      <c r="Y502" s="588"/>
      <c r="Z502" s="588"/>
      <c r="AA502" s="588"/>
      <c r="AB502" s="588"/>
      <c r="AC502" s="588"/>
      <c r="AD502" s="588"/>
      <c r="AE502" s="588"/>
      <c r="AF502" s="588"/>
      <c r="AG502" s="588"/>
      <c r="AH502" s="588"/>
      <c r="AI502" s="588"/>
      <c r="AJ502" s="588"/>
      <c r="AK502" s="588"/>
      <c r="AL502" s="588"/>
      <c r="AM502" s="588"/>
      <c r="AN502" s="588"/>
      <c r="AO502" s="588"/>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6">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6">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6">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6">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6">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6">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6">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6">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6">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6">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6">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6">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6">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6">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6">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6">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6">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6">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6">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6">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6">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6">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6">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6">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6">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7.399999999999999">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6">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6">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6">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6">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6">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6">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6">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6">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6">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6">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6">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6">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6">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6">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6">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6">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6">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6">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6">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6">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6">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6">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6">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6">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6">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6">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6">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6">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6">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6">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6">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6">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6">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6">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6">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6">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6">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6">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6">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6">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6">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6">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6">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6">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6">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6">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6">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6">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6">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6">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6">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6">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6">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6">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6">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6">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6">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6">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6">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6">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6">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6">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6">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6">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6">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6">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6">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6">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6">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6">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6">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6">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6">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6">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6">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6">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6">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6">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6">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6">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6">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6">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6">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6">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6">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6">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6">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6">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6">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6">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6">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6">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6">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6">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6">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6">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6">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6">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6">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6">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6">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6">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6">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6">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6">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6">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6">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6">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6">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6">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6">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6">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6">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6">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6">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6">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6">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6">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6">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7.399999999999999">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6">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6">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6">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6">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6">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6">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6">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6">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6">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6">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6">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6">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6">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6">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6">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6">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6">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6">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6">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6">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6">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6">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6">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6">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6">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6">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6">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6">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6">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6">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6">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6">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6">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6">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6">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6">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6">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6">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6">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6">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6">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6">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6">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6">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6">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6">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6">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6">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6">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6">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6">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6">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6">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6">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6">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6">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6">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6">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6">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6">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7.399999999999999">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6">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6">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6">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6">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6">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6">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6">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6">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6">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6">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6">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6">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6">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6">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6">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6">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6">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6">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6">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6">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6">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6">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6">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6">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6">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6">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6">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6">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6">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6">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6">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6">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6">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6">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6">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6">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6">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6">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6">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6">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6">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6">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6">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6">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6">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6">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6">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6">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6">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6">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6">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6">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6">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6">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6">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6">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6">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6">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6">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6">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6">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6">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6">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6">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6">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6">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6">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6">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6">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6">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6">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6">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6">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6">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6">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6">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6">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6">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6">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6">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6">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6">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6">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6">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6">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6">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6">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6">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6">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6">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6">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6">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6">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6">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6">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6">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6">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6">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6">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6">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6">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6">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6">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6">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6">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6">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6">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6">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6">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6">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6">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6">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6">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6">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6">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6">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6">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6">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6">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6">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6">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6">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6">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6">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6">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6">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6">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6">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6">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6">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6">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6">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6">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6">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6">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6">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6">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6">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6">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6">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6">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6">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6">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6">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6">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6">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6">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6">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6">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6">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6">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6">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6">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6">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6">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6">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6">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6">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6">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6">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6">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6">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6">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6">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6">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6">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6">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6">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6">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6">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6">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6">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6">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6">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6">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6">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6">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6">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6">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6">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6">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6">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6">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6">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6">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6">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6">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6">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6">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6">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6">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6">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6">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6">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6">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6">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6">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6">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6">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6">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6">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6">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6">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6">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6">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6">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6">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6">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6">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6">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6">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6">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6">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6">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6">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6">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6">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6">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6">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6">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6">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6">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6">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6">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6">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6">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6">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6">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6">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6">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6">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6">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6">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6">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6">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6">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6">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6">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6">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6">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6">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6">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6">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6">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6">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6">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6">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6">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6">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6">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6">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6">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6">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6">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6">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6">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6">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6">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6">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6">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6">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6">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6">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6">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6">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6">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6">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6">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6">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6">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6">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6">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6">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6">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6">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6">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6">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6">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6">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6">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6">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6">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6">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6">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6">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6">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6">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6">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6">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6">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6">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6">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6">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6">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6">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6">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6">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6">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6">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6">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6">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6">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6">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6">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6">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6">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6">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6">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6">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6">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6">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6">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6">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6">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6">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6">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6">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6">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6">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6">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6">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6">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6">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6">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6">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6">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6">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6">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6">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6">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6">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6">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6">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6">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6">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6">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6">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6">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6">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6">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6">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6">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6">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6">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6">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6">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6">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6">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6">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6">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6">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6">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6">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6">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6">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6">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6">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6">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6">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6">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6">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6">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6">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6">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6">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6">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6">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6">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6">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6">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6">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6">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6">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6">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6">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6">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6">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6">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6">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6">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6">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6">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6">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6">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6">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6">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6">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6">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6">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6">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6">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6">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6">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6">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6">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6">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6">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6">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6">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6">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6">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6">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6">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6">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6">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6">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6">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6">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6">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6">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6">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6">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6">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6">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6">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6">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6">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6">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6">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6">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94:E94"/>
    <mergeCell ref="B1:AO1"/>
    <mergeCell ref="C4:AO4"/>
    <mergeCell ref="C6:E6"/>
    <mergeCell ref="C406:E406"/>
    <mergeCell ref="C360:E360"/>
    <mergeCell ref="C295:E295"/>
    <mergeCell ref="C240:E240"/>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31"/>
  <sheetViews>
    <sheetView workbookViewId="0"/>
  </sheetViews>
  <sheetFormatPr baseColWidth="10" defaultColWidth="11" defaultRowHeight="14.4"/>
  <cols>
    <col min="1" max="1" width="56.19921875" style="608" customWidth="1"/>
    <col min="2" max="2" width="34.59765625" style="578" customWidth="1"/>
    <col min="3" max="3" width="16.69921875" style="578" customWidth="1"/>
    <col min="4" max="4" width="14.5" style="578" customWidth="1"/>
    <col min="5" max="5" width="17.3984375" style="578" bestFit="1" customWidth="1"/>
    <col min="6" max="6" width="16.69921875" style="578" customWidth="1"/>
    <col min="7" max="7" width="14.5" style="578" customWidth="1"/>
    <col min="8" max="8" width="15.8984375" style="578" customWidth="1"/>
    <col min="9" max="9" width="16.69921875" style="578" customWidth="1"/>
    <col min="10" max="10" width="14.5" style="578" customWidth="1"/>
    <col min="11" max="11" width="15.8984375" style="578" customWidth="1"/>
    <col min="12" max="12" width="16.69921875" style="578" customWidth="1"/>
    <col min="13" max="13" width="14.5" style="578" customWidth="1"/>
    <col min="14" max="14" width="15.8984375" style="578" customWidth="1"/>
    <col min="15" max="15" width="16.69921875" style="578" customWidth="1"/>
    <col min="16" max="16" width="14.5" style="578" customWidth="1"/>
    <col min="17" max="17" width="15.8984375" style="578" customWidth="1"/>
    <col min="18" max="18" width="16.69921875" style="578" customWidth="1"/>
    <col min="19" max="19" width="14.5" style="578" customWidth="1"/>
    <col min="20" max="20" width="15.8984375" style="578" customWidth="1"/>
    <col min="21" max="21" width="16.69921875" style="578" customWidth="1"/>
    <col min="22" max="22" width="14.5" style="578" customWidth="1"/>
    <col min="23" max="23" width="15.8984375" style="578" customWidth="1"/>
    <col min="24" max="24" width="16.69921875" style="578" customWidth="1"/>
    <col min="25" max="25" width="14.5" style="578" customWidth="1"/>
    <col min="26" max="26" width="15.8984375" style="578" customWidth="1"/>
    <col min="27" max="27" width="16.69921875" style="578" customWidth="1"/>
    <col min="28" max="28" width="14.5" style="578" customWidth="1"/>
    <col min="29" max="29" width="15.8984375" style="578" customWidth="1"/>
    <col min="30" max="30" width="16.69921875" style="578" customWidth="1"/>
    <col min="31" max="31" width="14.5" style="578" customWidth="1"/>
    <col min="32" max="32" width="15.8984375" style="578" customWidth="1"/>
    <col min="33" max="33" width="16.69921875" style="578" customWidth="1"/>
    <col min="34" max="34" width="14.5" style="578" customWidth="1"/>
    <col min="35" max="35" width="15.8984375" style="578" customWidth="1"/>
    <col min="36" max="36" width="16.69921875" style="578" customWidth="1"/>
    <col min="37" max="37" width="14.5" style="578" customWidth="1"/>
    <col min="38" max="38" width="15.8984375" style="578" customWidth="1"/>
    <col min="39" max="39" width="16.69921875" style="578" customWidth="1"/>
    <col min="40" max="40" width="14.5" style="578" customWidth="1"/>
    <col min="41" max="41" width="15.8984375" style="578" customWidth="1"/>
    <col min="42" max="228" width="11" style="578"/>
    <col min="229" max="229" width="32.69921875" style="578" customWidth="1"/>
    <col min="230" max="230" width="14.5" style="578" customWidth="1"/>
    <col min="231" max="231" width="15.59765625" style="578" bestFit="1" customWidth="1"/>
    <col min="232" max="232" width="15.5" style="578" customWidth="1"/>
    <col min="233" max="233" width="15.59765625" style="578" customWidth="1"/>
    <col min="234" max="234" width="15.59765625" style="578" bestFit="1" customWidth="1"/>
    <col min="235" max="235" width="15.8984375" style="578" customWidth="1"/>
    <col min="236" max="236" width="14.8984375" style="578" customWidth="1"/>
    <col min="237" max="237" width="14.5" style="578" customWidth="1"/>
    <col min="238" max="238" width="15.8984375" style="578" customWidth="1"/>
    <col min="239" max="239" width="12" style="578" bestFit="1" customWidth="1"/>
    <col min="240" max="240" width="18.59765625" style="578" customWidth="1"/>
    <col min="241" max="241" width="15.09765625" style="578" customWidth="1"/>
    <col min="242" max="242" width="15.59765625" style="578" bestFit="1" customWidth="1"/>
    <col min="243" max="243" width="16.3984375" style="578" customWidth="1"/>
    <col min="244" max="244" width="13.8984375" style="578" customWidth="1"/>
    <col min="245" max="245" width="18.59765625" style="578" customWidth="1"/>
    <col min="246" max="246" width="3" style="578" customWidth="1"/>
    <col min="247" max="247" width="4" style="578" customWidth="1"/>
    <col min="248" max="248" width="24.5" style="578" customWidth="1"/>
    <col min="249" max="249" width="8.8984375" style="578" customWidth="1"/>
    <col min="250" max="250" width="10.8984375" style="578" customWidth="1"/>
    <col min="251" max="251" width="10" style="578" customWidth="1"/>
    <col min="252" max="252" width="17.3984375" style="578" customWidth="1"/>
    <col min="253" max="253" width="10.8984375" style="578" customWidth="1"/>
    <col min="254" max="254" width="10" style="578" customWidth="1"/>
    <col min="255" max="255" width="16.09765625" style="578" customWidth="1"/>
    <col min="256" max="256" width="10.8984375" style="578" customWidth="1"/>
    <col min="257" max="257" width="12" style="578" customWidth="1"/>
    <col min="258" max="258" width="18.8984375" style="578" customWidth="1"/>
    <col min="259" max="259" width="10.8984375" style="578" customWidth="1"/>
    <col min="260" max="260" width="16.19921875" style="578" bestFit="1" customWidth="1"/>
    <col min="261" max="261" width="12.3984375" style="578" bestFit="1" customWidth="1"/>
    <col min="262" max="262" width="10.8984375" style="578" customWidth="1"/>
    <col min="263" max="263" width="10" style="578" customWidth="1"/>
    <col min="264" max="264" width="17.5" style="578" customWidth="1"/>
    <col min="265" max="265" width="10.8984375" style="578" customWidth="1"/>
    <col min="266" max="266" width="16" style="578" customWidth="1"/>
    <col min="267" max="267" width="12.3984375" style="578" bestFit="1" customWidth="1"/>
    <col min="268" max="484" width="11" style="578"/>
    <col min="485" max="485" width="32.69921875" style="578" customWidth="1"/>
    <col min="486" max="486" width="14.5" style="578" customWidth="1"/>
    <col min="487" max="487" width="15.59765625" style="578" bestFit="1" customWidth="1"/>
    <col min="488" max="488" width="15.5" style="578" customWidth="1"/>
    <col min="489" max="489" width="15.59765625" style="578" customWidth="1"/>
    <col min="490" max="490" width="15.59765625" style="578" bestFit="1" customWidth="1"/>
    <col min="491" max="491" width="15.8984375" style="578" customWidth="1"/>
    <col min="492" max="492" width="14.8984375" style="578" customWidth="1"/>
    <col min="493" max="493" width="14.5" style="578" customWidth="1"/>
    <col min="494" max="494" width="15.8984375" style="578" customWidth="1"/>
    <col min="495" max="495" width="12" style="578" bestFit="1" customWidth="1"/>
    <col min="496" max="496" width="18.59765625" style="578" customWidth="1"/>
    <col min="497" max="497" width="15.09765625" style="578" customWidth="1"/>
    <col min="498" max="498" width="15.59765625" style="578" bestFit="1" customWidth="1"/>
    <col min="499" max="499" width="16.3984375" style="578" customWidth="1"/>
    <col min="500" max="500" width="13.8984375" style="578" customWidth="1"/>
    <col min="501" max="501" width="18.59765625" style="578" customWidth="1"/>
    <col min="502" max="502" width="3" style="578" customWidth="1"/>
    <col min="503" max="503" width="4" style="578" customWidth="1"/>
    <col min="504" max="504" width="24.5" style="578" customWidth="1"/>
    <col min="505" max="505" width="8.8984375" style="578" customWidth="1"/>
    <col min="506" max="506" width="10.8984375" style="578" customWidth="1"/>
    <col min="507" max="507" width="10" style="578" customWidth="1"/>
    <col min="508" max="508" width="17.3984375" style="578" customWidth="1"/>
    <col min="509" max="509" width="10.8984375" style="578" customWidth="1"/>
    <col min="510" max="510" width="10" style="578" customWidth="1"/>
    <col min="511" max="511" width="16.09765625" style="578" customWidth="1"/>
    <col min="512" max="512" width="10.8984375" style="578" customWidth="1"/>
    <col min="513" max="513" width="12" style="578" customWidth="1"/>
    <col min="514" max="514" width="18.8984375" style="578" customWidth="1"/>
    <col min="515" max="515" width="10.8984375" style="578" customWidth="1"/>
    <col min="516" max="516" width="16.19921875" style="578" bestFit="1" customWidth="1"/>
    <col min="517" max="517" width="12.3984375" style="578" bestFit="1" customWidth="1"/>
    <col min="518" max="518" width="10.8984375" style="578" customWidth="1"/>
    <col min="519" max="519" width="10" style="578" customWidth="1"/>
    <col min="520" max="520" width="17.5" style="578" customWidth="1"/>
    <col min="521" max="521" width="10.8984375" style="578" customWidth="1"/>
    <col min="522" max="522" width="16" style="578" customWidth="1"/>
    <col min="523" max="523" width="12.3984375" style="578" bestFit="1" customWidth="1"/>
    <col min="524" max="740" width="11" style="578"/>
    <col min="741" max="741" width="32.69921875" style="578" customWidth="1"/>
    <col min="742" max="742" width="14.5" style="578" customWidth="1"/>
    <col min="743" max="743" width="15.59765625" style="578" bestFit="1" customWidth="1"/>
    <col min="744" max="744" width="15.5" style="578" customWidth="1"/>
    <col min="745" max="745" width="15.59765625" style="578" customWidth="1"/>
    <col min="746" max="746" width="15.59765625" style="578" bestFit="1" customWidth="1"/>
    <col min="747" max="747" width="15.8984375" style="578" customWidth="1"/>
    <col min="748" max="748" width="14.8984375" style="578" customWidth="1"/>
    <col min="749" max="749" width="14.5" style="578" customWidth="1"/>
    <col min="750" max="750" width="15.8984375" style="578" customWidth="1"/>
    <col min="751" max="751" width="12" style="578" bestFit="1" customWidth="1"/>
    <col min="752" max="752" width="18.59765625" style="578" customWidth="1"/>
    <col min="753" max="753" width="15.09765625" style="578" customWidth="1"/>
    <col min="754" max="754" width="15.59765625" style="578" bestFit="1" customWidth="1"/>
    <col min="755" max="755" width="16.3984375" style="578" customWidth="1"/>
    <col min="756" max="756" width="13.8984375" style="578" customWidth="1"/>
    <col min="757" max="757" width="18.59765625" style="578" customWidth="1"/>
    <col min="758" max="758" width="3" style="578" customWidth="1"/>
    <col min="759" max="759" width="4" style="578" customWidth="1"/>
    <col min="760" max="760" width="24.5" style="578" customWidth="1"/>
    <col min="761" max="761" width="8.8984375" style="578" customWidth="1"/>
    <col min="762" max="762" width="10.8984375" style="578" customWidth="1"/>
    <col min="763" max="763" width="10" style="578" customWidth="1"/>
    <col min="764" max="764" width="17.3984375" style="578" customWidth="1"/>
    <col min="765" max="765" width="10.8984375" style="578" customWidth="1"/>
    <col min="766" max="766" width="10" style="578" customWidth="1"/>
    <col min="767" max="767" width="16.09765625" style="578" customWidth="1"/>
    <col min="768" max="768" width="10.8984375" style="578" customWidth="1"/>
    <col min="769" max="769" width="12" style="578" customWidth="1"/>
    <col min="770" max="770" width="18.8984375" style="578" customWidth="1"/>
    <col min="771" max="771" width="10.8984375" style="578" customWidth="1"/>
    <col min="772" max="772" width="16.19921875" style="578" bestFit="1" customWidth="1"/>
    <col min="773" max="773" width="12.3984375" style="578" bestFit="1" customWidth="1"/>
    <col min="774" max="774" width="10.8984375" style="578" customWidth="1"/>
    <col min="775" max="775" width="10" style="578" customWidth="1"/>
    <col min="776" max="776" width="17.5" style="578" customWidth="1"/>
    <col min="777" max="777" width="10.8984375" style="578" customWidth="1"/>
    <col min="778" max="778" width="16" style="578" customWidth="1"/>
    <col min="779" max="779" width="12.3984375" style="578" bestFit="1" customWidth="1"/>
    <col min="780" max="996" width="11" style="578"/>
    <col min="997" max="997" width="32.69921875" style="578" customWidth="1"/>
    <col min="998" max="998" width="14.5" style="578" customWidth="1"/>
    <col min="999" max="999" width="15.59765625" style="578" bestFit="1" customWidth="1"/>
    <col min="1000" max="1000" width="15.5" style="578" customWidth="1"/>
    <col min="1001" max="1001" width="15.59765625" style="578" customWidth="1"/>
    <col min="1002" max="1002" width="15.59765625" style="578" bestFit="1" customWidth="1"/>
    <col min="1003" max="1003" width="15.8984375" style="578" customWidth="1"/>
    <col min="1004" max="1004" width="14.8984375" style="578" customWidth="1"/>
    <col min="1005" max="1005" width="14.5" style="578" customWidth="1"/>
    <col min="1006" max="1006" width="15.8984375" style="578" customWidth="1"/>
    <col min="1007" max="1007" width="12" style="578" bestFit="1" customWidth="1"/>
    <col min="1008" max="1008" width="18.59765625" style="578" customWidth="1"/>
    <col min="1009" max="1009" width="15.09765625" style="578" customWidth="1"/>
    <col min="1010" max="1010" width="15.59765625" style="578" bestFit="1" customWidth="1"/>
    <col min="1011" max="1011" width="16.3984375" style="578" customWidth="1"/>
    <col min="1012" max="1012" width="13.8984375" style="578" customWidth="1"/>
    <col min="1013" max="1013" width="18.59765625" style="578" customWidth="1"/>
    <col min="1014" max="1014" width="3" style="578" customWidth="1"/>
    <col min="1015" max="1015" width="4" style="578" customWidth="1"/>
    <col min="1016" max="1016" width="24.5" style="578" customWidth="1"/>
    <col min="1017" max="1017" width="8.8984375" style="578" customWidth="1"/>
    <col min="1018" max="1018" width="10.8984375" style="578" customWidth="1"/>
    <col min="1019" max="1019" width="10" style="578" customWidth="1"/>
    <col min="1020" max="1020" width="17.3984375" style="578" customWidth="1"/>
    <col min="1021" max="1021" width="10.8984375" style="578" customWidth="1"/>
    <col min="1022" max="1022" width="10" style="578" customWidth="1"/>
    <col min="1023" max="1023" width="16.09765625" style="578" customWidth="1"/>
    <col min="1024" max="1024" width="10.8984375" style="578" customWidth="1"/>
    <col min="1025" max="1025" width="12" style="578" customWidth="1"/>
    <col min="1026" max="1026" width="18.8984375" style="578" customWidth="1"/>
    <col min="1027" max="1027" width="10.8984375" style="578" customWidth="1"/>
    <col min="1028" max="1028" width="16.19921875" style="578" bestFit="1" customWidth="1"/>
    <col min="1029" max="1029" width="12.3984375" style="578" bestFit="1" customWidth="1"/>
    <col min="1030" max="1030" width="10.8984375" style="578" customWidth="1"/>
    <col min="1031" max="1031" width="10" style="578" customWidth="1"/>
    <col min="1032" max="1032" width="17.5" style="578" customWidth="1"/>
    <col min="1033" max="1033" width="10.8984375" style="578" customWidth="1"/>
    <col min="1034" max="1034" width="16" style="578" customWidth="1"/>
    <col min="1035" max="1035" width="12.3984375" style="578" bestFit="1" customWidth="1"/>
    <col min="1036" max="1252" width="11" style="578"/>
    <col min="1253" max="1253" width="32.69921875" style="578" customWidth="1"/>
    <col min="1254" max="1254" width="14.5" style="578" customWidth="1"/>
    <col min="1255" max="1255" width="15.59765625" style="578" bestFit="1" customWidth="1"/>
    <col min="1256" max="1256" width="15.5" style="578" customWidth="1"/>
    <col min="1257" max="1257" width="15.59765625" style="578" customWidth="1"/>
    <col min="1258" max="1258" width="15.59765625" style="578" bestFit="1" customWidth="1"/>
    <col min="1259" max="1259" width="15.8984375" style="578" customWidth="1"/>
    <col min="1260" max="1260" width="14.8984375" style="578" customWidth="1"/>
    <col min="1261" max="1261" width="14.5" style="578" customWidth="1"/>
    <col min="1262" max="1262" width="15.8984375" style="578" customWidth="1"/>
    <col min="1263" max="1263" width="12" style="578" bestFit="1" customWidth="1"/>
    <col min="1264" max="1264" width="18.59765625" style="578" customWidth="1"/>
    <col min="1265" max="1265" width="15.09765625" style="578" customWidth="1"/>
    <col min="1266" max="1266" width="15.59765625" style="578" bestFit="1" customWidth="1"/>
    <col min="1267" max="1267" width="16.3984375" style="578" customWidth="1"/>
    <col min="1268" max="1268" width="13.8984375" style="578" customWidth="1"/>
    <col min="1269" max="1269" width="18.59765625" style="578" customWidth="1"/>
    <col min="1270" max="1270" width="3" style="578" customWidth="1"/>
    <col min="1271" max="1271" width="4" style="578" customWidth="1"/>
    <col min="1272" max="1272" width="24.5" style="578" customWidth="1"/>
    <col min="1273" max="1273" width="8.8984375" style="578" customWidth="1"/>
    <col min="1274" max="1274" width="10.8984375" style="578" customWidth="1"/>
    <col min="1275" max="1275" width="10" style="578" customWidth="1"/>
    <col min="1276" max="1276" width="17.3984375" style="578" customWidth="1"/>
    <col min="1277" max="1277" width="10.8984375" style="578" customWidth="1"/>
    <col min="1278" max="1278" width="10" style="578" customWidth="1"/>
    <col min="1279" max="1279" width="16.09765625" style="578" customWidth="1"/>
    <col min="1280" max="1280" width="10.8984375" style="578" customWidth="1"/>
    <col min="1281" max="1281" width="12" style="578" customWidth="1"/>
    <col min="1282" max="1282" width="18.8984375" style="578" customWidth="1"/>
    <col min="1283" max="1283" width="10.8984375" style="578" customWidth="1"/>
    <col min="1284" max="1284" width="16.19921875" style="578" bestFit="1" customWidth="1"/>
    <col min="1285" max="1285" width="12.3984375" style="578" bestFit="1" customWidth="1"/>
    <col min="1286" max="1286" width="10.8984375" style="578" customWidth="1"/>
    <col min="1287" max="1287" width="10" style="578" customWidth="1"/>
    <col min="1288" max="1288" width="17.5" style="578" customWidth="1"/>
    <col min="1289" max="1289" width="10.8984375" style="578" customWidth="1"/>
    <col min="1290" max="1290" width="16" style="578" customWidth="1"/>
    <col min="1291" max="1291" width="12.3984375" style="578" bestFit="1" customWidth="1"/>
    <col min="1292" max="1508" width="11" style="578"/>
    <col min="1509" max="1509" width="32.69921875" style="578" customWidth="1"/>
    <col min="1510" max="1510" width="14.5" style="578" customWidth="1"/>
    <col min="1511" max="1511" width="15.59765625" style="578" bestFit="1" customWidth="1"/>
    <col min="1512" max="1512" width="15.5" style="578" customWidth="1"/>
    <col min="1513" max="1513" width="15.59765625" style="578" customWidth="1"/>
    <col min="1514" max="1514" width="15.59765625" style="578" bestFit="1" customWidth="1"/>
    <col min="1515" max="1515" width="15.8984375" style="578" customWidth="1"/>
    <col min="1516" max="1516" width="14.8984375" style="578" customWidth="1"/>
    <col min="1517" max="1517" width="14.5" style="578" customWidth="1"/>
    <col min="1518" max="1518" width="15.8984375" style="578" customWidth="1"/>
    <col min="1519" max="1519" width="12" style="578" bestFit="1" customWidth="1"/>
    <col min="1520" max="1520" width="18.59765625" style="578" customWidth="1"/>
    <col min="1521" max="1521" width="15.09765625" style="578" customWidth="1"/>
    <col min="1522" max="1522" width="15.59765625" style="578" bestFit="1" customWidth="1"/>
    <col min="1523" max="1523" width="16.3984375" style="578" customWidth="1"/>
    <col min="1524" max="1524" width="13.8984375" style="578" customWidth="1"/>
    <col min="1525" max="1525" width="18.59765625" style="578" customWidth="1"/>
    <col min="1526" max="1526" width="3" style="578" customWidth="1"/>
    <col min="1527" max="1527" width="4" style="578" customWidth="1"/>
    <col min="1528" max="1528" width="24.5" style="578" customWidth="1"/>
    <col min="1529" max="1529" width="8.8984375" style="578" customWidth="1"/>
    <col min="1530" max="1530" width="10.8984375" style="578" customWidth="1"/>
    <col min="1531" max="1531" width="10" style="578" customWidth="1"/>
    <col min="1532" max="1532" width="17.3984375" style="578" customWidth="1"/>
    <col min="1533" max="1533" width="10.8984375" style="578" customWidth="1"/>
    <col min="1534" max="1534" width="10" style="578" customWidth="1"/>
    <col min="1535" max="1535" width="16.09765625" style="578" customWidth="1"/>
    <col min="1536" max="1536" width="10.8984375" style="578" customWidth="1"/>
    <col min="1537" max="1537" width="12" style="578" customWidth="1"/>
    <col min="1538" max="1538" width="18.8984375" style="578" customWidth="1"/>
    <col min="1539" max="1539" width="10.8984375" style="578" customWidth="1"/>
    <col min="1540" max="1540" width="16.19921875" style="578" bestFit="1" customWidth="1"/>
    <col min="1541" max="1541" width="12.3984375" style="578" bestFit="1" customWidth="1"/>
    <col min="1542" max="1542" width="10.8984375" style="578" customWidth="1"/>
    <col min="1543" max="1543" width="10" style="578" customWidth="1"/>
    <col min="1544" max="1544" width="17.5" style="578" customWidth="1"/>
    <col min="1545" max="1545" width="10.8984375" style="578" customWidth="1"/>
    <col min="1546" max="1546" width="16" style="578" customWidth="1"/>
    <col min="1547" max="1547" width="12.3984375" style="578" bestFit="1" customWidth="1"/>
    <col min="1548" max="1764" width="11" style="578"/>
    <col min="1765" max="1765" width="32.69921875" style="578" customWidth="1"/>
    <col min="1766" max="1766" width="14.5" style="578" customWidth="1"/>
    <col min="1767" max="1767" width="15.59765625" style="578" bestFit="1" customWidth="1"/>
    <col min="1768" max="1768" width="15.5" style="578" customWidth="1"/>
    <col min="1769" max="1769" width="15.59765625" style="578" customWidth="1"/>
    <col min="1770" max="1770" width="15.59765625" style="578" bestFit="1" customWidth="1"/>
    <col min="1771" max="1771" width="15.8984375" style="578" customWidth="1"/>
    <col min="1772" max="1772" width="14.8984375" style="578" customWidth="1"/>
    <col min="1773" max="1773" width="14.5" style="578" customWidth="1"/>
    <col min="1774" max="1774" width="15.8984375" style="578" customWidth="1"/>
    <col min="1775" max="1775" width="12" style="578" bestFit="1" customWidth="1"/>
    <col min="1776" max="1776" width="18.59765625" style="578" customWidth="1"/>
    <col min="1777" max="1777" width="15.09765625" style="578" customWidth="1"/>
    <col min="1778" max="1778" width="15.59765625" style="578" bestFit="1" customWidth="1"/>
    <col min="1779" max="1779" width="16.3984375" style="578" customWidth="1"/>
    <col min="1780" max="1780" width="13.8984375" style="578" customWidth="1"/>
    <col min="1781" max="1781" width="18.59765625" style="578" customWidth="1"/>
    <col min="1782" max="1782" width="3" style="578" customWidth="1"/>
    <col min="1783" max="1783" width="4" style="578" customWidth="1"/>
    <col min="1784" max="1784" width="24.5" style="578" customWidth="1"/>
    <col min="1785" max="1785" width="8.8984375" style="578" customWidth="1"/>
    <col min="1786" max="1786" width="10.8984375" style="578" customWidth="1"/>
    <col min="1787" max="1787" width="10" style="578" customWidth="1"/>
    <col min="1788" max="1788" width="17.3984375" style="578" customWidth="1"/>
    <col min="1789" max="1789" width="10.8984375" style="578" customWidth="1"/>
    <col min="1790" max="1790" width="10" style="578" customWidth="1"/>
    <col min="1791" max="1791" width="16.09765625" style="578" customWidth="1"/>
    <col min="1792" max="1792" width="10.8984375" style="578" customWidth="1"/>
    <col min="1793" max="1793" width="12" style="578" customWidth="1"/>
    <col min="1794" max="1794" width="18.8984375" style="578" customWidth="1"/>
    <col min="1795" max="1795" width="10.8984375" style="578" customWidth="1"/>
    <col min="1796" max="1796" width="16.19921875" style="578" bestFit="1" customWidth="1"/>
    <col min="1797" max="1797" width="12.3984375" style="578" bestFit="1" customWidth="1"/>
    <col min="1798" max="1798" width="10.8984375" style="578" customWidth="1"/>
    <col min="1799" max="1799" width="10" style="578" customWidth="1"/>
    <col min="1800" max="1800" width="17.5" style="578" customWidth="1"/>
    <col min="1801" max="1801" width="10.8984375" style="578" customWidth="1"/>
    <col min="1802" max="1802" width="16" style="578" customWidth="1"/>
    <col min="1803" max="1803" width="12.3984375" style="578" bestFit="1" customWidth="1"/>
    <col min="1804" max="2020" width="11" style="578"/>
    <col min="2021" max="2021" width="32.69921875" style="578" customWidth="1"/>
    <col min="2022" max="2022" width="14.5" style="578" customWidth="1"/>
    <col min="2023" max="2023" width="15.59765625" style="578" bestFit="1" customWidth="1"/>
    <col min="2024" max="2024" width="15.5" style="578" customWidth="1"/>
    <col min="2025" max="2025" width="15.59765625" style="578" customWidth="1"/>
    <col min="2026" max="2026" width="15.59765625" style="578" bestFit="1" customWidth="1"/>
    <col min="2027" max="2027" width="15.8984375" style="578" customWidth="1"/>
    <col min="2028" max="2028" width="14.8984375" style="578" customWidth="1"/>
    <col min="2029" max="2029" width="14.5" style="578" customWidth="1"/>
    <col min="2030" max="2030" width="15.8984375" style="578" customWidth="1"/>
    <col min="2031" max="2031" width="12" style="578" bestFit="1" customWidth="1"/>
    <col min="2032" max="2032" width="18.59765625" style="578" customWidth="1"/>
    <col min="2033" max="2033" width="15.09765625" style="578" customWidth="1"/>
    <col min="2034" max="2034" width="15.59765625" style="578" bestFit="1" customWidth="1"/>
    <col min="2035" max="2035" width="16.3984375" style="578" customWidth="1"/>
    <col min="2036" max="2036" width="13.8984375" style="578" customWidth="1"/>
    <col min="2037" max="2037" width="18.59765625" style="578" customWidth="1"/>
    <col min="2038" max="2038" width="3" style="578" customWidth="1"/>
    <col min="2039" max="2039" width="4" style="578" customWidth="1"/>
    <col min="2040" max="2040" width="24.5" style="578" customWidth="1"/>
    <col min="2041" max="2041" width="8.8984375" style="578" customWidth="1"/>
    <col min="2042" max="2042" width="10.8984375" style="578" customWidth="1"/>
    <col min="2043" max="2043" width="10" style="578" customWidth="1"/>
    <col min="2044" max="2044" width="17.3984375" style="578" customWidth="1"/>
    <col min="2045" max="2045" width="10.8984375" style="578" customWidth="1"/>
    <col min="2046" max="2046" width="10" style="578" customWidth="1"/>
    <col min="2047" max="2047" width="16.09765625" style="578" customWidth="1"/>
    <col min="2048" max="2048" width="10.8984375" style="578" customWidth="1"/>
    <col min="2049" max="2049" width="12" style="578" customWidth="1"/>
    <col min="2050" max="2050" width="18.8984375" style="578" customWidth="1"/>
    <col min="2051" max="2051" width="10.8984375" style="578" customWidth="1"/>
    <col min="2052" max="2052" width="16.19921875" style="578" bestFit="1" customWidth="1"/>
    <col min="2053" max="2053" width="12.3984375" style="578" bestFit="1" customWidth="1"/>
    <col min="2054" max="2054" width="10.8984375" style="578" customWidth="1"/>
    <col min="2055" max="2055" width="10" style="578" customWidth="1"/>
    <col min="2056" max="2056" width="17.5" style="578" customWidth="1"/>
    <col min="2057" max="2057" width="10.8984375" style="578" customWidth="1"/>
    <col min="2058" max="2058" width="16" style="578" customWidth="1"/>
    <col min="2059" max="2059" width="12.3984375" style="578" bestFit="1" customWidth="1"/>
    <col min="2060" max="2276" width="11" style="578"/>
    <col min="2277" max="2277" width="32.69921875" style="578" customWidth="1"/>
    <col min="2278" max="2278" width="14.5" style="578" customWidth="1"/>
    <col min="2279" max="2279" width="15.59765625" style="578" bestFit="1" customWidth="1"/>
    <col min="2280" max="2280" width="15.5" style="578" customWidth="1"/>
    <col min="2281" max="2281" width="15.59765625" style="578" customWidth="1"/>
    <col min="2282" max="2282" width="15.59765625" style="578" bestFit="1" customWidth="1"/>
    <col min="2283" max="2283" width="15.8984375" style="578" customWidth="1"/>
    <col min="2284" max="2284" width="14.8984375" style="578" customWidth="1"/>
    <col min="2285" max="2285" width="14.5" style="578" customWidth="1"/>
    <col min="2286" max="2286" width="15.8984375" style="578" customWidth="1"/>
    <col min="2287" max="2287" width="12" style="578" bestFit="1" customWidth="1"/>
    <col min="2288" max="2288" width="18.59765625" style="578" customWidth="1"/>
    <col min="2289" max="2289" width="15.09765625" style="578" customWidth="1"/>
    <col min="2290" max="2290" width="15.59765625" style="578" bestFit="1" customWidth="1"/>
    <col min="2291" max="2291" width="16.3984375" style="578" customWidth="1"/>
    <col min="2292" max="2292" width="13.8984375" style="578" customWidth="1"/>
    <col min="2293" max="2293" width="18.59765625" style="578" customWidth="1"/>
    <col min="2294" max="2294" width="3" style="578" customWidth="1"/>
    <col min="2295" max="2295" width="4" style="578" customWidth="1"/>
    <col min="2296" max="2296" width="24.5" style="578" customWidth="1"/>
    <col min="2297" max="2297" width="8.8984375" style="578" customWidth="1"/>
    <col min="2298" max="2298" width="10.8984375" style="578" customWidth="1"/>
    <col min="2299" max="2299" width="10" style="578" customWidth="1"/>
    <col min="2300" max="2300" width="17.3984375" style="578" customWidth="1"/>
    <col min="2301" max="2301" width="10.8984375" style="578" customWidth="1"/>
    <col min="2302" max="2302" width="10" style="578" customWidth="1"/>
    <col min="2303" max="2303" width="16.09765625" style="578" customWidth="1"/>
    <col min="2304" max="2304" width="10.8984375" style="578" customWidth="1"/>
    <col min="2305" max="2305" width="12" style="578" customWidth="1"/>
    <col min="2306" max="2306" width="18.8984375" style="578" customWidth="1"/>
    <col min="2307" max="2307" width="10.8984375" style="578" customWidth="1"/>
    <col min="2308" max="2308" width="16.19921875" style="578" bestFit="1" customWidth="1"/>
    <col min="2309" max="2309" width="12.3984375" style="578" bestFit="1" customWidth="1"/>
    <col min="2310" max="2310" width="10.8984375" style="578" customWidth="1"/>
    <col min="2311" max="2311" width="10" style="578" customWidth="1"/>
    <col min="2312" max="2312" width="17.5" style="578" customWidth="1"/>
    <col min="2313" max="2313" width="10.8984375" style="578" customWidth="1"/>
    <col min="2314" max="2314" width="16" style="578" customWidth="1"/>
    <col min="2315" max="2315" width="12.3984375" style="578" bestFit="1" customWidth="1"/>
    <col min="2316" max="2532" width="11" style="578"/>
    <col min="2533" max="2533" width="32.69921875" style="578" customWidth="1"/>
    <col min="2534" max="2534" width="14.5" style="578" customWidth="1"/>
    <col min="2535" max="2535" width="15.59765625" style="578" bestFit="1" customWidth="1"/>
    <col min="2536" max="2536" width="15.5" style="578" customWidth="1"/>
    <col min="2537" max="2537" width="15.59765625" style="578" customWidth="1"/>
    <col min="2538" max="2538" width="15.59765625" style="578" bestFit="1" customWidth="1"/>
    <col min="2539" max="2539" width="15.8984375" style="578" customWidth="1"/>
    <col min="2540" max="2540" width="14.8984375" style="578" customWidth="1"/>
    <col min="2541" max="2541" width="14.5" style="578" customWidth="1"/>
    <col min="2542" max="2542" width="15.8984375" style="578" customWidth="1"/>
    <col min="2543" max="2543" width="12" style="578" bestFit="1" customWidth="1"/>
    <col min="2544" max="2544" width="18.59765625" style="578" customWidth="1"/>
    <col min="2545" max="2545" width="15.09765625" style="578" customWidth="1"/>
    <col min="2546" max="2546" width="15.59765625" style="578" bestFit="1" customWidth="1"/>
    <col min="2547" max="2547" width="16.3984375" style="578" customWidth="1"/>
    <col min="2548" max="2548" width="13.8984375" style="578" customWidth="1"/>
    <col min="2549" max="2549" width="18.59765625" style="578" customWidth="1"/>
    <col min="2550" max="2550" width="3" style="578" customWidth="1"/>
    <col min="2551" max="2551" width="4" style="578" customWidth="1"/>
    <col min="2552" max="2552" width="24.5" style="578" customWidth="1"/>
    <col min="2553" max="2553" width="8.8984375" style="578" customWidth="1"/>
    <col min="2554" max="2554" width="10.8984375" style="578" customWidth="1"/>
    <col min="2555" max="2555" width="10" style="578" customWidth="1"/>
    <col min="2556" max="2556" width="17.3984375" style="578" customWidth="1"/>
    <col min="2557" max="2557" width="10.8984375" style="578" customWidth="1"/>
    <col min="2558" max="2558" width="10" style="578" customWidth="1"/>
    <col min="2559" max="2559" width="16.09765625" style="578" customWidth="1"/>
    <col min="2560" max="2560" width="10.8984375" style="578" customWidth="1"/>
    <col min="2561" max="2561" width="12" style="578" customWidth="1"/>
    <col min="2562" max="2562" width="18.8984375" style="578" customWidth="1"/>
    <col min="2563" max="2563" width="10.8984375" style="578" customWidth="1"/>
    <col min="2564" max="2564" width="16.19921875" style="578" bestFit="1" customWidth="1"/>
    <col min="2565" max="2565" width="12.3984375" style="578" bestFit="1" customWidth="1"/>
    <col min="2566" max="2566" width="10.8984375" style="578" customWidth="1"/>
    <col min="2567" max="2567" width="10" style="578" customWidth="1"/>
    <col min="2568" max="2568" width="17.5" style="578" customWidth="1"/>
    <col min="2569" max="2569" width="10.8984375" style="578" customWidth="1"/>
    <col min="2570" max="2570" width="16" style="578" customWidth="1"/>
    <col min="2571" max="2571" width="12.3984375" style="578" bestFit="1" customWidth="1"/>
    <col min="2572" max="2788" width="11" style="578"/>
    <col min="2789" max="2789" width="32.69921875" style="578" customWidth="1"/>
    <col min="2790" max="2790" width="14.5" style="578" customWidth="1"/>
    <col min="2791" max="2791" width="15.59765625" style="578" bestFit="1" customWidth="1"/>
    <col min="2792" max="2792" width="15.5" style="578" customWidth="1"/>
    <col min="2793" max="2793" width="15.59765625" style="578" customWidth="1"/>
    <col min="2794" max="2794" width="15.59765625" style="578" bestFit="1" customWidth="1"/>
    <col min="2795" max="2795" width="15.8984375" style="578" customWidth="1"/>
    <col min="2796" max="2796" width="14.8984375" style="578" customWidth="1"/>
    <col min="2797" max="2797" width="14.5" style="578" customWidth="1"/>
    <col min="2798" max="2798" width="15.8984375" style="578" customWidth="1"/>
    <col min="2799" max="2799" width="12" style="578" bestFit="1" customWidth="1"/>
    <col min="2800" max="2800" width="18.59765625" style="578" customWidth="1"/>
    <col min="2801" max="2801" width="15.09765625" style="578" customWidth="1"/>
    <col min="2802" max="2802" width="15.59765625" style="578" bestFit="1" customWidth="1"/>
    <col min="2803" max="2803" width="16.3984375" style="578" customWidth="1"/>
    <col min="2804" max="2804" width="13.8984375" style="578" customWidth="1"/>
    <col min="2805" max="2805" width="18.59765625" style="578" customWidth="1"/>
    <col min="2806" max="2806" width="3" style="578" customWidth="1"/>
    <col min="2807" max="2807" width="4" style="578" customWidth="1"/>
    <col min="2808" max="2808" width="24.5" style="578" customWidth="1"/>
    <col min="2809" max="2809" width="8.8984375" style="578" customWidth="1"/>
    <col min="2810" max="2810" width="10.8984375" style="578" customWidth="1"/>
    <col min="2811" max="2811" width="10" style="578" customWidth="1"/>
    <col min="2812" max="2812" width="17.3984375" style="578" customWidth="1"/>
    <col min="2813" max="2813" width="10.8984375" style="578" customWidth="1"/>
    <col min="2814" max="2814" width="10" style="578" customWidth="1"/>
    <col min="2815" max="2815" width="16.09765625" style="578" customWidth="1"/>
    <col min="2816" max="2816" width="10.8984375" style="578" customWidth="1"/>
    <col min="2817" max="2817" width="12" style="578" customWidth="1"/>
    <col min="2818" max="2818" width="18.8984375" style="578" customWidth="1"/>
    <col min="2819" max="2819" width="10.8984375" style="578" customWidth="1"/>
    <col min="2820" max="2820" width="16.19921875" style="578" bestFit="1" customWidth="1"/>
    <col min="2821" max="2821" width="12.3984375" style="578" bestFit="1" customWidth="1"/>
    <col min="2822" max="2822" width="10.8984375" style="578" customWidth="1"/>
    <col min="2823" max="2823" width="10" style="578" customWidth="1"/>
    <col min="2824" max="2824" width="17.5" style="578" customWidth="1"/>
    <col min="2825" max="2825" width="10.8984375" style="578" customWidth="1"/>
    <col min="2826" max="2826" width="16" style="578" customWidth="1"/>
    <col min="2827" max="2827" width="12.3984375" style="578" bestFit="1" customWidth="1"/>
    <col min="2828" max="3044" width="11" style="578"/>
    <col min="3045" max="3045" width="32.69921875" style="578" customWidth="1"/>
    <col min="3046" max="3046" width="14.5" style="578" customWidth="1"/>
    <col min="3047" max="3047" width="15.59765625" style="578" bestFit="1" customWidth="1"/>
    <col min="3048" max="3048" width="15.5" style="578" customWidth="1"/>
    <col min="3049" max="3049" width="15.59765625" style="578" customWidth="1"/>
    <col min="3050" max="3050" width="15.59765625" style="578" bestFit="1" customWidth="1"/>
    <col min="3051" max="3051" width="15.8984375" style="578" customWidth="1"/>
    <col min="3052" max="3052" width="14.8984375" style="578" customWidth="1"/>
    <col min="3053" max="3053" width="14.5" style="578" customWidth="1"/>
    <col min="3054" max="3054" width="15.8984375" style="578" customWidth="1"/>
    <col min="3055" max="3055" width="12" style="578" bestFit="1" customWidth="1"/>
    <col min="3056" max="3056" width="18.59765625" style="578" customWidth="1"/>
    <col min="3057" max="3057" width="15.09765625" style="578" customWidth="1"/>
    <col min="3058" max="3058" width="15.59765625" style="578" bestFit="1" customWidth="1"/>
    <col min="3059" max="3059" width="16.3984375" style="578" customWidth="1"/>
    <col min="3060" max="3060" width="13.8984375" style="578" customWidth="1"/>
    <col min="3061" max="3061" width="18.59765625" style="578" customWidth="1"/>
    <col min="3062" max="3062" width="3" style="578" customWidth="1"/>
    <col min="3063" max="3063" width="4" style="578" customWidth="1"/>
    <col min="3064" max="3064" width="24.5" style="578" customWidth="1"/>
    <col min="3065" max="3065" width="8.8984375" style="578" customWidth="1"/>
    <col min="3066" max="3066" width="10.8984375" style="578" customWidth="1"/>
    <col min="3067" max="3067" width="10" style="578" customWidth="1"/>
    <col min="3068" max="3068" width="17.3984375" style="578" customWidth="1"/>
    <col min="3069" max="3069" width="10.8984375" style="578" customWidth="1"/>
    <col min="3070" max="3070" width="10" style="578" customWidth="1"/>
    <col min="3071" max="3071" width="16.09765625" style="578" customWidth="1"/>
    <col min="3072" max="3072" width="10.8984375" style="578" customWidth="1"/>
    <col min="3073" max="3073" width="12" style="578" customWidth="1"/>
    <col min="3074" max="3074" width="18.8984375" style="578" customWidth="1"/>
    <col min="3075" max="3075" width="10.8984375" style="578" customWidth="1"/>
    <col min="3076" max="3076" width="16.19921875" style="578" bestFit="1" customWidth="1"/>
    <col min="3077" max="3077" width="12.3984375" style="578" bestFit="1" customWidth="1"/>
    <col min="3078" max="3078" width="10.8984375" style="578" customWidth="1"/>
    <col min="3079" max="3079" width="10" style="578" customWidth="1"/>
    <col min="3080" max="3080" width="17.5" style="578" customWidth="1"/>
    <col min="3081" max="3081" width="10.8984375" style="578" customWidth="1"/>
    <col min="3082" max="3082" width="16" style="578" customWidth="1"/>
    <col min="3083" max="3083" width="12.3984375" style="578" bestFit="1" customWidth="1"/>
    <col min="3084" max="3300" width="11" style="578"/>
    <col min="3301" max="3301" width="32.69921875" style="578" customWidth="1"/>
    <col min="3302" max="3302" width="14.5" style="578" customWidth="1"/>
    <col min="3303" max="3303" width="15.59765625" style="578" bestFit="1" customWidth="1"/>
    <col min="3304" max="3304" width="15.5" style="578" customWidth="1"/>
    <col min="3305" max="3305" width="15.59765625" style="578" customWidth="1"/>
    <col min="3306" max="3306" width="15.59765625" style="578" bestFit="1" customWidth="1"/>
    <col min="3307" max="3307" width="15.8984375" style="578" customWidth="1"/>
    <col min="3308" max="3308" width="14.8984375" style="578" customWidth="1"/>
    <col min="3309" max="3309" width="14.5" style="578" customWidth="1"/>
    <col min="3310" max="3310" width="15.8984375" style="578" customWidth="1"/>
    <col min="3311" max="3311" width="12" style="578" bestFit="1" customWidth="1"/>
    <col min="3312" max="3312" width="18.59765625" style="578" customWidth="1"/>
    <col min="3313" max="3313" width="15.09765625" style="578" customWidth="1"/>
    <col min="3314" max="3314" width="15.59765625" style="578" bestFit="1" customWidth="1"/>
    <col min="3315" max="3315" width="16.3984375" style="578" customWidth="1"/>
    <col min="3316" max="3316" width="13.8984375" style="578" customWidth="1"/>
    <col min="3317" max="3317" width="18.59765625" style="578" customWidth="1"/>
    <col min="3318" max="3318" width="3" style="578" customWidth="1"/>
    <col min="3319" max="3319" width="4" style="578" customWidth="1"/>
    <col min="3320" max="3320" width="24.5" style="578" customWidth="1"/>
    <col min="3321" max="3321" width="8.8984375" style="578" customWidth="1"/>
    <col min="3322" max="3322" width="10.8984375" style="578" customWidth="1"/>
    <col min="3323" max="3323" width="10" style="578" customWidth="1"/>
    <col min="3324" max="3324" width="17.3984375" style="578" customWidth="1"/>
    <col min="3325" max="3325" width="10.8984375" style="578" customWidth="1"/>
    <col min="3326" max="3326" width="10" style="578" customWidth="1"/>
    <col min="3327" max="3327" width="16.09765625" style="578" customWidth="1"/>
    <col min="3328" max="3328" width="10.8984375" style="578" customWidth="1"/>
    <col min="3329" max="3329" width="12" style="578" customWidth="1"/>
    <col min="3330" max="3330" width="18.8984375" style="578" customWidth="1"/>
    <col min="3331" max="3331" width="10.8984375" style="578" customWidth="1"/>
    <col min="3332" max="3332" width="16.19921875" style="578" bestFit="1" customWidth="1"/>
    <col min="3333" max="3333" width="12.3984375" style="578" bestFit="1" customWidth="1"/>
    <col min="3334" max="3334" width="10.8984375" style="578" customWidth="1"/>
    <col min="3335" max="3335" width="10" style="578" customWidth="1"/>
    <col min="3336" max="3336" width="17.5" style="578" customWidth="1"/>
    <col min="3337" max="3337" width="10.8984375" style="578" customWidth="1"/>
    <col min="3338" max="3338" width="16" style="578" customWidth="1"/>
    <col min="3339" max="3339" width="12.3984375" style="578" bestFit="1" customWidth="1"/>
    <col min="3340" max="3556" width="11" style="578"/>
    <col min="3557" max="3557" width="32.69921875" style="578" customWidth="1"/>
    <col min="3558" max="3558" width="14.5" style="578" customWidth="1"/>
    <col min="3559" max="3559" width="15.59765625" style="578" bestFit="1" customWidth="1"/>
    <col min="3560" max="3560" width="15.5" style="578" customWidth="1"/>
    <col min="3561" max="3561" width="15.59765625" style="578" customWidth="1"/>
    <col min="3562" max="3562" width="15.59765625" style="578" bestFit="1" customWidth="1"/>
    <col min="3563" max="3563" width="15.8984375" style="578" customWidth="1"/>
    <col min="3564" max="3564" width="14.8984375" style="578" customWidth="1"/>
    <col min="3565" max="3565" width="14.5" style="578" customWidth="1"/>
    <col min="3566" max="3566" width="15.8984375" style="578" customWidth="1"/>
    <col min="3567" max="3567" width="12" style="578" bestFit="1" customWidth="1"/>
    <col min="3568" max="3568" width="18.59765625" style="578" customWidth="1"/>
    <col min="3569" max="3569" width="15.09765625" style="578" customWidth="1"/>
    <col min="3570" max="3570" width="15.59765625" style="578" bestFit="1" customWidth="1"/>
    <col min="3571" max="3571" width="16.3984375" style="578" customWidth="1"/>
    <col min="3572" max="3572" width="13.8984375" style="578" customWidth="1"/>
    <col min="3573" max="3573" width="18.59765625" style="578" customWidth="1"/>
    <col min="3574" max="3574" width="3" style="578" customWidth="1"/>
    <col min="3575" max="3575" width="4" style="578" customWidth="1"/>
    <col min="3576" max="3576" width="24.5" style="578" customWidth="1"/>
    <col min="3577" max="3577" width="8.8984375" style="578" customWidth="1"/>
    <col min="3578" max="3578" width="10.8984375" style="578" customWidth="1"/>
    <col min="3579" max="3579" width="10" style="578" customWidth="1"/>
    <col min="3580" max="3580" width="17.3984375" style="578" customWidth="1"/>
    <col min="3581" max="3581" width="10.8984375" style="578" customWidth="1"/>
    <col min="3582" max="3582" width="10" style="578" customWidth="1"/>
    <col min="3583" max="3583" width="16.09765625" style="578" customWidth="1"/>
    <col min="3584" max="3584" width="10.8984375" style="578" customWidth="1"/>
    <col min="3585" max="3585" width="12" style="578" customWidth="1"/>
    <col min="3586" max="3586" width="18.8984375" style="578" customWidth="1"/>
    <col min="3587" max="3587" width="10.8984375" style="578" customWidth="1"/>
    <col min="3588" max="3588" width="16.19921875" style="578" bestFit="1" customWidth="1"/>
    <col min="3589" max="3589" width="12.3984375" style="578" bestFit="1" customWidth="1"/>
    <col min="3590" max="3590" width="10.8984375" style="578" customWidth="1"/>
    <col min="3591" max="3591" width="10" style="578" customWidth="1"/>
    <col min="3592" max="3592" width="17.5" style="578" customWidth="1"/>
    <col min="3593" max="3593" width="10.8984375" style="578" customWidth="1"/>
    <col min="3594" max="3594" width="16" style="578" customWidth="1"/>
    <col min="3595" max="3595" width="12.3984375" style="578" bestFit="1" customWidth="1"/>
    <col min="3596" max="3812" width="11" style="578"/>
    <col min="3813" max="3813" width="32.69921875" style="578" customWidth="1"/>
    <col min="3814" max="3814" width="14.5" style="578" customWidth="1"/>
    <col min="3815" max="3815" width="15.59765625" style="578" bestFit="1" customWidth="1"/>
    <col min="3816" max="3816" width="15.5" style="578" customWidth="1"/>
    <col min="3817" max="3817" width="15.59765625" style="578" customWidth="1"/>
    <col min="3818" max="3818" width="15.59765625" style="578" bestFit="1" customWidth="1"/>
    <col min="3819" max="3819" width="15.8984375" style="578" customWidth="1"/>
    <col min="3820" max="3820" width="14.8984375" style="578" customWidth="1"/>
    <col min="3821" max="3821" width="14.5" style="578" customWidth="1"/>
    <col min="3822" max="3822" width="15.8984375" style="578" customWidth="1"/>
    <col min="3823" max="3823" width="12" style="578" bestFit="1" customWidth="1"/>
    <col min="3824" max="3824" width="18.59765625" style="578" customWidth="1"/>
    <col min="3825" max="3825" width="15.09765625" style="578" customWidth="1"/>
    <col min="3826" max="3826" width="15.59765625" style="578" bestFit="1" customWidth="1"/>
    <col min="3827" max="3827" width="16.3984375" style="578" customWidth="1"/>
    <col min="3828" max="3828" width="13.8984375" style="578" customWidth="1"/>
    <col min="3829" max="3829" width="18.59765625" style="578" customWidth="1"/>
    <col min="3830" max="3830" width="3" style="578" customWidth="1"/>
    <col min="3831" max="3831" width="4" style="578" customWidth="1"/>
    <col min="3832" max="3832" width="24.5" style="578" customWidth="1"/>
    <col min="3833" max="3833" width="8.8984375" style="578" customWidth="1"/>
    <col min="3834" max="3834" width="10.8984375" style="578" customWidth="1"/>
    <col min="3835" max="3835" width="10" style="578" customWidth="1"/>
    <col min="3836" max="3836" width="17.3984375" style="578" customWidth="1"/>
    <col min="3837" max="3837" width="10.8984375" style="578" customWidth="1"/>
    <col min="3838" max="3838" width="10" style="578" customWidth="1"/>
    <col min="3839" max="3839" width="16.09765625" style="578" customWidth="1"/>
    <col min="3840" max="3840" width="10.8984375" style="578" customWidth="1"/>
    <col min="3841" max="3841" width="12" style="578" customWidth="1"/>
    <col min="3842" max="3842" width="18.8984375" style="578" customWidth="1"/>
    <col min="3843" max="3843" width="10.8984375" style="578" customWidth="1"/>
    <col min="3844" max="3844" width="16.19921875" style="578" bestFit="1" customWidth="1"/>
    <col min="3845" max="3845" width="12.3984375" style="578" bestFit="1" customWidth="1"/>
    <col min="3846" max="3846" width="10.8984375" style="578" customWidth="1"/>
    <col min="3847" max="3847" width="10" style="578" customWidth="1"/>
    <col min="3848" max="3848" width="17.5" style="578" customWidth="1"/>
    <col min="3849" max="3849" width="10.8984375" style="578" customWidth="1"/>
    <col min="3850" max="3850" width="16" style="578" customWidth="1"/>
    <col min="3851" max="3851" width="12.3984375" style="578" bestFit="1" customWidth="1"/>
    <col min="3852" max="4068" width="11" style="578"/>
    <col min="4069" max="4069" width="32.69921875" style="578" customWidth="1"/>
    <col min="4070" max="4070" width="14.5" style="578" customWidth="1"/>
    <col min="4071" max="4071" width="15.59765625" style="578" bestFit="1" customWidth="1"/>
    <col min="4072" max="4072" width="15.5" style="578" customWidth="1"/>
    <col min="4073" max="4073" width="15.59765625" style="578" customWidth="1"/>
    <col min="4074" max="4074" width="15.59765625" style="578" bestFit="1" customWidth="1"/>
    <col min="4075" max="4075" width="15.8984375" style="578" customWidth="1"/>
    <col min="4076" max="4076" width="14.8984375" style="578" customWidth="1"/>
    <col min="4077" max="4077" width="14.5" style="578" customWidth="1"/>
    <col min="4078" max="4078" width="15.8984375" style="578" customWidth="1"/>
    <col min="4079" max="4079" width="12" style="578" bestFit="1" customWidth="1"/>
    <col min="4080" max="4080" width="18.59765625" style="578" customWidth="1"/>
    <col min="4081" max="4081" width="15.09765625" style="578" customWidth="1"/>
    <col min="4082" max="4082" width="15.59765625" style="578" bestFit="1" customWidth="1"/>
    <col min="4083" max="4083" width="16.3984375" style="578" customWidth="1"/>
    <col min="4084" max="4084" width="13.8984375" style="578" customWidth="1"/>
    <col min="4085" max="4085" width="18.59765625" style="578" customWidth="1"/>
    <col min="4086" max="4086" width="3" style="578" customWidth="1"/>
    <col min="4087" max="4087" width="4" style="578" customWidth="1"/>
    <col min="4088" max="4088" width="24.5" style="578" customWidth="1"/>
    <col min="4089" max="4089" width="8.8984375" style="578" customWidth="1"/>
    <col min="4090" max="4090" width="10.8984375" style="578" customWidth="1"/>
    <col min="4091" max="4091" width="10" style="578" customWidth="1"/>
    <col min="4092" max="4092" width="17.3984375" style="578" customWidth="1"/>
    <col min="4093" max="4093" width="10.8984375" style="578" customWidth="1"/>
    <col min="4094" max="4094" width="10" style="578" customWidth="1"/>
    <col min="4095" max="4095" width="16.09765625" style="578" customWidth="1"/>
    <col min="4096" max="4096" width="10.8984375" style="578" customWidth="1"/>
    <col min="4097" max="4097" width="12" style="578" customWidth="1"/>
    <col min="4098" max="4098" width="18.8984375" style="578" customWidth="1"/>
    <col min="4099" max="4099" width="10.8984375" style="578" customWidth="1"/>
    <col min="4100" max="4100" width="16.19921875" style="578" bestFit="1" customWidth="1"/>
    <col min="4101" max="4101" width="12.3984375" style="578" bestFit="1" customWidth="1"/>
    <col min="4102" max="4102" width="10.8984375" style="578" customWidth="1"/>
    <col min="4103" max="4103" width="10" style="578" customWidth="1"/>
    <col min="4104" max="4104" width="17.5" style="578" customWidth="1"/>
    <col min="4105" max="4105" width="10.8984375" style="578" customWidth="1"/>
    <col min="4106" max="4106" width="16" style="578" customWidth="1"/>
    <col min="4107" max="4107" width="12.3984375" style="578" bestFit="1" customWidth="1"/>
    <col min="4108" max="4324" width="11" style="578"/>
    <col min="4325" max="4325" width="32.69921875" style="578" customWidth="1"/>
    <col min="4326" max="4326" width="14.5" style="578" customWidth="1"/>
    <col min="4327" max="4327" width="15.59765625" style="578" bestFit="1" customWidth="1"/>
    <col min="4328" max="4328" width="15.5" style="578" customWidth="1"/>
    <col min="4329" max="4329" width="15.59765625" style="578" customWidth="1"/>
    <col min="4330" max="4330" width="15.59765625" style="578" bestFit="1" customWidth="1"/>
    <col min="4331" max="4331" width="15.8984375" style="578" customWidth="1"/>
    <col min="4332" max="4332" width="14.8984375" style="578" customWidth="1"/>
    <col min="4333" max="4333" width="14.5" style="578" customWidth="1"/>
    <col min="4334" max="4334" width="15.8984375" style="578" customWidth="1"/>
    <col min="4335" max="4335" width="12" style="578" bestFit="1" customWidth="1"/>
    <col min="4336" max="4336" width="18.59765625" style="578" customWidth="1"/>
    <col min="4337" max="4337" width="15.09765625" style="578" customWidth="1"/>
    <col min="4338" max="4338" width="15.59765625" style="578" bestFit="1" customWidth="1"/>
    <col min="4339" max="4339" width="16.3984375" style="578" customWidth="1"/>
    <col min="4340" max="4340" width="13.8984375" style="578" customWidth="1"/>
    <col min="4341" max="4341" width="18.59765625" style="578" customWidth="1"/>
    <col min="4342" max="4342" width="3" style="578" customWidth="1"/>
    <col min="4343" max="4343" width="4" style="578" customWidth="1"/>
    <col min="4344" max="4344" width="24.5" style="578" customWidth="1"/>
    <col min="4345" max="4345" width="8.8984375" style="578" customWidth="1"/>
    <col min="4346" max="4346" width="10.8984375" style="578" customWidth="1"/>
    <col min="4347" max="4347" width="10" style="578" customWidth="1"/>
    <col min="4348" max="4348" width="17.3984375" style="578" customWidth="1"/>
    <col min="4349" max="4349" width="10.8984375" style="578" customWidth="1"/>
    <col min="4350" max="4350" width="10" style="578" customWidth="1"/>
    <col min="4351" max="4351" width="16.09765625" style="578" customWidth="1"/>
    <col min="4352" max="4352" width="10.8984375" style="578" customWidth="1"/>
    <col min="4353" max="4353" width="12" style="578" customWidth="1"/>
    <col min="4354" max="4354" width="18.8984375" style="578" customWidth="1"/>
    <col min="4355" max="4355" width="10.8984375" style="578" customWidth="1"/>
    <col min="4356" max="4356" width="16.19921875" style="578" bestFit="1" customWidth="1"/>
    <col min="4357" max="4357" width="12.3984375" style="578" bestFit="1" customWidth="1"/>
    <col min="4358" max="4358" width="10.8984375" style="578" customWidth="1"/>
    <col min="4359" max="4359" width="10" style="578" customWidth="1"/>
    <col min="4360" max="4360" width="17.5" style="578" customWidth="1"/>
    <col min="4361" max="4361" width="10.8984375" style="578" customWidth="1"/>
    <col min="4362" max="4362" width="16" style="578" customWidth="1"/>
    <col min="4363" max="4363" width="12.3984375" style="578" bestFit="1" customWidth="1"/>
    <col min="4364" max="4580" width="11" style="578"/>
    <col min="4581" max="4581" width="32.69921875" style="578" customWidth="1"/>
    <col min="4582" max="4582" width="14.5" style="578" customWidth="1"/>
    <col min="4583" max="4583" width="15.59765625" style="578" bestFit="1" customWidth="1"/>
    <col min="4584" max="4584" width="15.5" style="578" customWidth="1"/>
    <col min="4585" max="4585" width="15.59765625" style="578" customWidth="1"/>
    <col min="4586" max="4586" width="15.59765625" style="578" bestFit="1" customWidth="1"/>
    <col min="4587" max="4587" width="15.8984375" style="578" customWidth="1"/>
    <col min="4588" max="4588" width="14.8984375" style="578" customWidth="1"/>
    <col min="4589" max="4589" width="14.5" style="578" customWidth="1"/>
    <col min="4590" max="4590" width="15.8984375" style="578" customWidth="1"/>
    <col min="4591" max="4591" width="12" style="578" bestFit="1" customWidth="1"/>
    <col min="4592" max="4592" width="18.59765625" style="578" customWidth="1"/>
    <col min="4593" max="4593" width="15.09765625" style="578" customWidth="1"/>
    <col min="4594" max="4594" width="15.59765625" style="578" bestFit="1" customWidth="1"/>
    <col min="4595" max="4595" width="16.3984375" style="578" customWidth="1"/>
    <col min="4596" max="4596" width="13.8984375" style="578" customWidth="1"/>
    <col min="4597" max="4597" width="18.59765625" style="578" customWidth="1"/>
    <col min="4598" max="4598" width="3" style="578" customWidth="1"/>
    <col min="4599" max="4599" width="4" style="578" customWidth="1"/>
    <col min="4600" max="4600" width="24.5" style="578" customWidth="1"/>
    <col min="4601" max="4601" width="8.8984375" style="578" customWidth="1"/>
    <col min="4602" max="4602" width="10.8984375" style="578" customWidth="1"/>
    <col min="4603" max="4603" width="10" style="578" customWidth="1"/>
    <col min="4604" max="4604" width="17.3984375" style="578" customWidth="1"/>
    <col min="4605" max="4605" width="10.8984375" style="578" customWidth="1"/>
    <col min="4606" max="4606" width="10" style="578" customWidth="1"/>
    <col min="4607" max="4607" width="16.09765625" style="578" customWidth="1"/>
    <col min="4608" max="4608" width="10.8984375" style="578" customWidth="1"/>
    <col min="4609" max="4609" width="12" style="578" customWidth="1"/>
    <col min="4610" max="4610" width="18.8984375" style="578" customWidth="1"/>
    <col min="4611" max="4611" width="10.8984375" style="578" customWidth="1"/>
    <col min="4612" max="4612" width="16.19921875" style="578" bestFit="1" customWidth="1"/>
    <col min="4613" max="4613" width="12.3984375" style="578" bestFit="1" customWidth="1"/>
    <col min="4614" max="4614" width="10.8984375" style="578" customWidth="1"/>
    <col min="4615" max="4615" width="10" style="578" customWidth="1"/>
    <col min="4616" max="4616" width="17.5" style="578" customWidth="1"/>
    <col min="4617" max="4617" width="10.8984375" style="578" customWidth="1"/>
    <col min="4618" max="4618" width="16" style="578" customWidth="1"/>
    <col min="4619" max="4619" width="12.3984375" style="578" bestFit="1" customWidth="1"/>
    <col min="4620" max="4836" width="11" style="578"/>
    <col min="4837" max="4837" width="32.69921875" style="578" customWidth="1"/>
    <col min="4838" max="4838" width="14.5" style="578" customWidth="1"/>
    <col min="4839" max="4839" width="15.59765625" style="578" bestFit="1" customWidth="1"/>
    <col min="4840" max="4840" width="15.5" style="578" customWidth="1"/>
    <col min="4841" max="4841" width="15.59765625" style="578" customWidth="1"/>
    <col min="4842" max="4842" width="15.59765625" style="578" bestFit="1" customWidth="1"/>
    <col min="4843" max="4843" width="15.8984375" style="578" customWidth="1"/>
    <col min="4844" max="4844" width="14.8984375" style="578" customWidth="1"/>
    <col min="4845" max="4845" width="14.5" style="578" customWidth="1"/>
    <col min="4846" max="4846" width="15.8984375" style="578" customWidth="1"/>
    <col min="4847" max="4847" width="12" style="578" bestFit="1" customWidth="1"/>
    <col min="4848" max="4848" width="18.59765625" style="578" customWidth="1"/>
    <col min="4849" max="4849" width="15.09765625" style="578" customWidth="1"/>
    <col min="4850" max="4850" width="15.59765625" style="578" bestFit="1" customWidth="1"/>
    <col min="4851" max="4851" width="16.3984375" style="578" customWidth="1"/>
    <col min="4852" max="4852" width="13.8984375" style="578" customWidth="1"/>
    <col min="4853" max="4853" width="18.59765625" style="578" customWidth="1"/>
    <col min="4854" max="4854" width="3" style="578" customWidth="1"/>
    <col min="4855" max="4855" width="4" style="578" customWidth="1"/>
    <col min="4856" max="4856" width="24.5" style="578" customWidth="1"/>
    <col min="4857" max="4857" width="8.8984375" style="578" customWidth="1"/>
    <col min="4858" max="4858" width="10.8984375" style="578" customWidth="1"/>
    <col min="4859" max="4859" width="10" style="578" customWidth="1"/>
    <col min="4860" max="4860" width="17.3984375" style="578" customWidth="1"/>
    <col min="4861" max="4861" width="10.8984375" style="578" customWidth="1"/>
    <col min="4862" max="4862" width="10" style="578" customWidth="1"/>
    <col min="4863" max="4863" width="16.09765625" style="578" customWidth="1"/>
    <col min="4864" max="4864" width="10.8984375" style="578" customWidth="1"/>
    <col min="4865" max="4865" width="12" style="578" customWidth="1"/>
    <col min="4866" max="4866" width="18.8984375" style="578" customWidth="1"/>
    <col min="4867" max="4867" width="10.8984375" style="578" customWidth="1"/>
    <col min="4868" max="4868" width="16.19921875" style="578" bestFit="1" customWidth="1"/>
    <col min="4869" max="4869" width="12.3984375" style="578" bestFit="1" customWidth="1"/>
    <col min="4870" max="4870" width="10.8984375" style="578" customWidth="1"/>
    <col min="4871" max="4871" width="10" style="578" customWidth="1"/>
    <col min="4872" max="4872" width="17.5" style="578" customWidth="1"/>
    <col min="4873" max="4873" width="10.8984375" style="578" customWidth="1"/>
    <col min="4874" max="4874" width="16" style="578" customWidth="1"/>
    <col min="4875" max="4875" width="12.3984375" style="578" bestFit="1" customWidth="1"/>
    <col min="4876" max="5092" width="11" style="578"/>
    <col min="5093" max="5093" width="32.69921875" style="578" customWidth="1"/>
    <col min="5094" max="5094" width="14.5" style="578" customWidth="1"/>
    <col min="5095" max="5095" width="15.59765625" style="578" bestFit="1" customWidth="1"/>
    <col min="5096" max="5096" width="15.5" style="578" customWidth="1"/>
    <col min="5097" max="5097" width="15.59765625" style="578" customWidth="1"/>
    <col min="5098" max="5098" width="15.59765625" style="578" bestFit="1" customWidth="1"/>
    <col min="5099" max="5099" width="15.8984375" style="578" customWidth="1"/>
    <col min="5100" max="5100" width="14.8984375" style="578" customWidth="1"/>
    <col min="5101" max="5101" width="14.5" style="578" customWidth="1"/>
    <col min="5102" max="5102" width="15.8984375" style="578" customWidth="1"/>
    <col min="5103" max="5103" width="12" style="578" bestFit="1" customWidth="1"/>
    <col min="5104" max="5104" width="18.59765625" style="578" customWidth="1"/>
    <col min="5105" max="5105" width="15.09765625" style="578" customWidth="1"/>
    <col min="5106" max="5106" width="15.59765625" style="578" bestFit="1" customWidth="1"/>
    <col min="5107" max="5107" width="16.3984375" style="578" customWidth="1"/>
    <col min="5108" max="5108" width="13.8984375" style="578" customWidth="1"/>
    <col min="5109" max="5109" width="18.59765625" style="578" customWidth="1"/>
    <col min="5110" max="5110" width="3" style="578" customWidth="1"/>
    <col min="5111" max="5111" width="4" style="578" customWidth="1"/>
    <col min="5112" max="5112" width="24.5" style="578" customWidth="1"/>
    <col min="5113" max="5113" width="8.8984375" style="578" customWidth="1"/>
    <col min="5114" max="5114" width="10.8984375" style="578" customWidth="1"/>
    <col min="5115" max="5115" width="10" style="578" customWidth="1"/>
    <col min="5116" max="5116" width="17.3984375" style="578" customWidth="1"/>
    <col min="5117" max="5117" width="10.8984375" style="578" customWidth="1"/>
    <col min="5118" max="5118" width="10" style="578" customWidth="1"/>
    <col min="5119" max="5119" width="16.09765625" style="578" customWidth="1"/>
    <col min="5120" max="5120" width="10.8984375" style="578" customWidth="1"/>
    <col min="5121" max="5121" width="12" style="578" customWidth="1"/>
    <col min="5122" max="5122" width="18.8984375" style="578" customWidth="1"/>
    <col min="5123" max="5123" width="10.8984375" style="578" customWidth="1"/>
    <col min="5124" max="5124" width="16.19921875" style="578" bestFit="1" customWidth="1"/>
    <col min="5125" max="5125" width="12.3984375" style="578" bestFit="1" customWidth="1"/>
    <col min="5126" max="5126" width="10.8984375" style="578" customWidth="1"/>
    <col min="5127" max="5127" width="10" style="578" customWidth="1"/>
    <col min="5128" max="5128" width="17.5" style="578" customWidth="1"/>
    <col min="5129" max="5129" width="10.8984375" style="578" customWidth="1"/>
    <col min="5130" max="5130" width="16" style="578" customWidth="1"/>
    <col min="5131" max="5131" width="12.3984375" style="578" bestFit="1" customWidth="1"/>
    <col min="5132" max="5348" width="11" style="578"/>
    <col min="5349" max="5349" width="32.69921875" style="578" customWidth="1"/>
    <col min="5350" max="5350" width="14.5" style="578" customWidth="1"/>
    <col min="5351" max="5351" width="15.59765625" style="578" bestFit="1" customWidth="1"/>
    <col min="5352" max="5352" width="15.5" style="578" customWidth="1"/>
    <col min="5353" max="5353" width="15.59765625" style="578" customWidth="1"/>
    <col min="5354" max="5354" width="15.59765625" style="578" bestFit="1" customWidth="1"/>
    <col min="5355" max="5355" width="15.8984375" style="578" customWidth="1"/>
    <col min="5356" max="5356" width="14.8984375" style="578" customWidth="1"/>
    <col min="5357" max="5357" width="14.5" style="578" customWidth="1"/>
    <col min="5358" max="5358" width="15.8984375" style="578" customWidth="1"/>
    <col min="5359" max="5359" width="12" style="578" bestFit="1" customWidth="1"/>
    <col min="5360" max="5360" width="18.59765625" style="578" customWidth="1"/>
    <col min="5361" max="5361" width="15.09765625" style="578" customWidth="1"/>
    <col min="5362" max="5362" width="15.59765625" style="578" bestFit="1" customWidth="1"/>
    <col min="5363" max="5363" width="16.3984375" style="578" customWidth="1"/>
    <col min="5364" max="5364" width="13.8984375" style="578" customWidth="1"/>
    <col min="5365" max="5365" width="18.59765625" style="578" customWidth="1"/>
    <col min="5366" max="5366" width="3" style="578" customWidth="1"/>
    <col min="5367" max="5367" width="4" style="578" customWidth="1"/>
    <col min="5368" max="5368" width="24.5" style="578" customWidth="1"/>
    <col min="5369" max="5369" width="8.8984375" style="578" customWidth="1"/>
    <col min="5370" max="5370" width="10.8984375" style="578" customWidth="1"/>
    <col min="5371" max="5371" width="10" style="578" customWidth="1"/>
    <col min="5372" max="5372" width="17.3984375" style="578" customWidth="1"/>
    <col min="5373" max="5373" width="10.8984375" style="578" customWidth="1"/>
    <col min="5374" max="5374" width="10" style="578" customWidth="1"/>
    <col min="5375" max="5375" width="16.09765625" style="578" customWidth="1"/>
    <col min="5376" max="5376" width="10.8984375" style="578" customWidth="1"/>
    <col min="5377" max="5377" width="12" style="578" customWidth="1"/>
    <col min="5378" max="5378" width="18.8984375" style="578" customWidth="1"/>
    <col min="5379" max="5379" width="10.8984375" style="578" customWidth="1"/>
    <col min="5380" max="5380" width="16.19921875" style="578" bestFit="1" customWidth="1"/>
    <col min="5381" max="5381" width="12.3984375" style="578" bestFit="1" customWidth="1"/>
    <col min="5382" max="5382" width="10.8984375" style="578" customWidth="1"/>
    <col min="5383" max="5383" width="10" style="578" customWidth="1"/>
    <col min="5384" max="5384" width="17.5" style="578" customWidth="1"/>
    <col min="5385" max="5385" width="10.8984375" style="578" customWidth="1"/>
    <col min="5386" max="5386" width="16" style="578" customWidth="1"/>
    <col min="5387" max="5387" width="12.3984375" style="578" bestFit="1" customWidth="1"/>
    <col min="5388" max="5604" width="11" style="578"/>
    <col min="5605" max="5605" width="32.69921875" style="578" customWidth="1"/>
    <col min="5606" max="5606" width="14.5" style="578" customWidth="1"/>
    <col min="5607" max="5607" width="15.59765625" style="578" bestFit="1" customWidth="1"/>
    <col min="5608" max="5608" width="15.5" style="578" customWidth="1"/>
    <col min="5609" max="5609" width="15.59765625" style="578" customWidth="1"/>
    <col min="5610" max="5610" width="15.59765625" style="578" bestFit="1" customWidth="1"/>
    <col min="5611" max="5611" width="15.8984375" style="578" customWidth="1"/>
    <col min="5612" max="5612" width="14.8984375" style="578" customWidth="1"/>
    <col min="5613" max="5613" width="14.5" style="578" customWidth="1"/>
    <col min="5614" max="5614" width="15.8984375" style="578" customWidth="1"/>
    <col min="5615" max="5615" width="12" style="578" bestFit="1" customWidth="1"/>
    <col min="5616" max="5616" width="18.59765625" style="578" customWidth="1"/>
    <col min="5617" max="5617" width="15.09765625" style="578" customWidth="1"/>
    <col min="5618" max="5618" width="15.59765625" style="578" bestFit="1" customWidth="1"/>
    <col min="5619" max="5619" width="16.3984375" style="578" customWidth="1"/>
    <col min="5620" max="5620" width="13.8984375" style="578" customWidth="1"/>
    <col min="5621" max="5621" width="18.59765625" style="578" customWidth="1"/>
    <col min="5622" max="5622" width="3" style="578" customWidth="1"/>
    <col min="5623" max="5623" width="4" style="578" customWidth="1"/>
    <col min="5624" max="5624" width="24.5" style="578" customWidth="1"/>
    <col min="5625" max="5625" width="8.8984375" style="578" customWidth="1"/>
    <col min="5626" max="5626" width="10.8984375" style="578" customWidth="1"/>
    <col min="5627" max="5627" width="10" style="578" customWidth="1"/>
    <col min="5628" max="5628" width="17.3984375" style="578" customWidth="1"/>
    <col min="5629" max="5629" width="10.8984375" style="578" customWidth="1"/>
    <col min="5630" max="5630" width="10" style="578" customWidth="1"/>
    <col min="5631" max="5631" width="16.09765625" style="578" customWidth="1"/>
    <col min="5632" max="5632" width="10.8984375" style="578" customWidth="1"/>
    <col min="5633" max="5633" width="12" style="578" customWidth="1"/>
    <col min="5634" max="5634" width="18.8984375" style="578" customWidth="1"/>
    <col min="5635" max="5635" width="10.8984375" style="578" customWidth="1"/>
    <col min="5636" max="5636" width="16.19921875" style="578" bestFit="1" customWidth="1"/>
    <col min="5637" max="5637" width="12.3984375" style="578" bestFit="1" customWidth="1"/>
    <col min="5638" max="5638" width="10.8984375" style="578" customWidth="1"/>
    <col min="5639" max="5639" width="10" style="578" customWidth="1"/>
    <col min="5640" max="5640" width="17.5" style="578" customWidth="1"/>
    <col min="5641" max="5641" width="10.8984375" style="578" customWidth="1"/>
    <col min="5642" max="5642" width="16" style="578" customWidth="1"/>
    <col min="5643" max="5643" width="12.3984375" style="578" bestFit="1" customWidth="1"/>
    <col min="5644" max="5860" width="11" style="578"/>
    <col min="5861" max="5861" width="32.69921875" style="578" customWidth="1"/>
    <col min="5862" max="5862" width="14.5" style="578" customWidth="1"/>
    <col min="5863" max="5863" width="15.59765625" style="578" bestFit="1" customWidth="1"/>
    <col min="5864" max="5864" width="15.5" style="578" customWidth="1"/>
    <col min="5865" max="5865" width="15.59765625" style="578" customWidth="1"/>
    <col min="5866" max="5866" width="15.59765625" style="578" bestFit="1" customWidth="1"/>
    <col min="5867" max="5867" width="15.8984375" style="578" customWidth="1"/>
    <col min="5868" max="5868" width="14.8984375" style="578" customWidth="1"/>
    <col min="5869" max="5869" width="14.5" style="578" customWidth="1"/>
    <col min="5870" max="5870" width="15.8984375" style="578" customWidth="1"/>
    <col min="5871" max="5871" width="12" style="578" bestFit="1" customWidth="1"/>
    <col min="5872" max="5872" width="18.59765625" style="578" customWidth="1"/>
    <col min="5873" max="5873" width="15.09765625" style="578" customWidth="1"/>
    <col min="5874" max="5874" width="15.59765625" style="578" bestFit="1" customWidth="1"/>
    <col min="5875" max="5875" width="16.3984375" style="578" customWidth="1"/>
    <col min="5876" max="5876" width="13.8984375" style="578" customWidth="1"/>
    <col min="5877" max="5877" width="18.59765625" style="578" customWidth="1"/>
    <col min="5878" max="5878" width="3" style="578" customWidth="1"/>
    <col min="5879" max="5879" width="4" style="578" customWidth="1"/>
    <col min="5880" max="5880" width="24.5" style="578" customWidth="1"/>
    <col min="5881" max="5881" width="8.8984375" style="578" customWidth="1"/>
    <col min="5882" max="5882" width="10.8984375" style="578" customWidth="1"/>
    <col min="5883" max="5883" width="10" style="578" customWidth="1"/>
    <col min="5884" max="5884" width="17.3984375" style="578" customWidth="1"/>
    <col min="5885" max="5885" width="10.8984375" style="578" customWidth="1"/>
    <col min="5886" max="5886" width="10" style="578" customWidth="1"/>
    <col min="5887" max="5887" width="16.09765625" style="578" customWidth="1"/>
    <col min="5888" max="5888" width="10.8984375" style="578" customWidth="1"/>
    <col min="5889" max="5889" width="12" style="578" customWidth="1"/>
    <col min="5890" max="5890" width="18.8984375" style="578" customWidth="1"/>
    <col min="5891" max="5891" width="10.8984375" style="578" customWidth="1"/>
    <col min="5892" max="5892" width="16.19921875" style="578" bestFit="1" customWidth="1"/>
    <col min="5893" max="5893" width="12.3984375" style="578" bestFit="1" customWidth="1"/>
    <col min="5894" max="5894" width="10.8984375" style="578" customWidth="1"/>
    <col min="5895" max="5895" width="10" style="578" customWidth="1"/>
    <col min="5896" max="5896" width="17.5" style="578" customWidth="1"/>
    <col min="5897" max="5897" width="10.8984375" style="578" customWidth="1"/>
    <col min="5898" max="5898" width="16" style="578" customWidth="1"/>
    <col min="5899" max="5899" width="12.3984375" style="578" bestFit="1" customWidth="1"/>
    <col min="5900" max="6116" width="11" style="578"/>
    <col min="6117" max="6117" width="32.69921875" style="578" customWidth="1"/>
    <col min="6118" max="6118" width="14.5" style="578" customWidth="1"/>
    <col min="6119" max="6119" width="15.59765625" style="578" bestFit="1" customWidth="1"/>
    <col min="6120" max="6120" width="15.5" style="578" customWidth="1"/>
    <col min="6121" max="6121" width="15.59765625" style="578" customWidth="1"/>
    <col min="6122" max="6122" width="15.59765625" style="578" bestFit="1" customWidth="1"/>
    <col min="6123" max="6123" width="15.8984375" style="578" customWidth="1"/>
    <col min="6124" max="6124" width="14.8984375" style="578" customWidth="1"/>
    <col min="6125" max="6125" width="14.5" style="578" customWidth="1"/>
    <col min="6126" max="6126" width="15.8984375" style="578" customWidth="1"/>
    <col min="6127" max="6127" width="12" style="578" bestFit="1" customWidth="1"/>
    <col min="6128" max="6128" width="18.59765625" style="578" customWidth="1"/>
    <col min="6129" max="6129" width="15.09765625" style="578" customWidth="1"/>
    <col min="6130" max="6130" width="15.59765625" style="578" bestFit="1" customWidth="1"/>
    <col min="6131" max="6131" width="16.3984375" style="578" customWidth="1"/>
    <col min="6132" max="6132" width="13.8984375" style="578" customWidth="1"/>
    <col min="6133" max="6133" width="18.59765625" style="578" customWidth="1"/>
    <col min="6134" max="6134" width="3" style="578" customWidth="1"/>
    <col min="6135" max="6135" width="4" style="578" customWidth="1"/>
    <col min="6136" max="6136" width="24.5" style="578" customWidth="1"/>
    <col min="6137" max="6137" width="8.8984375" style="578" customWidth="1"/>
    <col min="6138" max="6138" width="10.8984375" style="578" customWidth="1"/>
    <col min="6139" max="6139" width="10" style="578" customWidth="1"/>
    <col min="6140" max="6140" width="17.3984375" style="578" customWidth="1"/>
    <col min="6141" max="6141" width="10.8984375" style="578" customWidth="1"/>
    <col min="6142" max="6142" width="10" style="578" customWidth="1"/>
    <col min="6143" max="6143" width="16.09765625" style="578" customWidth="1"/>
    <col min="6144" max="6144" width="10.8984375" style="578" customWidth="1"/>
    <col min="6145" max="6145" width="12" style="578" customWidth="1"/>
    <col min="6146" max="6146" width="18.8984375" style="578" customWidth="1"/>
    <col min="6147" max="6147" width="10.8984375" style="578" customWidth="1"/>
    <col min="6148" max="6148" width="16.19921875" style="578" bestFit="1" customWidth="1"/>
    <col min="6149" max="6149" width="12.3984375" style="578" bestFit="1" customWidth="1"/>
    <col min="6150" max="6150" width="10.8984375" style="578" customWidth="1"/>
    <col min="6151" max="6151" width="10" style="578" customWidth="1"/>
    <col min="6152" max="6152" width="17.5" style="578" customWidth="1"/>
    <col min="6153" max="6153" width="10.8984375" style="578" customWidth="1"/>
    <col min="6154" max="6154" width="16" style="578" customWidth="1"/>
    <col min="6155" max="6155" width="12.3984375" style="578" bestFit="1" customWidth="1"/>
    <col min="6156" max="6372" width="11" style="578"/>
    <col min="6373" max="6373" width="32.69921875" style="578" customWidth="1"/>
    <col min="6374" max="6374" width="14.5" style="578" customWidth="1"/>
    <col min="6375" max="6375" width="15.59765625" style="578" bestFit="1" customWidth="1"/>
    <col min="6376" max="6376" width="15.5" style="578" customWidth="1"/>
    <col min="6377" max="6377" width="15.59765625" style="578" customWidth="1"/>
    <col min="6378" max="6378" width="15.59765625" style="578" bestFit="1" customWidth="1"/>
    <col min="6379" max="6379" width="15.8984375" style="578" customWidth="1"/>
    <col min="6380" max="6380" width="14.8984375" style="578" customWidth="1"/>
    <col min="6381" max="6381" width="14.5" style="578" customWidth="1"/>
    <col min="6382" max="6382" width="15.8984375" style="578" customWidth="1"/>
    <col min="6383" max="6383" width="12" style="578" bestFit="1" customWidth="1"/>
    <col min="6384" max="6384" width="18.59765625" style="578" customWidth="1"/>
    <col min="6385" max="6385" width="15.09765625" style="578" customWidth="1"/>
    <col min="6386" max="6386" width="15.59765625" style="578" bestFit="1" customWidth="1"/>
    <col min="6387" max="6387" width="16.3984375" style="578" customWidth="1"/>
    <col min="6388" max="6388" width="13.8984375" style="578" customWidth="1"/>
    <col min="6389" max="6389" width="18.59765625" style="578" customWidth="1"/>
    <col min="6390" max="6390" width="3" style="578" customWidth="1"/>
    <col min="6391" max="6391" width="4" style="578" customWidth="1"/>
    <col min="6392" max="6392" width="24.5" style="578" customWidth="1"/>
    <col min="6393" max="6393" width="8.8984375" style="578" customWidth="1"/>
    <col min="6394" max="6394" width="10.8984375" style="578" customWidth="1"/>
    <col min="6395" max="6395" width="10" style="578" customWidth="1"/>
    <col min="6396" max="6396" width="17.3984375" style="578" customWidth="1"/>
    <col min="6397" max="6397" width="10.8984375" style="578" customWidth="1"/>
    <col min="6398" max="6398" width="10" style="578" customWidth="1"/>
    <col min="6399" max="6399" width="16.09765625" style="578" customWidth="1"/>
    <col min="6400" max="6400" width="10.8984375" style="578" customWidth="1"/>
    <col min="6401" max="6401" width="12" style="578" customWidth="1"/>
    <col min="6402" max="6402" width="18.8984375" style="578" customWidth="1"/>
    <col min="6403" max="6403" width="10.8984375" style="578" customWidth="1"/>
    <col min="6404" max="6404" width="16.19921875" style="578" bestFit="1" customWidth="1"/>
    <col min="6405" max="6405" width="12.3984375" style="578" bestFit="1" customWidth="1"/>
    <col min="6406" max="6406" width="10.8984375" style="578" customWidth="1"/>
    <col min="6407" max="6407" width="10" style="578" customWidth="1"/>
    <col min="6408" max="6408" width="17.5" style="578" customWidth="1"/>
    <col min="6409" max="6409" width="10.8984375" style="578" customWidth="1"/>
    <col min="6410" max="6410" width="16" style="578" customWidth="1"/>
    <col min="6411" max="6411" width="12.3984375" style="578" bestFit="1" customWidth="1"/>
    <col min="6412" max="6628" width="11" style="578"/>
    <col min="6629" max="6629" width="32.69921875" style="578" customWidth="1"/>
    <col min="6630" max="6630" width="14.5" style="578" customWidth="1"/>
    <col min="6631" max="6631" width="15.59765625" style="578" bestFit="1" customWidth="1"/>
    <col min="6632" max="6632" width="15.5" style="578" customWidth="1"/>
    <col min="6633" max="6633" width="15.59765625" style="578" customWidth="1"/>
    <col min="6634" max="6634" width="15.59765625" style="578" bestFit="1" customWidth="1"/>
    <col min="6635" max="6635" width="15.8984375" style="578" customWidth="1"/>
    <col min="6636" max="6636" width="14.8984375" style="578" customWidth="1"/>
    <col min="6637" max="6637" width="14.5" style="578" customWidth="1"/>
    <col min="6638" max="6638" width="15.8984375" style="578" customWidth="1"/>
    <col min="6639" max="6639" width="12" style="578" bestFit="1" customWidth="1"/>
    <col min="6640" max="6640" width="18.59765625" style="578" customWidth="1"/>
    <col min="6641" max="6641" width="15.09765625" style="578" customWidth="1"/>
    <col min="6642" max="6642" width="15.59765625" style="578" bestFit="1" customWidth="1"/>
    <col min="6643" max="6643" width="16.3984375" style="578" customWidth="1"/>
    <col min="6644" max="6644" width="13.8984375" style="578" customWidth="1"/>
    <col min="6645" max="6645" width="18.59765625" style="578" customWidth="1"/>
    <col min="6646" max="6646" width="3" style="578" customWidth="1"/>
    <col min="6647" max="6647" width="4" style="578" customWidth="1"/>
    <col min="6648" max="6648" width="24.5" style="578" customWidth="1"/>
    <col min="6649" max="6649" width="8.8984375" style="578" customWidth="1"/>
    <col min="6650" max="6650" width="10.8984375" style="578" customWidth="1"/>
    <col min="6651" max="6651" width="10" style="578" customWidth="1"/>
    <col min="6652" max="6652" width="17.3984375" style="578" customWidth="1"/>
    <col min="6653" max="6653" width="10.8984375" style="578" customWidth="1"/>
    <col min="6654" max="6654" width="10" style="578" customWidth="1"/>
    <col min="6655" max="6655" width="16.09765625" style="578" customWidth="1"/>
    <col min="6656" max="6656" width="10.8984375" style="578" customWidth="1"/>
    <col min="6657" max="6657" width="12" style="578" customWidth="1"/>
    <col min="6658" max="6658" width="18.8984375" style="578" customWidth="1"/>
    <col min="6659" max="6659" width="10.8984375" style="578" customWidth="1"/>
    <col min="6660" max="6660" width="16.19921875" style="578" bestFit="1" customWidth="1"/>
    <col min="6661" max="6661" width="12.3984375" style="578" bestFit="1" customWidth="1"/>
    <col min="6662" max="6662" width="10.8984375" style="578" customWidth="1"/>
    <col min="6663" max="6663" width="10" style="578" customWidth="1"/>
    <col min="6664" max="6664" width="17.5" style="578" customWidth="1"/>
    <col min="6665" max="6665" width="10.8984375" style="578" customWidth="1"/>
    <col min="6666" max="6666" width="16" style="578" customWidth="1"/>
    <col min="6667" max="6667" width="12.3984375" style="578" bestFit="1" customWidth="1"/>
    <col min="6668" max="6884" width="11" style="578"/>
    <col min="6885" max="6885" width="32.69921875" style="578" customWidth="1"/>
    <col min="6886" max="6886" width="14.5" style="578" customWidth="1"/>
    <col min="6887" max="6887" width="15.59765625" style="578" bestFit="1" customWidth="1"/>
    <col min="6888" max="6888" width="15.5" style="578" customWidth="1"/>
    <col min="6889" max="6889" width="15.59765625" style="578" customWidth="1"/>
    <col min="6890" max="6890" width="15.59765625" style="578" bestFit="1" customWidth="1"/>
    <col min="6891" max="6891" width="15.8984375" style="578" customWidth="1"/>
    <col min="6892" max="6892" width="14.8984375" style="578" customWidth="1"/>
    <col min="6893" max="6893" width="14.5" style="578" customWidth="1"/>
    <col min="6894" max="6894" width="15.8984375" style="578" customWidth="1"/>
    <col min="6895" max="6895" width="12" style="578" bestFit="1" customWidth="1"/>
    <col min="6896" max="6896" width="18.59765625" style="578" customWidth="1"/>
    <col min="6897" max="6897" width="15.09765625" style="578" customWidth="1"/>
    <col min="6898" max="6898" width="15.59765625" style="578" bestFit="1" customWidth="1"/>
    <col min="6899" max="6899" width="16.3984375" style="578" customWidth="1"/>
    <col min="6900" max="6900" width="13.8984375" style="578" customWidth="1"/>
    <col min="6901" max="6901" width="18.59765625" style="578" customWidth="1"/>
    <col min="6902" max="6902" width="3" style="578" customWidth="1"/>
    <col min="6903" max="6903" width="4" style="578" customWidth="1"/>
    <col min="6904" max="6904" width="24.5" style="578" customWidth="1"/>
    <col min="6905" max="6905" width="8.8984375" style="578" customWidth="1"/>
    <col min="6906" max="6906" width="10.8984375" style="578" customWidth="1"/>
    <col min="6907" max="6907" width="10" style="578" customWidth="1"/>
    <col min="6908" max="6908" width="17.3984375" style="578" customWidth="1"/>
    <col min="6909" max="6909" width="10.8984375" style="578" customWidth="1"/>
    <col min="6910" max="6910" width="10" style="578" customWidth="1"/>
    <col min="6911" max="6911" width="16.09765625" style="578" customWidth="1"/>
    <col min="6912" max="6912" width="10.8984375" style="578" customWidth="1"/>
    <col min="6913" max="6913" width="12" style="578" customWidth="1"/>
    <col min="6914" max="6914" width="18.8984375" style="578" customWidth="1"/>
    <col min="6915" max="6915" width="10.8984375" style="578" customWidth="1"/>
    <col min="6916" max="6916" width="16.19921875" style="578" bestFit="1" customWidth="1"/>
    <col min="6917" max="6917" width="12.3984375" style="578" bestFit="1" customWidth="1"/>
    <col min="6918" max="6918" width="10.8984375" style="578" customWidth="1"/>
    <col min="6919" max="6919" width="10" style="578" customWidth="1"/>
    <col min="6920" max="6920" width="17.5" style="578" customWidth="1"/>
    <col min="6921" max="6921" width="10.8984375" style="578" customWidth="1"/>
    <col min="6922" max="6922" width="16" style="578" customWidth="1"/>
    <col min="6923" max="6923" width="12.3984375" style="578" bestFit="1" customWidth="1"/>
    <col min="6924" max="7140" width="11" style="578"/>
    <col min="7141" max="7141" width="32.69921875" style="578" customWidth="1"/>
    <col min="7142" max="7142" width="14.5" style="578" customWidth="1"/>
    <col min="7143" max="7143" width="15.59765625" style="578" bestFit="1" customWidth="1"/>
    <col min="7144" max="7144" width="15.5" style="578" customWidth="1"/>
    <col min="7145" max="7145" width="15.59765625" style="578" customWidth="1"/>
    <col min="7146" max="7146" width="15.59765625" style="578" bestFit="1" customWidth="1"/>
    <col min="7147" max="7147" width="15.8984375" style="578" customWidth="1"/>
    <col min="7148" max="7148" width="14.8984375" style="578" customWidth="1"/>
    <col min="7149" max="7149" width="14.5" style="578" customWidth="1"/>
    <col min="7150" max="7150" width="15.8984375" style="578" customWidth="1"/>
    <col min="7151" max="7151" width="12" style="578" bestFit="1" customWidth="1"/>
    <col min="7152" max="7152" width="18.59765625" style="578" customWidth="1"/>
    <col min="7153" max="7153" width="15.09765625" style="578" customWidth="1"/>
    <col min="7154" max="7154" width="15.59765625" style="578" bestFit="1" customWidth="1"/>
    <col min="7155" max="7155" width="16.3984375" style="578" customWidth="1"/>
    <col min="7156" max="7156" width="13.8984375" style="578" customWidth="1"/>
    <col min="7157" max="7157" width="18.59765625" style="578" customWidth="1"/>
    <col min="7158" max="7158" width="3" style="578" customWidth="1"/>
    <col min="7159" max="7159" width="4" style="578" customWidth="1"/>
    <col min="7160" max="7160" width="24.5" style="578" customWidth="1"/>
    <col min="7161" max="7161" width="8.8984375" style="578" customWidth="1"/>
    <col min="7162" max="7162" width="10.8984375" style="578" customWidth="1"/>
    <col min="7163" max="7163" width="10" style="578" customWidth="1"/>
    <col min="7164" max="7164" width="17.3984375" style="578" customWidth="1"/>
    <col min="7165" max="7165" width="10.8984375" style="578" customWidth="1"/>
    <col min="7166" max="7166" width="10" style="578" customWidth="1"/>
    <col min="7167" max="7167" width="16.09765625" style="578" customWidth="1"/>
    <col min="7168" max="7168" width="10.8984375" style="578" customWidth="1"/>
    <col min="7169" max="7169" width="12" style="578" customWidth="1"/>
    <col min="7170" max="7170" width="18.8984375" style="578" customWidth="1"/>
    <col min="7171" max="7171" width="10.8984375" style="578" customWidth="1"/>
    <col min="7172" max="7172" width="16.19921875" style="578" bestFit="1" customWidth="1"/>
    <col min="7173" max="7173" width="12.3984375" style="578" bestFit="1" customWidth="1"/>
    <col min="7174" max="7174" width="10.8984375" style="578" customWidth="1"/>
    <col min="7175" max="7175" width="10" style="578" customWidth="1"/>
    <col min="7176" max="7176" width="17.5" style="578" customWidth="1"/>
    <col min="7177" max="7177" width="10.8984375" style="578" customWidth="1"/>
    <col min="7178" max="7178" width="16" style="578" customWidth="1"/>
    <col min="7179" max="7179" width="12.3984375" style="578" bestFit="1" customWidth="1"/>
    <col min="7180" max="7396" width="11" style="578"/>
    <col min="7397" max="7397" width="32.69921875" style="578" customWidth="1"/>
    <col min="7398" max="7398" width="14.5" style="578" customWidth="1"/>
    <col min="7399" max="7399" width="15.59765625" style="578" bestFit="1" customWidth="1"/>
    <col min="7400" max="7400" width="15.5" style="578" customWidth="1"/>
    <col min="7401" max="7401" width="15.59765625" style="578" customWidth="1"/>
    <col min="7402" max="7402" width="15.59765625" style="578" bestFit="1" customWidth="1"/>
    <col min="7403" max="7403" width="15.8984375" style="578" customWidth="1"/>
    <col min="7404" max="7404" width="14.8984375" style="578" customWidth="1"/>
    <col min="7405" max="7405" width="14.5" style="578" customWidth="1"/>
    <col min="7406" max="7406" width="15.8984375" style="578" customWidth="1"/>
    <col min="7407" max="7407" width="12" style="578" bestFit="1" customWidth="1"/>
    <col min="7408" max="7408" width="18.59765625" style="578" customWidth="1"/>
    <col min="7409" max="7409" width="15.09765625" style="578" customWidth="1"/>
    <col min="7410" max="7410" width="15.59765625" style="578" bestFit="1" customWidth="1"/>
    <col min="7411" max="7411" width="16.3984375" style="578" customWidth="1"/>
    <col min="7412" max="7412" width="13.8984375" style="578" customWidth="1"/>
    <col min="7413" max="7413" width="18.59765625" style="578" customWidth="1"/>
    <col min="7414" max="7414" width="3" style="578" customWidth="1"/>
    <col min="7415" max="7415" width="4" style="578" customWidth="1"/>
    <col min="7416" max="7416" width="24.5" style="578" customWidth="1"/>
    <col min="7417" max="7417" width="8.8984375" style="578" customWidth="1"/>
    <col min="7418" max="7418" width="10.8984375" style="578" customWidth="1"/>
    <col min="7419" max="7419" width="10" style="578" customWidth="1"/>
    <col min="7420" max="7420" width="17.3984375" style="578" customWidth="1"/>
    <col min="7421" max="7421" width="10.8984375" style="578" customWidth="1"/>
    <col min="7422" max="7422" width="10" style="578" customWidth="1"/>
    <col min="7423" max="7423" width="16.09765625" style="578" customWidth="1"/>
    <col min="7424" max="7424" width="10.8984375" style="578" customWidth="1"/>
    <col min="7425" max="7425" width="12" style="578" customWidth="1"/>
    <col min="7426" max="7426" width="18.8984375" style="578" customWidth="1"/>
    <col min="7427" max="7427" width="10.8984375" style="578" customWidth="1"/>
    <col min="7428" max="7428" width="16.19921875" style="578" bestFit="1" customWidth="1"/>
    <col min="7429" max="7429" width="12.3984375" style="578" bestFit="1" customWidth="1"/>
    <col min="7430" max="7430" width="10.8984375" style="578" customWidth="1"/>
    <col min="7431" max="7431" width="10" style="578" customWidth="1"/>
    <col min="7432" max="7432" width="17.5" style="578" customWidth="1"/>
    <col min="7433" max="7433" width="10.8984375" style="578" customWidth="1"/>
    <col min="7434" max="7434" width="16" style="578" customWidth="1"/>
    <col min="7435" max="7435" width="12.3984375" style="578" bestFit="1" customWidth="1"/>
    <col min="7436" max="7652" width="11" style="578"/>
    <col min="7653" max="7653" width="32.69921875" style="578" customWidth="1"/>
    <col min="7654" max="7654" width="14.5" style="578" customWidth="1"/>
    <col min="7655" max="7655" width="15.59765625" style="578" bestFit="1" customWidth="1"/>
    <col min="7656" max="7656" width="15.5" style="578" customWidth="1"/>
    <col min="7657" max="7657" width="15.59765625" style="578" customWidth="1"/>
    <col min="7658" max="7658" width="15.59765625" style="578" bestFit="1" customWidth="1"/>
    <col min="7659" max="7659" width="15.8984375" style="578" customWidth="1"/>
    <col min="7660" max="7660" width="14.8984375" style="578" customWidth="1"/>
    <col min="7661" max="7661" width="14.5" style="578" customWidth="1"/>
    <col min="7662" max="7662" width="15.8984375" style="578" customWidth="1"/>
    <col min="7663" max="7663" width="12" style="578" bestFit="1" customWidth="1"/>
    <col min="7664" max="7664" width="18.59765625" style="578" customWidth="1"/>
    <col min="7665" max="7665" width="15.09765625" style="578" customWidth="1"/>
    <col min="7666" max="7666" width="15.59765625" style="578" bestFit="1" customWidth="1"/>
    <col min="7667" max="7667" width="16.3984375" style="578" customWidth="1"/>
    <col min="7668" max="7668" width="13.8984375" style="578" customWidth="1"/>
    <col min="7669" max="7669" width="18.59765625" style="578" customWidth="1"/>
    <col min="7670" max="7670" width="3" style="578" customWidth="1"/>
    <col min="7671" max="7671" width="4" style="578" customWidth="1"/>
    <col min="7672" max="7672" width="24.5" style="578" customWidth="1"/>
    <col min="7673" max="7673" width="8.8984375" style="578" customWidth="1"/>
    <col min="7674" max="7674" width="10.8984375" style="578" customWidth="1"/>
    <col min="7675" max="7675" width="10" style="578" customWidth="1"/>
    <col min="7676" max="7676" width="17.3984375" style="578" customWidth="1"/>
    <col min="7677" max="7677" width="10.8984375" style="578" customWidth="1"/>
    <col min="7678" max="7678" width="10" style="578" customWidth="1"/>
    <col min="7679" max="7679" width="16.09765625" style="578" customWidth="1"/>
    <col min="7680" max="7680" width="10.8984375" style="578" customWidth="1"/>
    <col min="7681" max="7681" width="12" style="578" customWidth="1"/>
    <col min="7682" max="7682" width="18.8984375" style="578" customWidth="1"/>
    <col min="7683" max="7683" width="10.8984375" style="578" customWidth="1"/>
    <col min="7684" max="7684" width="16.19921875" style="578" bestFit="1" customWidth="1"/>
    <col min="7685" max="7685" width="12.3984375" style="578" bestFit="1" customWidth="1"/>
    <col min="7686" max="7686" width="10.8984375" style="578" customWidth="1"/>
    <col min="7687" max="7687" width="10" style="578" customWidth="1"/>
    <col min="7688" max="7688" width="17.5" style="578" customWidth="1"/>
    <col min="7689" max="7689" width="10.8984375" style="578" customWidth="1"/>
    <col min="7690" max="7690" width="16" style="578" customWidth="1"/>
    <col min="7691" max="7691" width="12.3984375" style="578" bestFit="1" customWidth="1"/>
    <col min="7692" max="7908" width="11" style="578"/>
    <col min="7909" max="7909" width="32.69921875" style="578" customWidth="1"/>
    <col min="7910" max="7910" width="14.5" style="578" customWidth="1"/>
    <col min="7911" max="7911" width="15.59765625" style="578" bestFit="1" customWidth="1"/>
    <col min="7912" max="7912" width="15.5" style="578" customWidth="1"/>
    <col min="7913" max="7913" width="15.59765625" style="578" customWidth="1"/>
    <col min="7914" max="7914" width="15.59765625" style="578" bestFit="1" customWidth="1"/>
    <col min="7915" max="7915" width="15.8984375" style="578" customWidth="1"/>
    <col min="7916" max="7916" width="14.8984375" style="578" customWidth="1"/>
    <col min="7917" max="7917" width="14.5" style="578" customWidth="1"/>
    <col min="7918" max="7918" width="15.8984375" style="578" customWidth="1"/>
    <col min="7919" max="7919" width="12" style="578" bestFit="1" customWidth="1"/>
    <col min="7920" max="7920" width="18.59765625" style="578" customWidth="1"/>
    <col min="7921" max="7921" width="15.09765625" style="578" customWidth="1"/>
    <col min="7922" max="7922" width="15.59765625" style="578" bestFit="1" customWidth="1"/>
    <col min="7923" max="7923" width="16.3984375" style="578" customWidth="1"/>
    <col min="7924" max="7924" width="13.8984375" style="578" customWidth="1"/>
    <col min="7925" max="7925" width="18.59765625" style="578" customWidth="1"/>
    <col min="7926" max="7926" width="3" style="578" customWidth="1"/>
    <col min="7927" max="7927" width="4" style="578" customWidth="1"/>
    <col min="7928" max="7928" width="24.5" style="578" customWidth="1"/>
    <col min="7929" max="7929" width="8.8984375" style="578" customWidth="1"/>
    <col min="7930" max="7930" width="10.8984375" style="578" customWidth="1"/>
    <col min="7931" max="7931" width="10" style="578" customWidth="1"/>
    <col min="7932" max="7932" width="17.3984375" style="578" customWidth="1"/>
    <col min="7933" max="7933" width="10.8984375" style="578" customWidth="1"/>
    <col min="7934" max="7934" width="10" style="578" customWidth="1"/>
    <col min="7935" max="7935" width="16.09765625" style="578" customWidth="1"/>
    <col min="7936" max="7936" width="10.8984375" style="578" customWidth="1"/>
    <col min="7937" max="7937" width="12" style="578" customWidth="1"/>
    <col min="7938" max="7938" width="18.8984375" style="578" customWidth="1"/>
    <col min="7939" max="7939" width="10.8984375" style="578" customWidth="1"/>
    <col min="7940" max="7940" width="16.19921875" style="578" bestFit="1" customWidth="1"/>
    <col min="7941" max="7941" width="12.3984375" style="578" bestFit="1" customWidth="1"/>
    <col min="7942" max="7942" width="10.8984375" style="578" customWidth="1"/>
    <col min="7943" max="7943" width="10" style="578" customWidth="1"/>
    <col min="7944" max="7944" width="17.5" style="578" customWidth="1"/>
    <col min="7945" max="7945" width="10.8984375" style="578" customWidth="1"/>
    <col min="7946" max="7946" width="16" style="578" customWidth="1"/>
    <col min="7947" max="7947" width="12.3984375" style="578" bestFit="1" customWidth="1"/>
    <col min="7948" max="8164" width="11" style="578"/>
    <col min="8165" max="8165" width="32.69921875" style="578" customWidth="1"/>
    <col min="8166" max="8166" width="14.5" style="578" customWidth="1"/>
    <col min="8167" max="8167" width="15.59765625" style="578" bestFit="1" customWidth="1"/>
    <col min="8168" max="8168" width="15.5" style="578" customWidth="1"/>
    <col min="8169" max="8169" width="15.59765625" style="578" customWidth="1"/>
    <col min="8170" max="8170" width="15.59765625" style="578" bestFit="1" customWidth="1"/>
    <col min="8171" max="8171" width="15.8984375" style="578" customWidth="1"/>
    <col min="8172" max="8172" width="14.8984375" style="578" customWidth="1"/>
    <col min="8173" max="8173" width="14.5" style="578" customWidth="1"/>
    <col min="8174" max="8174" width="15.8984375" style="578" customWidth="1"/>
    <col min="8175" max="8175" width="12" style="578" bestFit="1" customWidth="1"/>
    <col min="8176" max="8176" width="18.59765625" style="578" customWidth="1"/>
    <col min="8177" max="8177" width="15.09765625" style="578" customWidth="1"/>
    <col min="8178" max="8178" width="15.59765625" style="578" bestFit="1" customWidth="1"/>
    <col min="8179" max="8179" width="16.3984375" style="578" customWidth="1"/>
    <col min="8180" max="8180" width="13.8984375" style="578" customWidth="1"/>
    <col min="8181" max="8181" width="18.59765625" style="578" customWidth="1"/>
    <col min="8182" max="8182" width="3" style="578" customWidth="1"/>
    <col min="8183" max="8183" width="4" style="578" customWidth="1"/>
    <col min="8184" max="8184" width="24.5" style="578" customWidth="1"/>
    <col min="8185" max="8185" width="8.8984375" style="578" customWidth="1"/>
    <col min="8186" max="8186" width="10.8984375" style="578" customWidth="1"/>
    <col min="8187" max="8187" width="10" style="578" customWidth="1"/>
    <col min="8188" max="8188" width="17.3984375" style="578" customWidth="1"/>
    <col min="8189" max="8189" width="10.8984375" style="578" customWidth="1"/>
    <col min="8190" max="8190" width="10" style="578" customWidth="1"/>
    <col min="8191" max="8191" width="16.09765625" style="578" customWidth="1"/>
    <col min="8192" max="8192" width="10.8984375" style="578" customWidth="1"/>
    <col min="8193" max="8193" width="12" style="578" customWidth="1"/>
    <col min="8194" max="8194" width="18.8984375" style="578" customWidth="1"/>
    <col min="8195" max="8195" width="10.8984375" style="578" customWidth="1"/>
    <col min="8196" max="8196" width="16.19921875" style="578" bestFit="1" customWidth="1"/>
    <col min="8197" max="8197" width="12.3984375" style="578" bestFit="1" customWidth="1"/>
    <col min="8198" max="8198" width="10.8984375" style="578" customWidth="1"/>
    <col min="8199" max="8199" width="10" style="578" customWidth="1"/>
    <col min="8200" max="8200" width="17.5" style="578" customWidth="1"/>
    <col min="8201" max="8201" width="10.8984375" style="578" customWidth="1"/>
    <col min="8202" max="8202" width="16" style="578" customWidth="1"/>
    <col min="8203" max="8203" width="12.3984375" style="578" bestFit="1" customWidth="1"/>
    <col min="8204" max="8420" width="11" style="578"/>
    <col min="8421" max="8421" width="32.69921875" style="578" customWidth="1"/>
    <col min="8422" max="8422" width="14.5" style="578" customWidth="1"/>
    <col min="8423" max="8423" width="15.59765625" style="578" bestFit="1" customWidth="1"/>
    <col min="8424" max="8424" width="15.5" style="578" customWidth="1"/>
    <col min="8425" max="8425" width="15.59765625" style="578" customWidth="1"/>
    <col min="8426" max="8426" width="15.59765625" style="578" bestFit="1" customWidth="1"/>
    <col min="8427" max="8427" width="15.8984375" style="578" customWidth="1"/>
    <col min="8428" max="8428" width="14.8984375" style="578" customWidth="1"/>
    <col min="8429" max="8429" width="14.5" style="578" customWidth="1"/>
    <col min="8430" max="8430" width="15.8984375" style="578" customWidth="1"/>
    <col min="8431" max="8431" width="12" style="578" bestFit="1" customWidth="1"/>
    <col min="8432" max="8432" width="18.59765625" style="578" customWidth="1"/>
    <col min="8433" max="8433" width="15.09765625" style="578" customWidth="1"/>
    <col min="8434" max="8434" width="15.59765625" style="578" bestFit="1" customWidth="1"/>
    <col min="8435" max="8435" width="16.3984375" style="578" customWidth="1"/>
    <col min="8436" max="8436" width="13.8984375" style="578" customWidth="1"/>
    <col min="8437" max="8437" width="18.59765625" style="578" customWidth="1"/>
    <col min="8438" max="8438" width="3" style="578" customWidth="1"/>
    <col min="8439" max="8439" width="4" style="578" customWidth="1"/>
    <col min="8440" max="8440" width="24.5" style="578" customWidth="1"/>
    <col min="8441" max="8441" width="8.8984375" style="578" customWidth="1"/>
    <col min="8442" max="8442" width="10.8984375" style="578" customWidth="1"/>
    <col min="8443" max="8443" width="10" style="578" customWidth="1"/>
    <col min="8444" max="8444" width="17.3984375" style="578" customWidth="1"/>
    <col min="8445" max="8445" width="10.8984375" style="578" customWidth="1"/>
    <col min="8446" max="8446" width="10" style="578" customWidth="1"/>
    <col min="8447" max="8447" width="16.09765625" style="578" customWidth="1"/>
    <col min="8448" max="8448" width="10.8984375" style="578" customWidth="1"/>
    <col min="8449" max="8449" width="12" style="578" customWidth="1"/>
    <col min="8450" max="8450" width="18.8984375" style="578" customWidth="1"/>
    <col min="8451" max="8451" width="10.8984375" style="578" customWidth="1"/>
    <col min="8452" max="8452" width="16.19921875" style="578" bestFit="1" customWidth="1"/>
    <col min="8453" max="8453" width="12.3984375" style="578" bestFit="1" customWidth="1"/>
    <col min="8454" max="8454" width="10.8984375" style="578" customWidth="1"/>
    <col min="8455" max="8455" width="10" style="578" customWidth="1"/>
    <col min="8456" max="8456" width="17.5" style="578" customWidth="1"/>
    <col min="8457" max="8457" width="10.8984375" style="578" customWidth="1"/>
    <col min="8458" max="8458" width="16" style="578" customWidth="1"/>
    <col min="8459" max="8459" width="12.3984375" style="578" bestFit="1" customWidth="1"/>
    <col min="8460" max="8676" width="11" style="578"/>
    <col min="8677" max="8677" width="32.69921875" style="578" customWidth="1"/>
    <col min="8678" max="8678" width="14.5" style="578" customWidth="1"/>
    <col min="8679" max="8679" width="15.59765625" style="578" bestFit="1" customWidth="1"/>
    <col min="8680" max="8680" width="15.5" style="578" customWidth="1"/>
    <col min="8681" max="8681" width="15.59765625" style="578" customWidth="1"/>
    <col min="8682" max="8682" width="15.59765625" style="578" bestFit="1" customWidth="1"/>
    <col min="8683" max="8683" width="15.8984375" style="578" customWidth="1"/>
    <col min="8684" max="8684" width="14.8984375" style="578" customWidth="1"/>
    <col min="8685" max="8685" width="14.5" style="578" customWidth="1"/>
    <col min="8686" max="8686" width="15.8984375" style="578" customWidth="1"/>
    <col min="8687" max="8687" width="12" style="578" bestFit="1" customWidth="1"/>
    <col min="8688" max="8688" width="18.59765625" style="578" customWidth="1"/>
    <col min="8689" max="8689" width="15.09765625" style="578" customWidth="1"/>
    <col min="8690" max="8690" width="15.59765625" style="578" bestFit="1" customWidth="1"/>
    <col min="8691" max="8691" width="16.3984375" style="578" customWidth="1"/>
    <col min="8692" max="8692" width="13.8984375" style="578" customWidth="1"/>
    <col min="8693" max="8693" width="18.59765625" style="578" customWidth="1"/>
    <col min="8694" max="8694" width="3" style="578" customWidth="1"/>
    <col min="8695" max="8695" width="4" style="578" customWidth="1"/>
    <col min="8696" max="8696" width="24.5" style="578" customWidth="1"/>
    <col min="8697" max="8697" width="8.8984375" style="578" customWidth="1"/>
    <col min="8698" max="8698" width="10.8984375" style="578" customWidth="1"/>
    <col min="8699" max="8699" width="10" style="578" customWidth="1"/>
    <col min="8700" max="8700" width="17.3984375" style="578" customWidth="1"/>
    <col min="8701" max="8701" width="10.8984375" style="578" customWidth="1"/>
    <col min="8702" max="8702" width="10" style="578" customWidth="1"/>
    <col min="8703" max="8703" width="16.09765625" style="578" customWidth="1"/>
    <col min="8704" max="8704" width="10.8984375" style="578" customWidth="1"/>
    <col min="8705" max="8705" width="12" style="578" customWidth="1"/>
    <col min="8706" max="8706" width="18.8984375" style="578" customWidth="1"/>
    <col min="8707" max="8707" width="10.8984375" style="578" customWidth="1"/>
    <col min="8708" max="8708" width="16.19921875" style="578" bestFit="1" customWidth="1"/>
    <col min="8709" max="8709" width="12.3984375" style="578" bestFit="1" customWidth="1"/>
    <col min="8710" max="8710" width="10.8984375" style="578" customWidth="1"/>
    <col min="8711" max="8711" width="10" style="578" customWidth="1"/>
    <col min="8712" max="8712" width="17.5" style="578" customWidth="1"/>
    <col min="8713" max="8713" width="10.8984375" style="578" customWidth="1"/>
    <col min="8714" max="8714" width="16" style="578" customWidth="1"/>
    <col min="8715" max="8715" width="12.3984375" style="578" bestFit="1" customWidth="1"/>
    <col min="8716" max="8932" width="11" style="578"/>
    <col min="8933" max="8933" width="32.69921875" style="578" customWidth="1"/>
    <col min="8934" max="8934" width="14.5" style="578" customWidth="1"/>
    <col min="8935" max="8935" width="15.59765625" style="578" bestFit="1" customWidth="1"/>
    <col min="8936" max="8936" width="15.5" style="578" customWidth="1"/>
    <col min="8937" max="8937" width="15.59765625" style="578" customWidth="1"/>
    <col min="8938" max="8938" width="15.59765625" style="578" bestFit="1" customWidth="1"/>
    <col min="8939" max="8939" width="15.8984375" style="578" customWidth="1"/>
    <col min="8940" max="8940" width="14.8984375" style="578" customWidth="1"/>
    <col min="8941" max="8941" width="14.5" style="578" customWidth="1"/>
    <col min="8942" max="8942" width="15.8984375" style="578" customWidth="1"/>
    <col min="8943" max="8943" width="12" style="578" bestFit="1" customWidth="1"/>
    <col min="8944" max="8944" width="18.59765625" style="578" customWidth="1"/>
    <col min="8945" max="8945" width="15.09765625" style="578" customWidth="1"/>
    <col min="8946" max="8946" width="15.59765625" style="578" bestFit="1" customWidth="1"/>
    <col min="8947" max="8947" width="16.3984375" style="578" customWidth="1"/>
    <col min="8948" max="8948" width="13.8984375" style="578" customWidth="1"/>
    <col min="8949" max="8949" width="18.59765625" style="578" customWidth="1"/>
    <col min="8950" max="8950" width="3" style="578" customWidth="1"/>
    <col min="8951" max="8951" width="4" style="578" customWidth="1"/>
    <col min="8952" max="8952" width="24.5" style="578" customWidth="1"/>
    <col min="8953" max="8953" width="8.8984375" style="578" customWidth="1"/>
    <col min="8954" max="8954" width="10.8984375" style="578" customWidth="1"/>
    <col min="8955" max="8955" width="10" style="578" customWidth="1"/>
    <col min="8956" max="8956" width="17.3984375" style="578" customWidth="1"/>
    <col min="8957" max="8957" width="10.8984375" style="578" customWidth="1"/>
    <col min="8958" max="8958" width="10" style="578" customWidth="1"/>
    <col min="8959" max="8959" width="16.09765625" style="578" customWidth="1"/>
    <col min="8960" max="8960" width="10.8984375" style="578" customWidth="1"/>
    <col min="8961" max="8961" width="12" style="578" customWidth="1"/>
    <col min="8962" max="8962" width="18.8984375" style="578" customWidth="1"/>
    <col min="8963" max="8963" width="10.8984375" style="578" customWidth="1"/>
    <col min="8964" max="8964" width="16.19921875" style="578" bestFit="1" customWidth="1"/>
    <col min="8965" max="8965" width="12.3984375" style="578" bestFit="1" customWidth="1"/>
    <col min="8966" max="8966" width="10.8984375" style="578" customWidth="1"/>
    <col min="8967" max="8967" width="10" style="578" customWidth="1"/>
    <col min="8968" max="8968" width="17.5" style="578" customWidth="1"/>
    <col min="8969" max="8969" width="10.8984375" style="578" customWidth="1"/>
    <col min="8970" max="8970" width="16" style="578" customWidth="1"/>
    <col min="8971" max="8971" width="12.3984375" style="578" bestFit="1" customWidth="1"/>
    <col min="8972" max="9188" width="11" style="578"/>
    <col min="9189" max="9189" width="32.69921875" style="578" customWidth="1"/>
    <col min="9190" max="9190" width="14.5" style="578" customWidth="1"/>
    <col min="9191" max="9191" width="15.59765625" style="578" bestFit="1" customWidth="1"/>
    <col min="9192" max="9192" width="15.5" style="578" customWidth="1"/>
    <col min="9193" max="9193" width="15.59765625" style="578" customWidth="1"/>
    <col min="9194" max="9194" width="15.59765625" style="578" bestFit="1" customWidth="1"/>
    <col min="9195" max="9195" width="15.8984375" style="578" customWidth="1"/>
    <col min="9196" max="9196" width="14.8984375" style="578" customWidth="1"/>
    <col min="9197" max="9197" width="14.5" style="578" customWidth="1"/>
    <col min="9198" max="9198" width="15.8984375" style="578" customWidth="1"/>
    <col min="9199" max="9199" width="12" style="578" bestFit="1" customWidth="1"/>
    <col min="9200" max="9200" width="18.59765625" style="578" customWidth="1"/>
    <col min="9201" max="9201" width="15.09765625" style="578" customWidth="1"/>
    <col min="9202" max="9202" width="15.59765625" style="578" bestFit="1" customWidth="1"/>
    <col min="9203" max="9203" width="16.3984375" style="578" customWidth="1"/>
    <col min="9204" max="9204" width="13.8984375" style="578" customWidth="1"/>
    <col min="9205" max="9205" width="18.59765625" style="578" customWidth="1"/>
    <col min="9206" max="9206" width="3" style="578" customWidth="1"/>
    <col min="9207" max="9207" width="4" style="578" customWidth="1"/>
    <col min="9208" max="9208" width="24.5" style="578" customWidth="1"/>
    <col min="9209" max="9209" width="8.8984375" style="578" customWidth="1"/>
    <col min="9210" max="9210" width="10.8984375" style="578" customWidth="1"/>
    <col min="9211" max="9211" width="10" style="578" customWidth="1"/>
    <col min="9212" max="9212" width="17.3984375" style="578" customWidth="1"/>
    <col min="9213" max="9213" width="10.8984375" style="578" customWidth="1"/>
    <col min="9214" max="9214" width="10" style="578" customWidth="1"/>
    <col min="9215" max="9215" width="16.09765625" style="578" customWidth="1"/>
    <col min="9216" max="9216" width="10.8984375" style="578" customWidth="1"/>
    <col min="9217" max="9217" width="12" style="578" customWidth="1"/>
    <col min="9218" max="9218" width="18.8984375" style="578" customWidth="1"/>
    <col min="9219" max="9219" width="10.8984375" style="578" customWidth="1"/>
    <col min="9220" max="9220" width="16.19921875" style="578" bestFit="1" customWidth="1"/>
    <col min="9221" max="9221" width="12.3984375" style="578" bestFit="1" customWidth="1"/>
    <col min="9222" max="9222" width="10.8984375" style="578" customWidth="1"/>
    <col min="9223" max="9223" width="10" style="578" customWidth="1"/>
    <col min="9224" max="9224" width="17.5" style="578" customWidth="1"/>
    <col min="9225" max="9225" width="10.8984375" style="578" customWidth="1"/>
    <col min="9226" max="9226" width="16" style="578" customWidth="1"/>
    <col min="9227" max="9227" width="12.3984375" style="578" bestFit="1" customWidth="1"/>
    <col min="9228" max="9444" width="11" style="578"/>
    <col min="9445" max="9445" width="32.69921875" style="578" customWidth="1"/>
    <col min="9446" max="9446" width="14.5" style="578" customWidth="1"/>
    <col min="9447" max="9447" width="15.59765625" style="578" bestFit="1" customWidth="1"/>
    <col min="9448" max="9448" width="15.5" style="578" customWidth="1"/>
    <col min="9449" max="9449" width="15.59765625" style="578" customWidth="1"/>
    <col min="9450" max="9450" width="15.59765625" style="578" bestFit="1" customWidth="1"/>
    <col min="9451" max="9451" width="15.8984375" style="578" customWidth="1"/>
    <col min="9452" max="9452" width="14.8984375" style="578" customWidth="1"/>
    <col min="9453" max="9453" width="14.5" style="578" customWidth="1"/>
    <col min="9454" max="9454" width="15.8984375" style="578" customWidth="1"/>
    <col min="9455" max="9455" width="12" style="578" bestFit="1" customWidth="1"/>
    <col min="9456" max="9456" width="18.59765625" style="578" customWidth="1"/>
    <col min="9457" max="9457" width="15.09765625" style="578" customWidth="1"/>
    <col min="9458" max="9458" width="15.59765625" style="578" bestFit="1" customWidth="1"/>
    <col min="9459" max="9459" width="16.3984375" style="578" customWidth="1"/>
    <col min="9460" max="9460" width="13.8984375" style="578" customWidth="1"/>
    <col min="9461" max="9461" width="18.59765625" style="578" customWidth="1"/>
    <col min="9462" max="9462" width="3" style="578" customWidth="1"/>
    <col min="9463" max="9463" width="4" style="578" customWidth="1"/>
    <col min="9464" max="9464" width="24.5" style="578" customWidth="1"/>
    <col min="9465" max="9465" width="8.8984375" style="578" customWidth="1"/>
    <col min="9466" max="9466" width="10.8984375" style="578" customWidth="1"/>
    <col min="9467" max="9467" width="10" style="578" customWidth="1"/>
    <col min="9468" max="9468" width="17.3984375" style="578" customWidth="1"/>
    <col min="9469" max="9469" width="10.8984375" style="578" customWidth="1"/>
    <col min="9470" max="9470" width="10" style="578" customWidth="1"/>
    <col min="9471" max="9471" width="16.09765625" style="578" customWidth="1"/>
    <col min="9472" max="9472" width="10.8984375" style="578" customWidth="1"/>
    <col min="9473" max="9473" width="12" style="578" customWidth="1"/>
    <col min="9474" max="9474" width="18.8984375" style="578" customWidth="1"/>
    <col min="9475" max="9475" width="10.8984375" style="578" customWidth="1"/>
    <col min="9476" max="9476" width="16.19921875" style="578" bestFit="1" customWidth="1"/>
    <col min="9477" max="9477" width="12.3984375" style="578" bestFit="1" customWidth="1"/>
    <col min="9478" max="9478" width="10.8984375" style="578" customWidth="1"/>
    <col min="9479" max="9479" width="10" style="578" customWidth="1"/>
    <col min="9480" max="9480" width="17.5" style="578" customWidth="1"/>
    <col min="9481" max="9481" width="10.8984375" style="578" customWidth="1"/>
    <col min="9482" max="9482" width="16" style="578" customWidth="1"/>
    <col min="9483" max="9483" width="12.3984375" style="578" bestFit="1" customWidth="1"/>
    <col min="9484" max="9700" width="11" style="578"/>
    <col min="9701" max="9701" width="32.69921875" style="578" customWidth="1"/>
    <col min="9702" max="9702" width="14.5" style="578" customWidth="1"/>
    <col min="9703" max="9703" width="15.59765625" style="578" bestFit="1" customWidth="1"/>
    <col min="9704" max="9704" width="15.5" style="578" customWidth="1"/>
    <col min="9705" max="9705" width="15.59765625" style="578" customWidth="1"/>
    <col min="9706" max="9706" width="15.59765625" style="578" bestFit="1" customWidth="1"/>
    <col min="9707" max="9707" width="15.8984375" style="578" customWidth="1"/>
    <col min="9708" max="9708" width="14.8984375" style="578" customWidth="1"/>
    <col min="9709" max="9709" width="14.5" style="578" customWidth="1"/>
    <col min="9710" max="9710" width="15.8984375" style="578" customWidth="1"/>
    <col min="9711" max="9711" width="12" style="578" bestFit="1" customWidth="1"/>
    <col min="9712" max="9712" width="18.59765625" style="578" customWidth="1"/>
    <col min="9713" max="9713" width="15.09765625" style="578" customWidth="1"/>
    <col min="9714" max="9714" width="15.59765625" style="578" bestFit="1" customWidth="1"/>
    <col min="9715" max="9715" width="16.3984375" style="578" customWidth="1"/>
    <col min="9716" max="9716" width="13.8984375" style="578" customWidth="1"/>
    <col min="9717" max="9717" width="18.59765625" style="578" customWidth="1"/>
    <col min="9718" max="9718" width="3" style="578" customWidth="1"/>
    <col min="9719" max="9719" width="4" style="578" customWidth="1"/>
    <col min="9720" max="9720" width="24.5" style="578" customWidth="1"/>
    <col min="9721" max="9721" width="8.8984375" style="578" customWidth="1"/>
    <col min="9722" max="9722" width="10.8984375" style="578" customWidth="1"/>
    <col min="9723" max="9723" width="10" style="578" customWidth="1"/>
    <col min="9724" max="9724" width="17.3984375" style="578" customWidth="1"/>
    <col min="9725" max="9725" width="10.8984375" style="578" customWidth="1"/>
    <col min="9726" max="9726" width="10" style="578" customWidth="1"/>
    <col min="9727" max="9727" width="16.09765625" style="578" customWidth="1"/>
    <col min="9728" max="9728" width="10.8984375" style="578" customWidth="1"/>
    <col min="9729" max="9729" width="12" style="578" customWidth="1"/>
    <col min="9730" max="9730" width="18.8984375" style="578" customWidth="1"/>
    <col min="9731" max="9731" width="10.8984375" style="578" customWidth="1"/>
    <col min="9732" max="9732" width="16.19921875" style="578" bestFit="1" customWidth="1"/>
    <col min="9733" max="9733" width="12.3984375" style="578" bestFit="1" customWidth="1"/>
    <col min="9734" max="9734" width="10.8984375" style="578" customWidth="1"/>
    <col min="9735" max="9735" width="10" style="578" customWidth="1"/>
    <col min="9736" max="9736" width="17.5" style="578" customWidth="1"/>
    <col min="9737" max="9737" width="10.8984375" style="578" customWidth="1"/>
    <col min="9738" max="9738" width="16" style="578" customWidth="1"/>
    <col min="9739" max="9739" width="12.3984375" style="578" bestFit="1" customWidth="1"/>
    <col min="9740" max="9956" width="11" style="578"/>
    <col min="9957" max="9957" width="32.69921875" style="578" customWidth="1"/>
    <col min="9958" max="9958" width="14.5" style="578" customWidth="1"/>
    <col min="9959" max="9959" width="15.59765625" style="578" bestFit="1" customWidth="1"/>
    <col min="9960" max="9960" width="15.5" style="578" customWidth="1"/>
    <col min="9961" max="9961" width="15.59765625" style="578" customWidth="1"/>
    <col min="9962" max="9962" width="15.59765625" style="578" bestFit="1" customWidth="1"/>
    <col min="9963" max="9963" width="15.8984375" style="578" customWidth="1"/>
    <col min="9964" max="9964" width="14.8984375" style="578" customWidth="1"/>
    <col min="9965" max="9965" width="14.5" style="578" customWidth="1"/>
    <col min="9966" max="9966" width="15.8984375" style="578" customWidth="1"/>
    <col min="9967" max="9967" width="12" style="578" bestFit="1" customWidth="1"/>
    <col min="9968" max="9968" width="18.59765625" style="578" customWidth="1"/>
    <col min="9969" max="9969" width="15.09765625" style="578" customWidth="1"/>
    <col min="9970" max="9970" width="15.59765625" style="578" bestFit="1" customWidth="1"/>
    <col min="9971" max="9971" width="16.3984375" style="578" customWidth="1"/>
    <col min="9972" max="9972" width="13.8984375" style="578" customWidth="1"/>
    <col min="9973" max="9973" width="18.59765625" style="578" customWidth="1"/>
    <col min="9974" max="9974" width="3" style="578" customWidth="1"/>
    <col min="9975" max="9975" width="4" style="578" customWidth="1"/>
    <col min="9976" max="9976" width="24.5" style="578" customWidth="1"/>
    <col min="9977" max="9977" width="8.8984375" style="578" customWidth="1"/>
    <col min="9978" max="9978" width="10.8984375" style="578" customWidth="1"/>
    <col min="9979" max="9979" width="10" style="578" customWidth="1"/>
    <col min="9980" max="9980" width="17.3984375" style="578" customWidth="1"/>
    <col min="9981" max="9981" width="10.8984375" style="578" customWidth="1"/>
    <col min="9982" max="9982" width="10" style="578" customWidth="1"/>
    <col min="9983" max="9983" width="16.09765625" style="578" customWidth="1"/>
    <col min="9984" max="9984" width="10.8984375" style="578" customWidth="1"/>
    <col min="9985" max="9985" width="12" style="578" customWidth="1"/>
    <col min="9986" max="9986" width="18.8984375" style="578" customWidth="1"/>
    <col min="9987" max="9987" width="10.8984375" style="578" customWidth="1"/>
    <col min="9988" max="9988" width="16.19921875" style="578" bestFit="1" customWidth="1"/>
    <col min="9989" max="9989" width="12.3984375" style="578" bestFit="1" customWidth="1"/>
    <col min="9990" max="9990" width="10.8984375" style="578" customWidth="1"/>
    <col min="9991" max="9991" width="10" style="578" customWidth="1"/>
    <col min="9992" max="9992" width="17.5" style="578" customWidth="1"/>
    <col min="9993" max="9993" width="10.8984375" style="578" customWidth="1"/>
    <col min="9994" max="9994" width="16" style="578" customWidth="1"/>
    <col min="9995" max="9995" width="12.3984375" style="578" bestFit="1" customWidth="1"/>
    <col min="9996" max="10212" width="11" style="578"/>
    <col min="10213" max="10213" width="32.69921875" style="578" customWidth="1"/>
    <col min="10214" max="10214" width="14.5" style="578" customWidth="1"/>
    <col min="10215" max="10215" width="15.59765625" style="578" bestFit="1" customWidth="1"/>
    <col min="10216" max="10216" width="15.5" style="578" customWidth="1"/>
    <col min="10217" max="10217" width="15.59765625" style="578" customWidth="1"/>
    <col min="10218" max="10218" width="15.59765625" style="578" bestFit="1" customWidth="1"/>
    <col min="10219" max="10219" width="15.8984375" style="578" customWidth="1"/>
    <col min="10220" max="10220" width="14.8984375" style="578" customWidth="1"/>
    <col min="10221" max="10221" width="14.5" style="578" customWidth="1"/>
    <col min="10222" max="10222" width="15.8984375" style="578" customWidth="1"/>
    <col min="10223" max="10223" width="12" style="578" bestFit="1" customWidth="1"/>
    <col min="10224" max="10224" width="18.59765625" style="578" customWidth="1"/>
    <col min="10225" max="10225" width="15.09765625" style="578" customWidth="1"/>
    <col min="10226" max="10226" width="15.59765625" style="578" bestFit="1" customWidth="1"/>
    <col min="10227" max="10227" width="16.3984375" style="578" customWidth="1"/>
    <col min="10228" max="10228" width="13.8984375" style="578" customWidth="1"/>
    <col min="10229" max="10229" width="18.59765625" style="578" customWidth="1"/>
    <col min="10230" max="10230" width="3" style="578" customWidth="1"/>
    <col min="10231" max="10231" width="4" style="578" customWidth="1"/>
    <col min="10232" max="10232" width="24.5" style="578" customWidth="1"/>
    <col min="10233" max="10233" width="8.8984375" style="578" customWidth="1"/>
    <col min="10234" max="10234" width="10.8984375" style="578" customWidth="1"/>
    <col min="10235" max="10235" width="10" style="578" customWidth="1"/>
    <col min="10236" max="10236" width="17.3984375" style="578" customWidth="1"/>
    <col min="10237" max="10237" width="10.8984375" style="578" customWidth="1"/>
    <col min="10238" max="10238" width="10" style="578" customWidth="1"/>
    <col min="10239" max="10239" width="16.09765625" style="578" customWidth="1"/>
    <col min="10240" max="10240" width="10.8984375" style="578" customWidth="1"/>
    <col min="10241" max="10241" width="12" style="578" customWidth="1"/>
    <col min="10242" max="10242" width="18.8984375" style="578" customWidth="1"/>
    <col min="10243" max="10243" width="10.8984375" style="578" customWidth="1"/>
    <col min="10244" max="10244" width="16.19921875" style="578" bestFit="1" customWidth="1"/>
    <col min="10245" max="10245" width="12.3984375" style="578" bestFit="1" customWidth="1"/>
    <col min="10246" max="10246" width="10.8984375" style="578" customWidth="1"/>
    <col min="10247" max="10247" width="10" style="578" customWidth="1"/>
    <col min="10248" max="10248" width="17.5" style="578" customWidth="1"/>
    <col min="10249" max="10249" width="10.8984375" style="578" customWidth="1"/>
    <col min="10250" max="10250" width="16" style="578" customWidth="1"/>
    <col min="10251" max="10251" width="12.3984375" style="578" bestFit="1" customWidth="1"/>
    <col min="10252" max="10468" width="11" style="578"/>
    <col min="10469" max="10469" width="32.69921875" style="578" customWidth="1"/>
    <col min="10470" max="10470" width="14.5" style="578" customWidth="1"/>
    <col min="10471" max="10471" width="15.59765625" style="578" bestFit="1" customWidth="1"/>
    <col min="10472" max="10472" width="15.5" style="578" customWidth="1"/>
    <col min="10473" max="10473" width="15.59765625" style="578" customWidth="1"/>
    <col min="10474" max="10474" width="15.59765625" style="578" bestFit="1" customWidth="1"/>
    <col min="10475" max="10475" width="15.8984375" style="578" customWidth="1"/>
    <col min="10476" max="10476" width="14.8984375" style="578" customWidth="1"/>
    <col min="10477" max="10477" width="14.5" style="578" customWidth="1"/>
    <col min="10478" max="10478" width="15.8984375" style="578" customWidth="1"/>
    <col min="10479" max="10479" width="12" style="578" bestFit="1" customWidth="1"/>
    <col min="10480" max="10480" width="18.59765625" style="578" customWidth="1"/>
    <col min="10481" max="10481" width="15.09765625" style="578" customWidth="1"/>
    <col min="10482" max="10482" width="15.59765625" style="578" bestFit="1" customWidth="1"/>
    <col min="10483" max="10483" width="16.3984375" style="578" customWidth="1"/>
    <col min="10484" max="10484" width="13.8984375" style="578" customWidth="1"/>
    <col min="10485" max="10485" width="18.59765625" style="578" customWidth="1"/>
    <col min="10486" max="10486" width="3" style="578" customWidth="1"/>
    <col min="10487" max="10487" width="4" style="578" customWidth="1"/>
    <col min="10488" max="10488" width="24.5" style="578" customWidth="1"/>
    <col min="10489" max="10489" width="8.8984375" style="578" customWidth="1"/>
    <col min="10490" max="10490" width="10.8984375" style="578" customWidth="1"/>
    <col min="10491" max="10491" width="10" style="578" customWidth="1"/>
    <col min="10492" max="10492" width="17.3984375" style="578" customWidth="1"/>
    <col min="10493" max="10493" width="10.8984375" style="578" customWidth="1"/>
    <col min="10494" max="10494" width="10" style="578" customWidth="1"/>
    <col min="10495" max="10495" width="16.09765625" style="578" customWidth="1"/>
    <col min="10496" max="10496" width="10.8984375" style="578" customWidth="1"/>
    <col min="10497" max="10497" width="12" style="578" customWidth="1"/>
    <col min="10498" max="10498" width="18.8984375" style="578" customWidth="1"/>
    <col min="10499" max="10499" width="10.8984375" style="578" customWidth="1"/>
    <col min="10500" max="10500" width="16.19921875" style="578" bestFit="1" customWidth="1"/>
    <col min="10501" max="10501" width="12.3984375" style="578" bestFit="1" customWidth="1"/>
    <col min="10502" max="10502" width="10.8984375" style="578" customWidth="1"/>
    <col min="10503" max="10503" width="10" style="578" customWidth="1"/>
    <col min="10504" max="10504" width="17.5" style="578" customWidth="1"/>
    <col min="10505" max="10505" width="10.8984375" style="578" customWidth="1"/>
    <col min="10506" max="10506" width="16" style="578" customWidth="1"/>
    <col min="10507" max="10507" width="12.3984375" style="578" bestFit="1" customWidth="1"/>
    <col min="10508" max="10724" width="11" style="578"/>
    <col min="10725" max="10725" width="32.69921875" style="578" customWidth="1"/>
    <col min="10726" max="10726" width="14.5" style="578" customWidth="1"/>
    <col min="10727" max="10727" width="15.59765625" style="578" bestFit="1" customWidth="1"/>
    <col min="10728" max="10728" width="15.5" style="578" customWidth="1"/>
    <col min="10729" max="10729" width="15.59765625" style="578" customWidth="1"/>
    <col min="10730" max="10730" width="15.59765625" style="578" bestFit="1" customWidth="1"/>
    <col min="10731" max="10731" width="15.8984375" style="578" customWidth="1"/>
    <col min="10732" max="10732" width="14.8984375" style="578" customWidth="1"/>
    <col min="10733" max="10733" width="14.5" style="578" customWidth="1"/>
    <col min="10734" max="10734" width="15.8984375" style="578" customWidth="1"/>
    <col min="10735" max="10735" width="12" style="578" bestFit="1" customWidth="1"/>
    <col min="10736" max="10736" width="18.59765625" style="578" customWidth="1"/>
    <col min="10737" max="10737" width="15.09765625" style="578" customWidth="1"/>
    <col min="10738" max="10738" width="15.59765625" style="578" bestFit="1" customWidth="1"/>
    <col min="10739" max="10739" width="16.3984375" style="578" customWidth="1"/>
    <col min="10740" max="10740" width="13.8984375" style="578" customWidth="1"/>
    <col min="10741" max="10741" width="18.59765625" style="578" customWidth="1"/>
    <col min="10742" max="10742" width="3" style="578" customWidth="1"/>
    <col min="10743" max="10743" width="4" style="578" customWidth="1"/>
    <col min="10744" max="10744" width="24.5" style="578" customWidth="1"/>
    <col min="10745" max="10745" width="8.8984375" style="578" customWidth="1"/>
    <col min="10746" max="10746" width="10.8984375" style="578" customWidth="1"/>
    <col min="10747" max="10747" width="10" style="578" customWidth="1"/>
    <col min="10748" max="10748" width="17.3984375" style="578" customWidth="1"/>
    <col min="10749" max="10749" width="10.8984375" style="578" customWidth="1"/>
    <col min="10750" max="10750" width="10" style="578" customWidth="1"/>
    <col min="10751" max="10751" width="16.09765625" style="578" customWidth="1"/>
    <col min="10752" max="10752" width="10.8984375" style="578" customWidth="1"/>
    <col min="10753" max="10753" width="12" style="578" customWidth="1"/>
    <col min="10754" max="10754" width="18.8984375" style="578" customWidth="1"/>
    <col min="10755" max="10755" width="10.8984375" style="578" customWidth="1"/>
    <col min="10756" max="10756" width="16.19921875" style="578" bestFit="1" customWidth="1"/>
    <col min="10757" max="10757" width="12.3984375" style="578" bestFit="1" customWidth="1"/>
    <col min="10758" max="10758" width="10.8984375" style="578" customWidth="1"/>
    <col min="10759" max="10759" width="10" style="578" customWidth="1"/>
    <col min="10760" max="10760" width="17.5" style="578" customWidth="1"/>
    <col min="10761" max="10761" width="10.8984375" style="578" customWidth="1"/>
    <col min="10762" max="10762" width="16" style="578" customWidth="1"/>
    <col min="10763" max="10763" width="12.3984375" style="578" bestFit="1" customWidth="1"/>
    <col min="10764" max="10980" width="11" style="578"/>
    <col min="10981" max="10981" width="32.69921875" style="578" customWidth="1"/>
    <col min="10982" max="10982" width="14.5" style="578" customWidth="1"/>
    <col min="10983" max="10983" width="15.59765625" style="578" bestFit="1" customWidth="1"/>
    <col min="10984" max="10984" width="15.5" style="578" customWidth="1"/>
    <col min="10985" max="10985" width="15.59765625" style="578" customWidth="1"/>
    <col min="10986" max="10986" width="15.59765625" style="578" bestFit="1" customWidth="1"/>
    <col min="10987" max="10987" width="15.8984375" style="578" customWidth="1"/>
    <col min="10988" max="10988" width="14.8984375" style="578" customWidth="1"/>
    <col min="10989" max="10989" width="14.5" style="578" customWidth="1"/>
    <col min="10990" max="10990" width="15.8984375" style="578" customWidth="1"/>
    <col min="10991" max="10991" width="12" style="578" bestFit="1" customWidth="1"/>
    <col min="10992" max="10992" width="18.59765625" style="578" customWidth="1"/>
    <col min="10993" max="10993" width="15.09765625" style="578" customWidth="1"/>
    <col min="10994" max="10994" width="15.59765625" style="578" bestFit="1" customWidth="1"/>
    <col min="10995" max="10995" width="16.3984375" style="578" customWidth="1"/>
    <col min="10996" max="10996" width="13.8984375" style="578" customWidth="1"/>
    <col min="10997" max="10997" width="18.59765625" style="578" customWidth="1"/>
    <col min="10998" max="10998" width="3" style="578" customWidth="1"/>
    <col min="10999" max="10999" width="4" style="578" customWidth="1"/>
    <col min="11000" max="11000" width="24.5" style="578" customWidth="1"/>
    <col min="11001" max="11001" width="8.8984375" style="578" customWidth="1"/>
    <col min="11002" max="11002" width="10.8984375" style="578" customWidth="1"/>
    <col min="11003" max="11003" width="10" style="578" customWidth="1"/>
    <col min="11004" max="11004" width="17.3984375" style="578" customWidth="1"/>
    <col min="11005" max="11005" width="10.8984375" style="578" customWidth="1"/>
    <col min="11006" max="11006" width="10" style="578" customWidth="1"/>
    <col min="11007" max="11007" width="16.09765625" style="578" customWidth="1"/>
    <col min="11008" max="11008" width="10.8984375" style="578" customWidth="1"/>
    <col min="11009" max="11009" width="12" style="578" customWidth="1"/>
    <col min="11010" max="11010" width="18.8984375" style="578" customWidth="1"/>
    <col min="11011" max="11011" width="10.8984375" style="578" customWidth="1"/>
    <col min="11012" max="11012" width="16.19921875" style="578" bestFit="1" customWidth="1"/>
    <col min="11013" max="11013" width="12.3984375" style="578" bestFit="1" customWidth="1"/>
    <col min="11014" max="11014" width="10.8984375" style="578" customWidth="1"/>
    <col min="11015" max="11015" width="10" style="578" customWidth="1"/>
    <col min="11016" max="11016" width="17.5" style="578" customWidth="1"/>
    <col min="11017" max="11017" width="10.8984375" style="578" customWidth="1"/>
    <col min="11018" max="11018" width="16" style="578" customWidth="1"/>
    <col min="11019" max="11019" width="12.3984375" style="578" bestFit="1" customWidth="1"/>
    <col min="11020" max="11236" width="11" style="578"/>
    <col min="11237" max="11237" width="32.69921875" style="578" customWidth="1"/>
    <col min="11238" max="11238" width="14.5" style="578" customWidth="1"/>
    <col min="11239" max="11239" width="15.59765625" style="578" bestFit="1" customWidth="1"/>
    <col min="11240" max="11240" width="15.5" style="578" customWidth="1"/>
    <col min="11241" max="11241" width="15.59765625" style="578" customWidth="1"/>
    <col min="11242" max="11242" width="15.59765625" style="578" bestFit="1" customWidth="1"/>
    <col min="11243" max="11243" width="15.8984375" style="578" customWidth="1"/>
    <col min="11244" max="11244" width="14.8984375" style="578" customWidth="1"/>
    <col min="11245" max="11245" width="14.5" style="578" customWidth="1"/>
    <col min="11246" max="11246" width="15.8984375" style="578" customWidth="1"/>
    <col min="11247" max="11247" width="12" style="578" bestFit="1" customWidth="1"/>
    <col min="11248" max="11248" width="18.59765625" style="578" customWidth="1"/>
    <col min="11249" max="11249" width="15.09765625" style="578" customWidth="1"/>
    <col min="11250" max="11250" width="15.59765625" style="578" bestFit="1" customWidth="1"/>
    <col min="11251" max="11251" width="16.3984375" style="578" customWidth="1"/>
    <col min="11252" max="11252" width="13.8984375" style="578" customWidth="1"/>
    <col min="11253" max="11253" width="18.59765625" style="578" customWidth="1"/>
    <col min="11254" max="11254" width="3" style="578" customWidth="1"/>
    <col min="11255" max="11255" width="4" style="578" customWidth="1"/>
    <col min="11256" max="11256" width="24.5" style="578" customWidth="1"/>
    <col min="11257" max="11257" width="8.8984375" style="578" customWidth="1"/>
    <col min="11258" max="11258" width="10.8984375" style="578" customWidth="1"/>
    <col min="11259" max="11259" width="10" style="578" customWidth="1"/>
    <col min="11260" max="11260" width="17.3984375" style="578" customWidth="1"/>
    <col min="11261" max="11261" width="10.8984375" style="578" customWidth="1"/>
    <col min="11262" max="11262" width="10" style="578" customWidth="1"/>
    <col min="11263" max="11263" width="16.09765625" style="578" customWidth="1"/>
    <col min="11264" max="11264" width="10.8984375" style="578" customWidth="1"/>
    <col min="11265" max="11265" width="12" style="578" customWidth="1"/>
    <col min="11266" max="11266" width="18.8984375" style="578" customWidth="1"/>
    <col min="11267" max="11267" width="10.8984375" style="578" customWidth="1"/>
    <col min="11268" max="11268" width="16.19921875" style="578" bestFit="1" customWidth="1"/>
    <col min="11269" max="11269" width="12.3984375" style="578" bestFit="1" customWidth="1"/>
    <col min="11270" max="11270" width="10.8984375" style="578" customWidth="1"/>
    <col min="11271" max="11271" width="10" style="578" customWidth="1"/>
    <col min="11272" max="11272" width="17.5" style="578" customWidth="1"/>
    <col min="11273" max="11273" width="10.8984375" style="578" customWidth="1"/>
    <col min="11274" max="11274" width="16" style="578" customWidth="1"/>
    <col min="11275" max="11275" width="12.3984375" style="578" bestFit="1" customWidth="1"/>
    <col min="11276" max="11492" width="11" style="578"/>
    <col min="11493" max="11493" width="32.69921875" style="578" customWidth="1"/>
    <col min="11494" max="11494" width="14.5" style="578" customWidth="1"/>
    <col min="11495" max="11495" width="15.59765625" style="578" bestFit="1" customWidth="1"/>
    <col min="11496" max="11496" width="15.5" style="578" customWidth="1"/>
    <col min="11497" max="11497" width="15.59765625" style="578" customWidth="1"/>
    <col min="11498" max="11498" width="15.59765625" style="578" bestFit="1" customWidth="1"/>
    <col min="11499" max="11499" width="15.8984375" style="578" customWidth="1"/>
    <col min="11500" max="11500" width="14.8984375" style="578" customWidth="1"/>
    <col min="11501" max="11501" width="14.5" style="578" customWidth="1"/>
    <col min="11502" max="11502" width="15.8984375" style="578" customWidth="1"/>
    <col min="11503" max="11503" width="12" style="578" bestFit="1" customWidth="1"/>
    <col min="11504" max="11504" width="18.59765625" style="578" customWidth="1"/>
    <col min="11505" max="11505" width="15.09765625" style="578" customWidth="1"/>
    <col min="11506" max="11506" width="15.59765625" style="578" bestFit="1" customWidth="1"/>
    <col min="11507" max="11507" width="16.3984375" style="578" customWidth="1"/>
    <col min="11508" max="11508" width="13.8984375" style="578" customWidth="1"/>
    <col min="11509" max="11509" width="18.59765625" style="578" customWidth="1"/>
    <col min="11510" max="11510" width="3" style="578" customWidth="1"/>
    <col min="11511" max="11511" width="4" style="578" customWidth="1"/>
    <col min="11512" max="11512" width="24.5" style="578" customWidth="1"/>
    <col min="11513" max="11513" width="8.8984375" style="578" customWidth="1"/>
    <col min="11514" max="11514" width="10.8984375" style="578" customWidth="1"/>
    <col min="11515" max="11515" width="10" style="578" customWidth="1"/>
    <col min="11516" max="11516" width="17.3984375" style="578" customWidth="1"/>
    <col min="11517" max="11517" width="10.8984375" style="578" customWidth="1"/>
    <col min="11518" max="11518" width="10" style="578" customWidth="1"/>
    <col min="11519" max="11519" width="16.09765625" style="578" customWidth="1"/>
    <col min="11520" max="11520" width="10.8984375" style="578" customWidth="1"/>
    <col min="11521" max="11521" width="12" style="578" customWidth="1"/>
    <col min="11522" max="11522" width="18.8984375" style="578" customWidth="1"/>
    <col min="11523" max="11523" width="10.8984375" style="578" customWidth="1"/>
    <col min="11524" max="11524" width="16.19921875" style="578" bestFit="1" customWidth="1"/>
    <col min="11525" max="11525" width="12.3984375" style="578" bestFit="1" customWidth="1"/>
    <col min="11526" max="11526" width="10.8984375" style="578" customWidth="1"/>
    <col min="11527" max="11527" width="10" style="578" customWidth="1"/>
    <col min="11528" max="11528" width="17.5" style="578" customWidth="1"/>
    <col min="11529" max="11529" width="10.8984375" style="578" customWidth="1"/>
    <col min="11530" max="11530" width="16" style="578" customWidth="1"/>
    <col min="11531" max="11531" width="12.3984375" style="578" bestFit="1" customWidth="1"/>
    <col min="11532" max="11748" width="11" style="578"/>
    <col min="11749" max="11749" width="32.69921875" style="578" customWidth="1"/>
    <col min="11750" max="11750" width="14.5" style="578" customWidth="1"/>
    <col min="11751" max="11751" width="15.59765625" style="578" bestFit="1" customWidth="1"/>
    <col min="11752" max="11752" width="15.5" style="578" customWidth="1"/>
    <col min="11753" max="11753" width="15.59765625" style="578" customWidth="1"/>
    <col min="11754" max="11754" width="15.59765625" style="578" bestFit="1" customWidth="1"/>
    <col min="11755" max="11755" width="15.8984375" style="578" customWidth="1"/>
    <col min="11756" max="11756" width="14.8984375" style="578" customWidth="1"/>
    <col min="11757" max="11757" width="14.5" style="578" customWidth="1"/>
    <col min="11758" max="11758" width="15.8984375" style="578" customWidth="1"/>
    <col min="11759" max="11759" width="12" style="578" bestFit="1" customWidth="1"/>
    <col min="11760" max="11760" width="18.59765625" style="578" customWidth="1"/>
    <col min="11761" max="11761" width="15.09765625" style="578" customWidth="1"/>
    <col min="11762" max="11762" width="15.59765625" style="578" bestFit="1" customWidth="1"/>
    <col min="11763" max="11763" width="16.3984375" style="578" customWidth="1"/>
    <col min="11764" max="11764" width="13.8984375" style="578" customWidth="1"/>
    <col min="11765" max="11765" width="18.59765625" style="578" customWidth="1"/>
    <col min="11766" max="11766" width="3" style="578" customWidth="1"/>
    <col min="11767" max="11767" width="4" style="578" customWidth="1"/>
    <col min="11768" max="11768" width="24.5" style="578" customWidth="1"/>
    <col min="11769" max="11769" width="8.8984375" style="578" customWidth="1"/>
    <col min="11770" max="11770" width="10.8984375" style="578" customWidth="1"/>
    <col min="11771" max="11771" width="10" style="578" customWidth="1"/>
    <col min="11772" max="11772" width="17.3984375" style="578" customWidth="1"/>
    <col min="11773" max="11773" width="10.8984375" style="578" customWidth="1"/>
    <col min="11774" max="11774" width="10" style="578" customWidth="1"/>
    <col min="11775" max="11775" width="16.09765625" style="578" customWidth="1"/>
    <col min="11776" max="11776" width="10.8984375" style="578" customWidth="1"/>
    <col min="11777" max="11777" width="12" style="578" customWidth="1"/>
    <col min="11778" max="11778" width="18.8984375" style="578" customWidth="1"/>
    <col min="11779" max="11779" width="10.8984375" style="578" customWidth="1"/>
    <col min="11780" max="11780" width="16.19921875" style="578" bestFit="1" customWidth="1"/>
    <col min="11781" max="11781" width="12.3984375" style="578" bestFit="1" customWidth="1"/>
    <col min="11782" max="11782" width="10.8984375" style="578" customWidth="1"/>
    <col min="11783" max="11783" width="10" style="578" customWidth="1"/>
    <col min="11784" max="11784" width="17.5" style="578" customWidth="1"/>
    <col min="11785" max="11785" width="10.8984375" style="578" customWidth="1"/>
    <col min="11786" max="11786" width="16" style="578" customWidth="1"/>
    <col min="11787" max="11787" width="12.3984375" style="578" bestFit="1" customWidth="1"/>
    <col min="11788" max="12004" width="11" style="578"/>
    <col min="12005" max="12005" width="32.69921875" style="578" customWidth="1"/>
    <col min="12006" max="12006" width="14.5" style="578" customWidth="1"/>
    <col min="12007" max="12007" width="15.59765625" style="578" bestFit="1" customWidth="1"/>
    <col min="12008" max="12008" width="15.5" style="578" customWidth="1"/>
    <col min="12009" max="12009" width="15.59765625" style="578" customWidth="1"/>
    <col min="12010" max="12010" width="15.59765625" style="578" bestFit="1" customWidth="1"/>
    <col min="12011" max="12011" width="15.8984375" style="578" customWidth="1"/>
    <col min="12012" max="12012" width="14.8984375" style="578" customWidth="1"/>
    <col min="12013" max="12013" width="14.5" style="578" customWidth="1"/>
    <col min="12014" max="12014" width="15.8984375" style="578" customWidth="1"/>
    <col min="12015" max="12015" width="12" style="578" bestFit="1" customWidth="1"/>
    <col min="12016" max="12016" width="18.59765625" style="578" customWidth="1"/>
    <col min="12017" max="12017" width="15.09765625" style="578" customWidth="1"/>
    <col min="12018" max="12018" width="15.59765625" style="578" bestFit="1" customWidth="1"/>
    <col min="12019" max="12019" width="16.3984375" style="578" customWidth="1"/>
    <col min="12020" max="12020" width="13.8984375" style="578" customWidth="1"/>
    <col min="12021" max="12021" width="18.59765625" style="578" customWidth="1"/>
    <col min="12022" max="12022" width="3" style="578" customWidth="1"/>
    <col min="12023" max="12023" width="4" style="578" customWidth="1"/>
    <col min="12024" max="12024" width="24.5" style="578" customWidth="1"/>
    <col min="12025" max="12025" width="8.8984375" style="578" customWidth="1"/>
    <col min="12026" max="12026" width="10.8984375" style="578" customWidth="1"/>
    <col min="12027" max="12027" width="10" style="578" customWidth="1"/>
    <col min="12028" max="12028" width="17.3984375" style="578" customWidth="1"/>
    <col min="12029" max="12029" width="10.8984375" style="578" customWidth="1"/>
    <col min="12030" max="12030" width="10" style="578" customWidth="1"/>
    <col min="12031" max="12031" width="16.09765625" style="578" customWidth="1"/>
    <col min="12032" max="12032" width="10.8984375" style="578" customWidth="1"/>
    <col min="12033" max="12033" width="12" style="578" customWidth="1"/>
    <col min="12034" max="12034" width="18.8984375" style="578" customWidth="1"/>
    <col min="12035" max="12035" width="10.8984375" style="578" customWidth="1"/>
    <col min="12036" max="12036" width="16.19921875" style="578" bestFit="1" customWidth="1"/>
    <col min="12037" max="12037" width="12.3984375" style="578" bestFit="1" customWidth="1"/>
    <col min="12038" max="12038" width="10.8984375" style="578" customWidth="1"/>
    <col min="12039" max="12039" width="10" style="578" customWidth="1"/>
    <col min="12040" max="12040" width="17.5" style="578" customWidth="1"/>
    <col min="12041" max="12041" width="10.8984375" style="578" customWidth="1"/>
    <col min="12042" max="12042" width="16" style="578" customWidth="1"/>
    <col min="12043" max="12043" width="12.3984375" style="578" bestFit="1" customWidth="1"/>
    <col min="12044" max="12260" width="11" style="578"/>
    <col min="12261" max="12261" width="32.69921875" style="578" customWidth="1"/>
    <col min="12262" max="12262" width="14.5" style="578" customWidth="1"/>
    <col min="12263" max="12263" width="15.59765625" style="578" bestFit="1" customWidth="1"/>
    <col min="12264" max="12264" width="15.5" style="578" customWidth="1"/>
    <col min="12265" max="12265" width="15.59765625" style="578" customWidth="1"/>
    <col min="12266" max="12266" width="15.59765625" style="578" bestFit="1" customWidth="1"/>
    <col min="12267" max="12267" width="15.8984375" style="578" customWidth="1"/>
    <col min="12268" max="12268" width="14.8984375" style="578" customWidth="1"/>
    <col min="12269" max="12269" width="14.5" style="578" customWidth="1"/>
    <col min="12270" max="12270" width="15.8984375" style="578" customWidth="1"/>
    <col min="12271" max="12271" width="12" style="578" bestFit="1" customWidth="1"/>
    <col min="12272" max="12272" width="18.59765625" style="578" customWidth="1"/>
    <col min="12273" max="12273" width="15.09765625" style="578" customWidth="1"/>
    <col min="12274" max="12274" width="15.59765625" style="578" bestFit="1" customWidth="1"/>
    <col min="12275" max="12275" width="16.3984375" style="578" customWidth="1"/>
    <col min="12276" max="12276" width="13.8984375" style="578" customWidth="1"/>
    <col min="12277" max="12277" width="18.59765625" style="578" customWidth="1"/>
    <col min="12278" max="12278" width="3" style="578" customWidth="1"/>
    <col min="12279" max="12279" width="4" style="578" customWidth="1"/>
    <col min="12280" max="12280" width="24.5" style="578" customWidth="1"/>
    <col min="12281" max="12281" width="8.8984375" style="578" customWidth="1"/>
    <col min="12282" max="12282" width="10.8984375" style="578" customWidth="1"/>
    <col min="12283" max="12283" width="10" style="578" customWidth="1"/>
    <col min="12284" max="12284" width="17.3984375" style="578" customWidth="1"/>
    <col min="12285" max="12285" width="10.8984375" style="578" customWidth="1"/>
    <col min="12286" max="12286" width="10" style="578" customWidth="1"/>
    <col min="12287" max="12287" width="16.09765625" style="578" customWidth="1"/>
    <col min="12288" max="12288" width="10.8984375" style="578" customWidth="1"/>
    <col min="12289" max="12289" width="12" style="578" customWidth="1"/>
    <col min="12290" max="12290" width="18.8984375" style="578" customWidth="1"/>
    <col min="12291" max="12291" width="10.8984375" style="578" customWidth="1"/>
    <col min="12292" max="12292" width="16.19921875" style="578" bestFit="1" customWidth="1"/>
    <col min="12293" max="12293" width="12.3984375" style="578" bestFit="1" customWidth="1"/>
    <col min="12294" max="12294" width="10.8984375" style="578" customWidth="1"/>
    <col min="12295" max="12295" width="10" style="578" customWidth="1"/>
    <col min="12296" max="12296" width="17.5" style="578" customWidth="1"/>
    <col min="12297" max="12297" width="10.8984375" style="578" customWidth="1"/>
    <col min="12298" max="12298" width="16" style="578" customWidth="1"/>
    <col min="12299" max="12299" width="12.3984375" style="578" bestFit="1" customWidth="1"/>
    <col min="12300" max="12516" width="11" style="578"/>
    <col min="12517" max="12517" width="32.69921875" style="578" customWidth="1"/>
    <col min="12518" max="12518" width="14.5" style="578" customWidth="1"/>
    <col min="12519" max="12519" width="15.59765625" style="578" bestFit="1" customWidth="1"/>
    <col min="12520" max="12520" width="15.5" style="578" customWidth="1"/>
    <col min="12521" max="12521" width="15.59765625" style="578" customWidth="1"/>
    <col min="12522" max="12522" width="15.59765625" style="578" bestFit="1" customWidth="1"/>
    <col min="12523" max="12523" width="15.8984375" style="578" customWidth="1"/>
    <col min="12524" max="12524" width="14.8984375" style="578" customWidth="1"/>
    <col min="12525" max="12525" width="14.5" style="578" customWidth="1"/>
    <col min="12526" max="12526" width="15.8984375" style="578" customWidth="1"/>
    <col min="12527" max="12527" width="12" style="578" bestFit="1" customWidth="1"/>
    <col min="12528" max="12528" width="18.59765625" style="578" customWidth="1"/>
    <col min="12529" max="12529" width="15.09765625" style="578" customWidth="1"/>
    <col min="12530" max="12530" width="15.59765625" style="578" bestFit="1" customWidth="1"/>
    <col min="12531" max="12531" width="16.3984375" style="578" customWidth="1"/>
    <col min="12532" max="12532" width="13.8984375" style="578" customWidth="1"/>
    <col min="12533" max="12533" width="18.59765625" style="578" customWidth="1"/>
    <col min="12534" max="12534" width="3" style="578" customWidth="1"/>
    <col min="12535" max="12535" width="4" style="578" customWidth="1"/>
    <col min="12536" max="12536" width="24.5" style="578" customWidth="1"/>
    <col min="12537" max="12537" width="8.8984375" style="578" customWidth="1"/>
    <col min="12538" max="12538" width="10.8984375" style="578" customWidth="1"/>
    <col min="12539" max="12539" width="10" style="578" customWidth="1"/>
    <col min="12540" max="12540" width="17.3984375" style="578" customWidth="1"/>
    <col min="12541" max="12541" width="10.8984375" style="578" customWidth="1"/>
    <col min="12542" max="12542" width="10" style="578" customWidth="1"/>
    <col min="12543" max="12543" width="16.09765625" style="578" customWidth="1"/>
    <col min="12544" max="12544" width="10.8984375" style="578" customWidth="1"/>
    <col min="12545" max="12545" width="12" style="578" customWidth="1"/>
    <col min="12546" max="12546" width="18.8984375" style="578" customWidth="1"/>
    <col min="12547" max="12547" width="10.8984375" style="578" customWidth="1"/>
    <col min="12548" max="12548" width="16.19921875" style="578" bestFit="1" customWidth="1"/>
    <col min="12549" max="12549" width="12.3984375" style="578" bestFit="1" customWidth="1"/>
    <col min="12550" max="12550" width="10.8984375" style="578" customWidth="1"/>
    <col min="12551" max="12551" width="10" style="578" customWidth="1"/>
    <col min="12552" max="12552" width="17.5" style="578" customWidth="1"/>
    <col min="12553" max="12553" width="10.8984375" style="578" customWidth="1"/>
    <col min="12554" max="12554" width="16" style="578" customWidth="1"/>
    <col min="12555" max="12555" width="12.3984375" style="578" bestFit="1" customWidth="1"/>
    <col min="12556" max="12772" width="11" style="578"/>
    <col min="12773" max="12773" width="32.69921875" style="578" customWidth="1"/>
    <col min="12774" max="12774" width="14.5" style="578" customWidth="1"/>
    <col min="12775" max="12775" width="15.59765625" style="578" bestFit="1" customWidth="1"/>
    <col min="12776" max="12776" width="15.5" style="578" customWidth="1"/>
    <col min="12777" max="12777" width="15.59765625" style="578" customWidth="1"/>
    <col min="12778" max="12778" width="15.59765625" style="578" bestFit="1" customWidth="1"/>
    <col min="12779" max="12779" width="15.8984375" style="578" customWidth="1"/>
    <col min="12780" max="12780" width="14.8984375" style="578" customWidth="1"/>
    <col min="12781" max="12781" width="14.5" style="578" customWidth="1"/>
    <col min="12782" max="12782" width="15.8984375" style="578" customWidth="1"/>
    <col min="12783" max="12783" width="12" style="578" bestFit="1" customWidth="1"/>
    <col min="12784" max="12784" width="18.59765625" style="578" customWidth="1"/>
    <col min="12785" max="12785" width="15.09765625" style="578" customWidth="1"/>
    <col min="12786" max="12786" width="15.59765625" style="578" bestFit="1" customWidth="1"/>
    <col min="12787" max="12787" width="16.3984375" style="578" customWidth="1"/>
    <col min="12788" max="12788" width="13.8984375" style="578" customWidth="1"/>
    <col min="12789" max="12789" width="18.59765625" style="578" customWidth="1"/>
    <col min="12790" max="12790" width="3" style="578" customWidth="1"/>
    <col min="12791" max="12791" width="4" style="578" customWidth="1"/>
    <col min="12792" max="12792" width="24.5" style="578" customWidth="1"/>
    <col min="12793" max="12793" width="8.8984375" style="578" customWidth="1"/>
    <col min="12794" max="12794" width="10.8984375" style="578" customWidth="1"/>
    <col min="12795" max="12795" width="10" style="578" customWidth="1"/>
    <col min="12796" max="12796" width="17.3984375" style="578" customWidth="1"/>
    <col min="12797" max="12797" width="10.8984375" style="578" customWidth="1"/>
    <col min="12798" max="12798" width="10" style="578" customWidth="1"/>
    <col min="12799" max="12799" width="16.09765625" style="578" customWidth="1"/>
    <col min="12800" max="12800" width="10.8984375" style="578" customWidth="1"/>
    <col min="12801" max="12801" width="12" style="578" customWidth="1"/>
    <col min="12802" max="12802" width="18.8984375" style="578" customWidth="1"/>
    <col min="12803" max="12803" width="10.8984375" style="578" customWidth="1"/>
    <col min="12804" max="12804" width="16.19921875" style="578" bestFit="1" customWidth="1"/>
    <col min="12805" max="12805" width="12.3984375" style="578" bestFit="1" customWidth="1"/>
    <col min="12806" max="12806" width="10.8984375" style="578" customWidth="1"/>
    <col min="12807" max="12807" width="10" style="578" customWidth="1"/>
    <col min="12808" max="12808" width="17.5" style="578" customWidth="1"/>
    <col min="12809" max="12809" width="10.8984375" style="578" customWidth="1"/>
    <col min="12810" max="12810" width="16" style="578" customWidth="1"/>
    <col min="12811" max="12811" width="12.3984375" style="578" bestFit="1" customWidth="1"/>
    <col min="12812" max="13028" width="11" style="578"/>
    <col min="13029" max="13029" width="32.69921875" style="578" customWidth="1"/>
    <col min="13030" max="13030" width="14.5" style="578" customWidth="1"/>
    <col min="13031" max="13031" width="15.59765625" style="578" bestFit="1" customWidth="1"/>
    <col min="13032" max="13032" width="15.5" style="578" customWidth="1"/>
    <col min="13033" max="13033" width="15.59765625" style="578" customWidth="1"/>
    <col min="13034" max="13034" width="15.59765625" style="578" bestFit="1" customWidth="1"/>
    <col min="13035" max="13035" width="15.8984375" style="578" customWidth="1"/>
    <col min="13036" max="13036" width="14.8984375" style="578" customWidth="1"/>
    <col min="13037" max="13037" width="14.5" style="578" customWidth="1"/>
    <col min="13038" max="13038" width="15.8984375" style="578" customWidth="1"/>
    <col min="13039" max="13039" width="12" style="578" bestFit="1" customWidth="1"/>
    <col min="13040" max="13040" width="18.59765625" style="578" customWidth="1"/>
    <col min="13041" max="13041" width="15.09765625" style="578" customWidth="1"/>
    <col min="13042" max="13042" width="15.59765625" style="578" bestFit="1" customWidth="1"/>
    <col min="13043" max="13043" width="16.3984375" style="578" customWidth="1"/>
    <col min="13044" max="13044" width="13.8984375" style="578" customWidth="1"/>
    <col min="13045" max="13045" width="18.59765625" style="578" customWidth="1"/>
    <col min="13046" max="13046" width="3" style="578" customWidth="1"/>
    <col min="13047" max="13047" width="4" style="578" customWidth="1"/>
    <col min="13048" max="13048" width="24.5" style="578" customWidth="1"/>
    <col min="13049" max="13049" width="8.8984375" style="578" customWidth="1"/>
    <col min="13050" max="13050" width="10.8984375" style="578" customWidth="1"/>
    <col min="13051" max="13051" width="10" style="578" customWidth="1"/>
    <col min="13052" max="13052" width="17.3984375" style="578" customWidth="1"/>
    <col min="13053" max="13053" width="10.8984375" style="578" customWidth="1"/>
    <col min="13054" max="13054" width="10" style="578" customWidth="1"/>
    <col min="13055" max="13055" width="16.09765625" style="578" customWidth="1"/>
    <col min="13056" max="13056" width="10.8984375" style="578" customWidth="1"/>
    <col min="13057" max="13057" width="12" style="578" customWidth="1"/>
    <col min="13058" max="13058" width="18.8984375" style="578" customWidth="1"/>
    <col min="13059" max="13059" width="10.8984375" style="578" customWidth="1"/>
    <col min="13060" max="13060" width="16.19921875" style="578" bestFit="1" customWidth="1"/>
    <col min="13061" max="13061" width="12.3984375" style="578" bestFit="1" customWidth="1"/>
    <col min="13062" max="13062" width="10.8984375" style="578" customWidth="1"/>
    <col min="13063" max="13063" width="10" style="578" customWidth="1"/>
    <col min="13064" max="13064" width="17.5" style="578" customWidth="1"/>
    <col min="13065" max="13065" width="10.8984375" style="578" customWidth="1"/>
    <col min="13066" max="13066" width="16" style="578" customWidth="1"/>
    <col min="13067" max="13067" width="12.3984375" style="578" bestFit="1" customWidth="1"/>
    <col min="13068" max="13284" width="11" style="578"/>
    <col min="13285" max="13285" width="32.69921875" style="578" customWidth="1"/>
    <col min="13286" max="13286" width="14.5" style="578" customWidth="1"/>
    <col min="13287" max="13287" width="15.59765625" style="578" bestFit="1" customWidth="1"/>
    <col min="13288" max="13288" width="15.5" style="578" customWidth="1"/>
    <col min="13289" max="13289" width="15.59765625" style="578" customWidth="1"/>
    <col min="13290" max="13290" width="15.59765625" style="578" bestFit="1" customWidth="1"/>
    <col min="13291" max="13291" width="15.8984375" style="578" customWidth="1"/>
    <col min="13292" max="13292" width="14.8984375" style="578" customWidth="1"/>
    <col min="13293" max="13293" width="14.5" style="578" customWidth="1"/>
    <col min="13294" max="13294" width="15.8984375" style="578" customWidth="1"/>
    <col min="13295" max="13295" width="12" style="578" bestFit="1" customWidth="1"/>
    <col min="13296" max="13296" width="18.59765625" style="578" customWidth="1"/>
    <col min="13297" max="13297" width="15.09765625" style="578" customWidth="1"/>
    <col min="13298" max="13298" width="15.59765625" style="578" bestFit="1" customWidth="1"/>
    <col min="13299" max="13299" width="16.3984375" style="578" customWidth="1"/>
    <col min="13300" max="13300" width="13.8984375" style="578" customWidth="1"/>
    <col min="13301" max="13301" width="18.59765625" style="578" customWidth="1"/>
    <col min="13302" max="13302" width="3" style="578" customWidth="1"/>
    <col min="13303" max="13303" width="4" style="578" customWidth="1"/>
    <col min="13304" max="13304" width="24.5" style="578" customWidth="1"/>
    <col min="13305" max="13305" width="8.8984375" style="578" customWidth="1"/>
    <col min="13306" max="13306" width="10.8984375" style="578" customWidth="1"/>
    <col min="13307" max="13307" width="10" style="578" customWidth="1"/>
    <col min="13308" max="13308" width="17.3984375" style="578" customWidth="1"/>
    <col min="13309" max="13309" width="10.8984375" style="578" customWidth="1"/>
    <col min="13310" max="13310" width="10" style="578" customWidth="1"/>
    <col min="13311" max="13311" width="16.09765625" style="578" customWidth="1"/>
    <col min="13312" max="13312" width="10.8984375" style="578" customWidth="1"/>
    <col min="13313" max="13313" width="12" style="578" customWidth="1"/>
    <col min="13314" max="13314" width="18.8984375" style="578" customWidth="1"/>
    <col min="13315" max="13315" width="10.8984375" style="578" customWidth="1"/>
    <col min="13316" max="13316" width="16.19921875" style="578" bestFit="1" customWidth="1"/>
    <col min="13317" max="13317" width="12.3984375" style="578" bestFit="1" customWidth="1"/>
    <col min="13318" max="13318" width="10.8984375" style="578" customWidth="1"/>
    <col min="13319" max="13319" width="10" style="578" customWidth="1"/>
    <col min="13320" max="13320" width="17.5" style="578" customWidth="1"/>
    <col min="13321" max="13321" width="10.8984375" style="578" customWidth="1"/>
    <col min="13322" max="13322" width="16" style="578" customWidth="1"/>
    <col min="13323" max="13323" width="12.3984375" style="578" bestFit="1" customWidth="1"/>
    <col min="13324" max="13540" width="11" style="578"/>
    <col min="13541" max="13541" width="32.69921875" style="578" customWidth="1"/>
    <col min="13542" max="13542" width="14.5" style="578" customWidth="1"/>
    <col min="13543" max="13543" width="15.59765625" style="578" bestFit="1" customWidth="1"/>
    <col min="13544" max="13544" width="15.5" style="578" customWidth="1"/>
    <col min="13545" max="13545" width="15.59765625" style="578" customWidth="1"/>
    <col min="13546" max="13546" width="15.59765625" style="578" bestFit="1" customWidth="1"/>
    <col min="13547" max="13547" width="15.8984375" style="578" customWidth="1"/>
    <col min="13548" max="13548" width="14.8984375" style="578" customWidth="1"/>
    <col min="13549" max="13549" width="14.5" style="578" customWidth="1"/>
    <col min="13550" max="13550" width="15.8984375" style="578" customWidth="1"/>
    <col min="13551" max="13551" width="12" style="578" bestFit="1" customWidth="1"/>
    <col min="13552" max="13552" width="18.59765625" style="578" customWidth="1"/>
    <col min="13553" max="13553" width="15.09765625" style="578" customWidth="1"/>
    <col min="13554" max="13554" width="15.59765625" style="578" bestFit="1" customWidth="1"/>
    <col min="13555" max="13555" width="16.3984375" style="578" customWidth="1"/>
    <col min="13556" max="13556" width="13.8984375" style="578" customWidth="1"/>
    <col min="13557" max="13557" width="18.59765625" style="578" customWidth="1"/>
    <col min="13558" max="13558" width="3" style="578" customWidth="1"/>
    <col min="13559" max="13559" width="4" style="578" customWidth="1"/>
    <col min="13560" max="13560" width="24.5" style="578" customWidth="1"/>
    <col min="13561" max="13561" width="8.8984375" style="578" customWidth="1"/>
    <col min="13562" max="13562" width="10.8984375" style="578" customWidth="1"/>
    <col min="13563" max="13563" width="10" style="578" customWidth="1"/>
    <col min="13564" max="13564" width="17.3984375" style="578" customWidth="1"/>
    <col min="13565" max="13565" width="10.8984375" style="578" customWidth="1"/>
    <col min="13566" max="13566" width="10" style="578" customWidth="1"/>
    <col min="13567" max="13567" width="16.09765625" style="578" customWidth="1"/>
    <col min="13568" max="13568" width="10.8984375" style="578" customWidth="1"/>
    <col min="13569" max="13569" width="12" style="578" customWidth="1"/>
    <col min="13570" max="13570" width="18.8984375" style="578" customWidth="1"/>
    <col min="13571" max="13571" width="10.8984375" style="578" customWidth="1"/>
    <col min="13572" max="13572" width="16.19921875" style="578" bestFit="1" customWidth="1"/>
    <col min="13573" max="13573" width="12.3984375" style="578" bestFit="1" customWidth="1"/>
    <col min="13574" max="13574" width="10.8984375" style="578" customWidth="1"/>
    <col min="13575" max="13575" width="10" style="578" customWidth="1"/>
    <col min="13576" max="13576" width="17.5" style="578" customWidth="1"/>
    <col min="13577" max="13577" width="10.8984375" style="578" customWidth="1"/>
    <col min="13578" max="13578" width="16" style="578" customWidth="1"/>
    <col min="13579" max="13579" width="12.3984375" style="578" bestFit="1" customWidth="1"/>
    <col min="13580" max="13796" width="11" style="578"/>
    <col min="13797" max="13797" width="32.69921875" style="578" customWidth="1"/>
    <col min="13798" max="13798" width="14.5" style="578" customWidth="1"/>
    <col min="13799" max="13799" width="15.59765625" style="578" bestFit="1" customWidth="1"/>
    <col min="13800" max="13800" width="15.5" style="578" customWidth="1"/>
    <col min="13801" max="13801" width="15.59765625" style="578" customWidth="1"/>
    <col min="13802" max="13802" width="15.59765625" style="578" bestFit="1" customWidth="1"/>
    <col min="13803" max="13803" width="15.8984375" style="578" customWidth="1"/>
    <col min="13804" max="13804" width="14.8984375" style="578" customWidth="1"/>
    <col min="13805" max="13805" width="14.5" style="578" customWidth="1"/>
    <col min="13806" max="13806" width="15.8984375" style="578" customWidth="1"/>
    <col min="13807" max="13807" width="12" style="578" bestFit="1" customWidth="1"/>
    <col min="13808" max="13808" width="18.59765625" style="578" customWidth="1"/>
    <col min="13809" max="13809" width="15.09765625" style="578" customWidth="1"/>
    <col min="13810" max="13810" width="15.59765625" style="578" bestFit="1" customWidth="1"/>
    <col min="13811" max="13811" width="16.3984375" style="578" customWidth="1"/>
    <col min="13812" max="13812" width="13.8984375" style="578" customWidth="1"/>
    <col min="13813" max="13813" width="18.59765625" style="578" customWidth="1"/>
    <col min="13814" max="13814" width="3" style="578" customWidth="1"/>
    <col min="13815" max="13815" width="4" style="578" customWidth="1"/>
    <col min="13816" max="13816" width="24.5" style="578" customWidth="1"/>
    <col min="13817" max="13817" width="8.8984375" style="578" customWidth="1"/>
    <col min="13818" max="13818" width="10.8984375" style="578" customWidth="1"/>
    <col min="13819" max="13819" width="10" style="578" customWidth="1"/>
    <col min="13820" max="13820" width="17.3984375" style="578" customWidth="1"/>
    <col min="13821" max="13821" width="10.8984375" style="578" customWidth="1"/>
    <col min="13822" max="13822" width="10" style="578" customWidth="1"/>
    <col min="13823" max="13823" width="16.09765625" style="578" customWidth="1"/>
    <col min="13824" max="13824" width="10.8984375" style="578" customWidth="1"/>
    <col min="13825" max="13825" width="12" style="578" customWidth="1"/>
    <col min="13826" max="13826" width="18.8984375" style="578" customWidth="1"/>
    <col min="13827" max="13827" width="10.8984375" style="578" customWidth="1"/>
    <col min="13828" max="13828" width="16.19921875" style="578" bestFit="1" customWidth="1"/>
    <col min="13829" max="13829" width="12.3984375" style="578" bestFit="1" customWidth="1"/>
    <col min="13830" max="13830" width="10.8984375" style="578" customWidth="1"/>
    <col min="13831" max="13831" width="10" style="578" customWidth="1"/>
    <col min="13832" max="13832" width="17.5" style="578" customWidth="1"/>
    <col min="13833" max="13833" width="10.8984375" style="578" customWidth="1"/>
    <col min="13834" max="13834" width="16" style="578" customWidth="1"/>
    <col min="13835" max="13835" width="12.3984375" style="578" bestFit="1" customWidth="1"/>
    <col min="13836" max="14052" width="11" style="578"/>
    <col min="14053" max="14053" width="32.69921875" style="578" customWidth="1"/>
    <col min="14054" max="14054" width="14.5" style="578" customWidth="1"/>
    <col min="14055" max="14055" width="15.59765625" style="578" bestFit="1" customWidth="1"/>
    <col min="14056" max="14056" width="15.5" style="578" customWidth="1"/>
    <col min="14057" max="14057" width="15.59765625" style="578" customWidth="1"/>
    <col min="14058" max="14058" width="15.59765625" style="578" bestFit="1" customWidth="1"/>
    <col min="14059" max="14059" width="15.8984375" style="578" customWidth="1"/>
    <col min="14060" max="14060" width="14.8984375" style="578" customWidth="1"/>
    <col min="14061" max="14061" width="14.5" style="578" customWidth="1"/>
    <col min="14062" max="14062" width="15.8984375" style="578" customWidth="1"/>
    <col min="14063" max="14063" width="12" style="578" bestFit="1" customWidth="1"/>
    <col min="14064" max="14064" width="18.59765625" style="578" customWidth="1"/>
    <col min="14065" max="14065" width="15.09765625" style="578" customWidth="1"/>
    <col min="14066" max="14066" width="15.59765625" style="578" bestFit="1" customWidth="1"/>
    <col min="14067" max="14067" width="16.3984375" style="578" customWidth="1"/>
    <col min="14068" max="14068" width="13.8984375" style="578" customWidth="1"/>
    <col min="14069" max="14069" width="18.59765625" style="578" customWidth="1"/>
    <col min="14070" max="14070" width="3" style="578" customWidth="1"/>
    <col min="14071" max="14071" width="4" style="578" customWidth="1"/>
    <col min="14072" max="14072" width="24.5" style="578" customWidth="1"/>
    <col min="14073" max="14073" width="8.8984375" style="578" customWidth="1"/>
    <col min="14074" max="14074" width="10.8984375" style="578" customWidth="1"/>
    <col min="14075" max="14075" width="10" style="578" customWidth="1"/>
    <col min="14076" max="14076" width="17.3984375" style="578" customWidth="1"/>
    <col min="14077" max="14077" width="10.8984375" style="578" customWidth="1"/>
    <col min="14078" max="14078" width="10" style="578" customWidth="1"/>
    <col min="14079" max="14079" width="16.09765625" style="578" customWidth="1"/>
    <col min="14080" max="14080" width="10.8984375" style="578" customWidth="1"/>
    <col min="14081" max="14081" width="12" style="578" customWidth="1"/>
    <col min="14082" max="14082" width="18.8984375" style="578" customWidth="1"/>
    <col min="14083" max="14083" width="10.8984375" style="578" customWidth="1"/>
    <col min="14084" max="14084" width="16.19921875" style="578" bestFit="1" customWidth="1"/>
    <col min="14085" max="14085" width="12.3984375" style="578" bestFit="1" customWidth="1"/>
    <col min="14086" max="14086" width="10.8984375" style="578" customWidth="1"/>
    <col min="14087" max="14087" width="10" style="578" customWidth="1"/>
    <col min="14088" max="14088" width="17.5" style="578" customWidth="1"/>
    <col min="14089" max="14089" width="10.8984375" style="578" customWidth="1"/>
    <col min="14090" max="14090" width="16" style="578" customWidth="1"/>
    <col min="14091" max="14091" width="12.3984375" style="578" bestFit="1" customWidth="1"/>
    <col min="14092" max="14308" width="11" style="578"/>
    <col min="14309" max="14309" width="32.69921875" style="578" customWidth="1"/>
    <col min="14310" max="14310" width="14.5" style="578" customWidth="1"/>
    <col min="14311" max="14311" width="15.59765625" style="578" bestFit="1" customWidth="1"/>
    <col min="14312" max="14312" width="15.5" style="578" customWidth="1"/>
    <col min="14313" max="14313" width="15.59765625" style="578" customWidth="1"/>
    <col min="14314" max="14314" width="15.59765625" style="578" bestFit="1" customWidth="1"/>
    <col min="14315" max="14315" width="15.8984375" style="578" customWidth="1"/>
    <col min="14316" max="14316" width="14.8984375" style="578" customWidth="1"/>
    <col min="14317" max="14317" width="14.5" style="578" customWidth="1"/>
    <col min="14318" max="14318" width="15.8984375" style="578" customWidth="1"/>
    <col min="14319" max="14319" width="12" style="578" bestFit="1" customWidth="1"/>
    <col min="14320" max="14320" width="18.59765625" style="578" customWidth="1"/>
    <col min="14321" max="14321" width="15.09765625" style="578" customWidth="1"/>
    <col min="14322" max="14322" width="15.59765625" style="578" bestFit="1" customWidth="1"/>
    <col min="14323" max="14323" width="16.3984375" style="578" customWidth="1"/>
    <col min="14324" max="14324" width="13.8984375" style="578" customWidth="1"/>
    <col min="14325" max="14325" width="18.59765625" style="578" customWidth="1"/>
    <col min="14326" max="14326" width="3" style="578" customWidth="1"/>
    <col min="14327" max="14327" width="4" style="578" customWidth="1"/>
    <col min="14328" max="14328" width="24.5" style="578" customWidth="1"/>
    <col min="14329" max="14329" width="8.8984375" style="578" customWidth="1"/>
    <col min="14330" max="14330" width="10.8984375" style="578" customWidth="1"/>
    <col min="14331" max="14331" width="10" style="578" customWidth="1"/>
    <col min="14332" max="14332" width="17.3984375" style="578" customWidth="1"/>
    <col min="14333" max="14333" width="10.8984375" style="578" customWidth="1"/>
    <col min="14334" max="14334" width="10" style="578" customWidth="1"/>
    <col min="14335" max="14335" width="16.09765625" style="578" customWidth="1"/>
    <col min="14336" max="14336" width="10.8984375" style="578" customWidth="1"/>
    <col min="14337" max="14337" width="12" style="578" customWidth="1"/>
    <col min="14338" max="14338" width="18.8984375" style="578" customWidth="1"/>
    <col min="14339" max="14339" width="10.8984375" style="578" customWidth="1"/>
    <col min="14340" max="14340" width="16.19921875" style="578" bestFit="1" customWidth="1"/>
    <col min="14341" max="14341" width="12.3984375" style="578" bestFit="1" customWidth="1"/>
    <col min="14342" max="14342" width="10.8984375" style="578" customWidth="1"/>
    <col min="14343" max="14343" width="10" style="578" customWidth="1"/>
    <col min="14344" max="14344" width="17.5" style="578" customWidth="1"/>
    <col min="14345" max="14345" width="10.8984375" style="578" customWidth="1"/>
    <col min="14346" max="14346" width="16" style="578" customWidth="1"/>
    <col min="14347" max="14347" width="12.3984375" style="578" bestFit="1" customWidth="1"/>
    <col min="14348" max="14564" width="11" style="578"/>
    <col min="14565" max="14565" width="32.69921875" style="578" customWidth="1"/>
    <col min="14566" max="14566" width="14.5" style="578" customWidth="1"/>
    <col min="14567" max="14567" width="15.59765625" style="578" bestFit="1" customWidth="1"/>
    <col min="14568" max="14568" width="15.5" style="578" customWidth="1"/>
    <col min="14569" max="14569" width="15.59765625" style="578" customWidth="1"/>
    <col min="14570" max="14570" width="15.59765625" style="578" bestFit="1" customWidth="1"/>
    <col min="14571" max="14571" width="15.8984375" style="578" customWidth="1"/>
    <col min="14572" max="14572" width="14.8984375" style="578" customWidth="1"/>
    <col min="14573" max="14573" width="14.5" style="578" customWidth="1"/>
    <col min="14574" max="14574" width="15.8984375" style="578" customWidth="1"/>
    <col min="14575" max="14575" width="12" style="578" bestFit="1" customWidth="1"/>
    <col min="14576" max="14576" width="18.59765625" style="578" customWidth="1"/>
    <col min="14577" max="14577" width="15.09765625" style="578" customWidth="1"/>
    <col min="14578" max="14578" width="15.59765625" style="578" bestFit="1" customWidth="1"/>
    <col min="14579" max="14579" width="16.3984375" style="578" customWidth="1"/>
    <col min="14580" max="14580" width="13.8984375" style="578" customWidth="1"/>
    <col min="14581" max="14581" width="18.59765625" style="578" customWidth="1"/>
    <col min="14582" max="14582" width="3" style="578" customWidth="1"/>
    <col min="14583" max="14583" width="4" style="578" customWidth="1"/>
    <col min="14584" max="14584" width="24.5" style="578" customWidth="1"/>
    <col min="14585" max="14585" width="8.8984375" style="578" customWidth="1"/>
    <col min="14586" max="14586" width="10.8984375" style="578" customWidth="1"/>
    <col min="14587" max="14587" width="10" style="578" customWidth="1"/>
    <col min="14588" max="14588" width="17.3984375" style="578" customWidth="1"/>
    <col min="14589" max="14589" width="10.8984375" style="578" customWidth="1"/>
    <col min="14590" max="14590" width="10" style="578" customWidth="1"/>
    <col min="14591" max="14591" width="16.09765625" style="578" customWidth="1"/>
    <col min="14592" max="14592" width="10.8984375" style="578" customWidth="1"/>
    <col min="14593" max="14593" width="12" style="578" customWidth="1"/>
    <col min="14594" max="14594" width="18.8984375" style="578" customWidth="1"/>
    <col min="14595" max="14595" width="10.8984375" style="578" customWidth="1"/>
    <col min="14596" max="14596" width="16.19921875" style="578" bestFit="1" customWidth="1"/>
    <col min="14597" max="14597" width="12.3984375" style="578" bestFit="1" customWidth="1"/>
    <col min="14598" max="14598" width="10.8984375" style="578" customWidth="1"/>
    <col min="14599" max="14599" width="10" style="578" customWidth="1"/>
    <col min="14600" max="14600" width="17.5" style="578" customWidth="1"/>
    <col min="14601" max="14601" width="10.8984375" style="578" customWidth="1"/>
    <col min="14602" max="14602" width="16" style="578" customWidth="1"/>
    <col min="14603" max="14603" width="12.3984375" style="578" bestFit="1" customWidth="1"/>
    <col min="14604" max="14820" width="11" style="578"/>
    <col min="14821" max="14821" width="32.69921875" style="578" customWidth="1"/>
    <col min="14822" max="14822" width="14.5" style="578" customWidth="1"/>
    <col min="14823" max="14823" width="15.59765625" style="578" bestFit="1" customWidth="1"/>
    <col min="14824" max="14824" width="15.5" style="578" customWidth="1"/>
    <col min="14825" max="14825" width="15.59765625" style="578" customWidth="1"/>
    <col min="14826" max="14826" width="15.59765625" style="578" bestFit="1" customWidth="1"/>
    <col min="14827" max="14827" width="15.8984375" style="578" customWidth="1"/>
    <col min="14828" max="14828" width="14.8984375" style="578" customWidth="1"/>
    <col min="14829" max="14829" width="14.5" style="578" customWidth="1"/>
    <col min="14830" max="14830" width="15.8984375" style="578" customWidth="1"/>
    <col min="14831" max="14831" width="12" style="578" bestFit="1" customWidth="1"/>
    <col min="14832" max="14832" width="18.59765625" style="578" customWidth="1"/>
    <col min="14833" max="14833" width="15.09765625" style="578" customWidth="1"/>
    <col min="14834" max="14834" width="15.59765625" style="578" bestFit="1" customWidth="1"/>
    <col min="14835" max="14835" width="16.3984375" style="578" customWidth="1"/>
    <col min="14836" max="14836" width="13.8984375" style="578" customWidth="1"/>
    <col min="14837" max="14837" width="18.59765625" style="578" customWidth="1"/>
    <col min="14838" max="14838" width="3" style="578" customWidth="1"/>
    <col min="14839" max="14839" width="4" style="578" customWidth="1"/>
    <col min="14840" max="14840" width="24.5" style="578" customWidth="1"/>
    <col min="14841" max="14841" width="8.8984375" style="578" customWidth="1"/>
    <col min="14842" max="14842" width="10.8984375" style="578" customWidth="1"/>
    <col min="14843" max="14843" width="10" style="578" customWidth="1"/>
    <col min="14844" max="14844" width="17.3984375" style="578" customWidth="1"/>
    <col min="14845" max="14845" width="10.8984375" style="578" customWidth="1"/>
    <col min="14846" max="14846" width="10" style="578" customWidth="1"/>
    <col min="14847" max="14847" width="16.09765625" style="578" customWidth="1"/>
    <col min="14848" max="14848" width="10.8984375" style="578" customWidth="1"/>
    <col min="14849" max="14849" width="12" style="578" customWidth="1"/>
    <col min="14850" max="14850" width="18.8984375" style="578" customWidth="1"/>
    <col min="14851" max="14851" width="10.8984375" style="578" customWidth="1"/>
    <col min="14852" max="14852" width="16.19921875" style="578" bestFit="1" customWidth="1"/>
    <col min="14853" max="14853" width="12.3984375" style="578" bestFit="1" customWidth="1"/>
    <col min="14854" max="14854" width="10.8984375" style="578" customWidth="1"/>
    <col min="14855" max="14855" width="10" style="578" customWidth="1"/>
    <col min="14856" max="14856" width="17.5" style="578" customWidth="1"/>
    <col min="14857" max="14857" width="10.8984375" style="578" customWidth="1"/>
    <col min="14858" max="14858" width="16" style="578" customWidth="1"/>
    <col min="14859" max="14859" width="12.3984375" style="578" bestFit="1" customWidth="1"/>
    <col min="14860" max="15076" width="11" style="578"/>
    <col min="15077" max="15077" width="32.69921875" style="578" customWidth="1"/>
    <col min="15078" max="15078" width="14.5" style="578" customWidth="1"/>
    <col min="15079" max="15079" width="15.59765625" style="578" bestFit="1" customWidth="1"/>
    <col min="15080" max="15080" width="15.5" style="578" customWidth="1"/>
    <col min="15081" max="15081" width="15.59765625" style="578" customWidth="1"/>
    <col min="15082" max="15082" width="15.59765625" style="578" bestFit="1" customWidth="1"/>
    <col min="15083" max="15083" width="15.8984375" style="578" customWidth="1"/>
    <col min="15084" max="15084" width="14.8984375" style="578" customWidth="1"/>
    <col min="15085" max="15085" width="14.5" style="578" customWidth="1"/>
    <col min="15086" max="15086" width="15.8984375" style="578" customWidth="1"/>
    <col min="15087" max="15087" width="12" style="578" bestFit="1" customWidth="1"/>
    <col min="15088" max="15088" width="18.59765625" style="578" customWidth="1"/>
    <col min="15089" max="15089" width="15.09765625" style="578" customWidth="1"/>
    <col min="15090" max="15090" width="15.59765625" style="578" bestFit="1" customWidth="1"/>
    <col min="15091" max="15091" width="16.3984375" style="578" customWidth="1"/>
    <col min="15092" max="15092" width="13.8984375" style="578" customWidth="1"/>
    <col min="15093" max="15093" width="18.59765625" style="578" customWidth="1"/>
    <col min="15094" max="15094" width="3" style="578" customWidth="1"/>
    <col min="15095" max="15095" width="4" style="578" customWidth="1"/>
    <col min="15096" max="15096" width="24.5" style="578" customWidth="1"/>
    <col min="15097" max="15097" width="8.8984375" style="578" customWidth="1"/>
    <col min="15098" max="15098" width="10.8984375" style="578" customWidth="1"/>
    <col min="15099" max="15099" width="10" style="578" customWidth="1"/>
    <col min="15100" max="15100" width="17.3984375" style="578" customWidth="1"/>
    <col min="15101" max="15101" width="10.8984375" style="578" customWidth="1"/>
    <col min="15102" max="15102" width="10" style="578" customWidth="1"/>
    <col min="15103" max="15103" width="16.09765625" style="578" customWidth="1"/>
    <col min="15104" max="15104" width="10.8984375" style="578" customWidth="1"/>
    <col min="15105" max="15105" width="12" style="578" customWidth="1"/>
    <col min="15106" max="15106" width="18.8984375" style="578" customWidth="1"/>
    <col min="15107" max="15107" width="10.8984375" style="578" customWidth="1"/>
    <col min="15108" max="15108" width="16.19921875" style="578" bestFit="1" customWidth="1"/>
    <col min="15109" max="15109" width="12.3984375" style="578" bestFit="1" customWidth="1"/>
    <col min="15110" max="15110" width="10.8984375" style="578" customWidth="1"/>
    <col min="15111" max="15111" width="10" style="578" customWidth="1"/>
    <col min="15112" max="15112" width="17.5" style="578" customWidth="1"/>
    <col min="15113" max="15113" width="10.8984375" style="578" customWidth="1"/>
    <col min="15114" max="15114" width="16" style="578" customWidth="1"/>
    <col min="15115" max="15115" width="12.3984375" style="578" bestFit="1" customWidth="1"/>
    <col min="15116" max="15332" width="11" style="578"/>
    <col min="15333" max="15333" width="32.69921875" style="578" customWidth="1"/>
    <col min="15334" max="15334" width="14.5" style="578" customWidth="1"/>
    <col min="15335" max="15335" width="15.59765625" style="578" bestFit="1" customWidth="1"/>
    <col min="15336" max="15336" width="15.5" style="578" customWidth="1"/>
    <col min="15337" max="15337" width="15.59765625" style="578" customWidth="1"/>
    <col min="15338" max="15338" width="15.59765625" style="578" bestFit="1" customWidth="1"/>
    <col min="15339" max="15339" width="15.8984375" style="578" customWidth="1"/>
    <col min="15340" max="15340" width="14.8984375" style="578" customWidth="1"/>
    <col min="15341" max="15341" width="14.5" style="578" customWidth="1"/>
    <col min="15342" max="15342" width="15.8984375" style="578" customWidth="1"/>
    <col min="15343" max="15343" width="12" style="578" bestFit="1" customWidth="1"/>
    <col min="15344" max="15344" width="18.59765625" style="578" customWidth="1"/>
    <col min="15345" max="15345" width="15.09765625" style="578" customWidth="1"/>
    <col min="15346" max="15346" width="15.59765625" style="578" bestFit="1" customWidth="1"/>
    <col min="15347" max="15347" width="16.3984375" style="578" customWidth="1"/>
    <col min="15348" max="15348" width="13.8984375" style="578" customWidth="1"/>
    <col min="15349" max="15349" width="18.59765625" style="578" customWidth="1"/>
    <col min="15350" max="15350" width="3" style="578" customWidth="1"/>
    <col min="15351" max="15351" width="4" style="578" customWidth="1"/>
    <col min="15352" max="15352" width="24.5" style="578" customWidth="1"/>
    <col min="15353" max="15353" width="8.8984375" style="578" customWidth="1"/>
    <col min="15354" max="15354" width="10.8984375" style="578" customWidth="1"/>
    <col min="15355" max="15355" width="10" style="578" customWidth="1"/>
    <col min="15356" max="15356" width="17.3984375" style="578" customWidth="1"/>
    <col min="15357" max="15357" width="10.8984375" style="578" customWidth="1"/>
    <col min="15358" max="15358" width="10" style="578" customWidth="1"/>
    <col min="15359" max="15359" width="16.09765625" style="578" customWidth="1"/>
    <col min="15360" max="15360" width="10.8984375" style="578" customWidth="1"/>
    <col min="15361" max="15361" width="12" style="578" customWidth="1"/>
    <col min="15362" max="15362" width="18.8984375" style="578" customWidth="1"/>
    <col min="15363" max="15363" width="10.8984375" style="578" customWidth="1"/>
    <col min="15364" max="15364" width="16.19921875" style="578" bestFit="1" customWidth="1"/>
    <col min="15365" max="15365" width="12.3984375" style="578" bestFit="1" customWidth="1"/>
    <col min="15366" max="15366" width="10.8984375" style="578" customWidth="1"/>
    <col min="15367" max="15367" width="10" style="578" customWidth="1"/>
    <col min="15368" max="15368" width="17.5" style="578" customWidth="1"/>
    <col min="15369" max="15369" width="10.8984375" style="578" customWidth="1"/>
    <col min="15370" max="15370" width="16" style="578" customWidth="1"/>
    <col min="15371" max="15371" width="12.3984375" style="578" bestFit="1" customWidth="1"/>
    <col min="15372" max="15588" width="11" style="578"/>
    <col min="15589" max="15589" width="32.69921875" style="578" customWidth="1"/>
    <col min="15590" max="15590" width="14.5" style="578" customWidth="1"/>
    <col min="15591" max="15591" width="15.59765625" style="578" bestFit="1" customWidth="1"/>
    <col min="15592" max="15592" width="15.5" style="578" customWidth="1"/>
    <col min="15593" max="15593" width="15.59765625" style="578" customWidth="1"/>
    <col min="15594" max="15594" width="15.59765625" style="578" bestFit="1" customWidth="1"/>
    <col min="15595" max="15595" width="15.8984375" style="578" customWidth="1"/>
    <col min="15596" max="15596" width="14.8984375" style="578" customWidth="1"/>
    <col min="15597" max="15597" width="14.5" style="578" customWidth="1"/>
    <col min="15598" max="15598" width="15.8984375" style="578" customWidth="1"/>
    <col min="15599" max="15599" width="12" style="578" bestFit="1" customWidth="1"/>
    <col min="15600" max="15600" width="18.59765625" style="578" customWidth="1"/>
    <col min="15601" max="15601" width="15.09765625" style="578" customWidth="1"/>
    <col min="15602" max="15602" width="15.59765625" style="578" bestFit="1" customWidth="1"/>
    <col min="15603" max="15603" width="16.3984375" style="578" customWidth="1"/>
    <col min="15604" max="15604" width="13.8984375" style="578" customWidth="1"/>
    <col min="15605" max="15605" width="18.59765625" style="578" customWidth="1"/>
    <col min="15606" max="15606" width="3" style="578" customWidth="1"/>
    <col min="15607" max="15607" width="4" style="578" customWidth="1"/>
    <col min="15608" max="15608" width="24.5" style="578" customWidth="1"/>
    <col min="15609" max="15609" width="8.8984375" style="578" customWidth="1"/>
    <col min="15610" max="15610" width="10.8984375" style="578" customWidth="1"/>
    <col min="15611" max="15611" width="10" style="578" customWidth="1"/>
    <col min="15612" max="15612" width="17.3984375" style="578" customWidth="1"/>
    <col min="15613" max="15613" width="10.8984375" style="578" customWidth="1"/>
    <col min="15614" max="15614" width="10" style="578" customWidth="1"/>
    <col min="15615" max="15615" width="16.09765625" style="578" customWidth="1"/>
    <col min="15616" max="15616" width="10.8984375" style="578" customWidth="1"/>
    <col min="15617" max="15617" width="12" style="578" customWidth="1"/>
    <col min="15618" max="15618" width="18.8984375" style="578" customWidth="1"/>
    <col min="15619" max="15619" width="10.8984375" style="578" customWidth="1"/>
    <col min="15620" max="15620" width="16.19921875" style="578" bestFit="1" customWidth="1"/>
    <col min="15621" max="15621" width="12.3984375" style="578" bestFit="1" customWidth="1"/>
    <col min="15622" max="15622" width="10.8984375" style="578" customWidth="1"/>
    <col min="15623" max="15623" width="10" style="578" customWidth="1"/>
    <col min="15624" max="15624" width="17.5" style="578" customWidth="1"/>
    <col min="15625" max="15625" width="10.8984375" style="578" customWidth="1"/>
    <col min="15626" max="15626" width="16" style="578" customWidth="1"/>
    <col min="15627" max="15627" width="12.3984375" style="578" bestFit="1" customWidth="1"/>
    <col min="15628" max="15844" width="11" style="578"/>
    <col min="15845" max="15845" width="32.69921875" style="578" customWidth="1"/>
    <col min="15846" max="15846" width="14.5" style="578" customWidth="1"/>
    <col min="15847" max="15847" width="15.59765625" style="578" bestFit="1" customWidth="1"/>
    <col min="15848" max="15848" width="15.5" style="578" customWidth="1"/>
    <col min="15849" max="15849" width="15.59765625" style="578" customWidth="1"/>
    <col min="15850" max="15850" width="15.59765625" style="578" bestFit="1" customWidth="1"/>
    <col min="15851" max="15851" width="15.8984375" style="578" customWidth="1"/>
    <col min="15852" max="15852" width="14.8984375" style="578" customWidth="1"/>
    <col min="15853" max="15853" width="14.5" style="578" customWidth="1"/>
    <col min="15854" max="15854" width="15.8984375" style="578" customWidth="1"/>
    <col min="15855" max="15855" width="12" style="578" bestFit="1" customWidth="1"/>
    <col min="15856" max="15856" width="18.59765625" style="578" customWidth="1"/>
    <col min="15857" max="15857" width="15.09765625" style="578" customWidth="1"/>
    <col min="15858" max="15858" width="15.59765625" style="578" bestFit="1" customWidth="1"/>
    <col min="15859" max="15859" width="16.3984375" style="578" customWidth="1"/>
    <col min="15860" max="15860" width="13.8984375" style="578" customWidth="1"/>
    <col min="15861" max="15861" width="18.59765625" style="578" customWidth="1"/>
    <col min="15862" max="15862" width="3" style="578" customWidth="1"/>
    <col min="15863" max="15863" width="4" style="578" customWidth="1"/>
    <col min="15864" max="15864" width="24.5" style="578" customWidth="1"/>
    <col min="15865" max="15865" width="8.8984375" style="578" customWidth="1"/>
    <col min="15866" max="15866" width="10.8984375" style="578" customWidth="1"/>
    <col min="15867" max="15867" width="10" style="578" customWidth="1"/>
    <col min="15868" max="15868" width="17.3984375" style="578" customWidth="1"/>
    <col min="15869" max="15869" width="10.8984375" style="578" customWidth="1"/>
    <col min="15870" max="15870" width="10" style="578" customWidth="1"/>
    <col min="15871" max="15871" width="16.09765625" style="578" customWidth="1"/>
    <col min="15872" max="15872" width="10.8984375" style="578" customWidth="1"/>
    <col min="15873" max="15873" width="12" style="578" customWidth="1"/>
    <col min="15874" max="15874" width="18.8984375" style="578" customWidth="1"/>
    <col min="15875" max="15875" width="10.8984375" style="578" customWidth="1"/>
    <col min="15876" max="15876" width="16.19921875" style="578" bestFit="1" customWidth="1"/>
    <col min="15877" max="15877" width="12.3984375" style="578" bestFit="1" customWidth="1"/>
    <col min="15878" max="15878" width="10.8984375" style="578" customWidth="1"/>
    <col min="15879" max="15879" width="10" style="578" customWidth="1"/>
    <col min="15880" max="15880" width="17.5" style="578" customWidth="1"/>
    <col min="15881" max="15881" width="10.8984375" style="578" customWidth="1"/>
    <col min="15882" max="15882" width="16" style="578" customWidth="1"/>
    <col min="15883" max="15883" width="12.3984375" style="578" bestFit="1" customWidth="1"/>
    <col min="15884" max="16100" width="11" style="578"/>
    <col min="16101" max="16101" width="32.69921875" style="578" customWidth="1"/>
    <col min="16102" max="16102" width="14.5" style="578" customWidth="1"/>
    <col min="16103" max="16103" width="15.59765625" style="578" bestFit="1" customWidth="1"/>
    <col min="16104" max="16104" width="15.5" style="578" customWidth="1"/>
    <col min="16105" max="16105" width="15.59765625" style="578" customWidth="1"/>
    <col min="16106" max="16106" width="15.59765625" style="578" bestFit="1" customWidth="1"/>
    <col min="16107" max="16107" width="15.8984375" style="578" customWidth="1"/>
    <col min="16108" max="16108" width="14.8984375" style="578" customWidth="1"/>
    <col min="16109" max="16109" width="14.5" style="578" customWidth="1"/>
    <col min="16110" max="16110" width="15.8984375" style="578" customWidth="1"/>
    <col min="16111" max="16111" width="12" style="578" bestFit="1" customWidth="1"/>
    <col min="16112" max="16112" width="18.59765625" style="578" customWidth="1"/>
    <col min="16113" max="16113" width="15.09765625" style="578" customWidth="1"/>
    <col min="16114" max="16114" width="15.59765625" style="578" bestFit="1" customWidth="1"/>
    <col min="16115" max="16115" width="16.3984375" style="578" customWidth="1"/>
    <col min="16116" max="16116" width="13.8984375" style="578" customWidth="1"/>
    <col min="16117" max="16117" width="18.59765625" style="578" customWidth="1"/>
    <col min="16118" max="16118" width="3" style="578" customWidth="1"/>
    <col min="16119" max="16119" width="4" style="578" customWidth="1"/>
    <col min="16120" max="16120" width="24.5" style="578" customWidth="1"/>
    <col min="16121" max="16121" width="8.8984375" style="578" customWidth="1"/>
    <col min="16122" max="16122" width="10.8984375" style="578" customWidth="1"/>
    <col min="16123" max="16123" width="10" style="578" customWidth="1"/>
    <col min="16124" max="16124" width="17.3984375" style="578" customWidth="1"/>
    <col min="16125" max="16125" width="10.8984375" style="578" customWidth="1"/>
    <col min="16126" max="16126" width="10" style="578" customWidth="1"/>
    <col min="16127" max="16127" width="16.09765625" style="578" customWidth="1"/>
    <col min="16128" max="16128" width="10.8984375" style="578" customWidth="1"/>
    <col min="16129" max="16129" width="12" style="578" customWidth="1"/>
    <col min="16130" max="16130" width="18.8984375" style="578" customWidth="1"/>
    <col min="16131" max="16131" width="10.8984375" style="578" customWidth="1"/>
    <col min="16132" max="16132" width="16.19921875" style="578" bestFit="1" customWidth="1"/>
    <col min="16133" max="16133" width="12.3984375" style="578" bestFit="1" customWidth="1"/>
    <col min="16134" max="16134" width="10.8984375" style="578" customWidth="1"/>
    <col min="16135" max="16135" width="10" style="578" customWidth="1"/>
    <col min="16136" max="16136" width="17.5" style="578" customWidth="1"/>
    <col min="16137" max="16137" width="10.8984375" style="578" customWidth="1"/>
    <col min="16138" max="16138" width="16" style="578" customWidth="1"/>
    <col min="16139" max="16139" width="12.3984375" style="578" bestFit="1" customWidth="1"/>
    <col min="16140" max="16384" width="11" style="578"/>
  </cols>
  <sheetData>
    <row r="1" spans="1:219" ht="41.25" customHeight="1">
      <c r="B1" s="1413" t="str">
        <f>"Budget 2022 Mensuel Révisé"&amp;" "&amp;Parametres!$B$1</f>
        <v>Budget 2022 Mensuel Révisé Volks</v>
      </c>
      <c r="C1" s="1413"/>
      <c r="D1" s="1413"/>
      <c r="E1" s="1413"/>
      <c r="F1" s="1413"/>
      <c r="G1" s="1413"/>
      <c r="H1" s="1413"/>
      <c r="I1" s="1413"/>
      <c r="J1" s="1413"/>
      <c r="K1" s="1413"/>
      <c r="L1" s="1413"/>
      <c r="M1" s="1413"/>
      <c r="N1" s="1413"/>
      <c r="O1" s="1413"/>
      <c r="P1" s="1413"/>
      <c r="Q1" s="1413"/>
      <c r="R1" s="1413"/>
      <c r="S1" s="1413"/>
      <c r="T1" s="1413"/>
      <c r="U1" s="1413"/>
      <c r="V1" s="1413"/>
      <c r="W1" s="1413"/>
      <c r="X1" s="1413"/>
      <c r="Y1" s="1413"/>
      <c r="Z1" s="1413"/>
      <c r="AA1" s="1413"/>
      <c r="AB1" s="1413"/>
      <c r="AC1" s="1413"/>
      <c r="AD1" s="1413"/>
      <c r="AE1" s="1413"/>
      <c r="AF1" s="1413"/>
      <c r="AG1" s="1413"/>
      <c r="AH1" s="1413"/>
      <c r="AI1" s="1413"/>
      <c r="AJ1" s="1413"/>
      <c r="AK1" s="1413"/>
      <c r="AL1" s="1413"/>
      <c r="AM1" s="1413"/>
      <c r="AN1" s="1413"/>
      <c r="AO1" s="1413"/>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
      </c>
      <c r="P2" s="610" t="str">
        <f>+IF(Parametres!$B$3=O$6,"O","")</f>
        <v/>
      </c>
      <c r="Q2" s="610" t="str">
        <f>+IF(Parametres!$B$3=O$6,"U","")</f>
        <v/>
      </c>
      <c r="R2" s="610" t="str">
        <f>+IF(Parametres!$B$3=R$6,"X","")</f>
        <v>X</v>
      </c>
      <c r="S2" s="610" t="str">
        <f>+IF(Parametres!$B$3=R$6,"O","")</f>
        <v>O</v>
      </c>
      <c r="T2" s="610" t="str">
        <f>+IF(Parametres!$B$3=R$6,"U","")</f>
        <v>U</v>
      </c>
      <c r="U2" s="610" t="str">
        <f>+IF(Parametres!$B$3=U$6,"X","")</f>
        <v/>
      </c>
      <c r="V2" s="610" t="str">
        <f>+IF(Parametres!$B$3=U$6,"O","")</f>
        <v/>
      </c>
      <c r="W2" s="610" t="str">
        <f>+IF(Parametres!$B$3=U$6,"U","")</f>
        <v/>
      </c>
      <c r="X2" s="610" t="str">
        <f>+IF(Parametres!$B$3=X$6,"X","")</f>
        <v/>
      </c>
      <c r="Y2" s="610" t="str">
        <f>+IF(Parametres!$B$3=X$6,"O","")</f>
        <v/>
      </c>
      <c r="Z2" s="610" t="str">
        <f>+IF(Parametres!$B$3=X$6,"U","")</f>
        <v/>
      </c>
      <c r="AA2" s="610" t="str">
        <f>+IF(Parametres!$B$3=AA$6,"X","")</f>
        <v/>
      </c>
      <c r="AB2" s="610" t="str">
        <f>+IF(Parametres!$B$3=AA$6,"O","")</f>
        <v/>
      </c>
      <c r="AC2" s="610" t="str">
        <f>+IF(Parametres!$B$3=AA$6,"U","")</f>
        <v/>
      </c>
      <c r="AD2" s="610" t="str">
        <f>+IF(Parametres!$B$3=AD$6,"X","")</f>
        <v/>
      </c>
      <c r="AE2" s="610" t="str">
        <f>+IF(Parametres!$B$3=AD$6,"O","")</f>
        <v/>
      </c>
      <c r="AF2" s="610" t="str">
        <f>+IF(Parametres!$B$3=AD$6,"U","")</f>
        <v/>
      </c>
      <c r="AG2" s="610" t="str">
        <f>+IF(Parametres!$B$3=AG$6,"X","")</f>
        <v/>
      </c>
      <c r="AH2" s="610" t="str">
        <f>+IF(Parametres!$B$3=AG$6,"O","")</f>
        <v/>
      </c>
      <c r="AI2" s="610" t="str">
        <f>+IF(Parametres!$B$3=AG$6,"U","")</f>
        <v/>
      </c>
      <c r="AJ2" s="610" t="str">
        <f>+IF(Parametres!$B$3=AJ$6,"X","")</f>
        <v/>
      </c>
      <c r="AK2" s="610" t="str">
        <f>+IF(Parametres!$B$3=AJ$6,"O","")</f>
        <v/>
      </c>
      <c r="AL2" s="610" t="str">
        <f>+IF(Parametres!$B$3=AJ$6,"U","")</f>
        <v/>
      </c>
      <c r="AM2" s="610" t="str">
        <f>+IF(Parametres!$B$3=AM$6,"X","")</f>
        <v/>
      </c>
      <c r="AN2" s="610" t="str">
        <f>+IF(Parametres!$B$3=AM$6,"O","")</f>
        <v/>
      </c>
      <c r="AO2" s="610" t="str">
        <f>+IF(Parametres!$B$3=AM$6,"U","")</f>
        <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X</v>
      </c>
      <c r="S3" s="615" t="str">
        <f>+IF(VLOOKUP(R$6,Parametres!$K$3:$N$14,4,0)="X","O","")</f>
        <v>O</v>
      </c>
      <c r="T3" s="615" t="str">
        <f>+IF(VLOOKUP(R$6,Parametres!$K$3:$N$14,4,0)="X","U","")</f>
        <v>U</v>
      </c>
      <c r="U3" s="615" t="str">
        <f>+IF(VLOOKUP(U$6,Parametres!$K$3:$N$14,4,0)="X","X","")</f>
        <v/>
      </c>
      <c r="V3" s="615" t="str">
        <f>+IF(VLOOKUP(U$6,Parametres!$K$3:$N$14,4,0)="X","O","")</f>
        <v/>
      </c>
      <c r="W3" s="615" t="str">
        <f>+IF(VLOOKUP(U$6,Parametres!$K$3:$N$14,4,0)="X","U","")</f>
        <v/>
      </c>
      <c r="X3" s="615" t="str">
        <f>+IF(VLOOKUP(X$6,Parametres!$K$3:$N$14,4,0)="X","X","")</f>
        <v/>
      </c>
      <c r="Y3" s="615" t="str">
        <f>+IF(VLOOKUP(X$6,Parametres!$K$3:$N$14,4,0)="X","O","")</f>
        <v/>
      </c>
      <c r="Z3" s="615" t="str">
        <f>+IF(VLOOKUP(X$6,Parametres!$K$3:$N$14,4,0)="X","U","")</f>
        <v/>
      </c>
      <c r="AA3" s="615" t="str">
        <f>+IF(VLOOKUP(AA$6,Parametres!$K$3:$N$14,4,0)="X","X","")</f>
        <v/>
      </c>
      <c r="AB3" s="615" t="str">
        <f>+IF(VLOOKUP(AA$6,Parametres!$K$3:$N$14,4,0)="X","O","")</f>
        <v/>
      </c>
      <c r="AC3" s="615" t="str">
        <f>+IF(VLOOKUP(AA$6,Parametres!$K$3:$N$14,4,0)="X","U","")</f>
        <v/>
      </c>
      <c r="AD3" s="615" t="str">
        <f>+IF(VLOOKUP(AD$6,Parametres!$K$3:$N$14,4,0)="X","X","")</f>
        <v/>
      </c>
      <c r="AE3" s="615" t="str">
        <f>+IF(VLOOKUP(AD$6,Parametres!$K$3:$N$14,4,0)="X","O","")</f>
        <v/>
      </c>
      <c r="AF3" s="615" t="str">
        <f>+IF(VLOOKUP(AD$6,Parametres!$K$3:$N$14,4,0)="X","U","")</f>
        <v/>
      </c>
      <c r="AG3" s="615" t="str">
        <f>+IF(VLOOKUP(AG$6,Parametres!$K$3:$N$14,4,0)="X","X","")</f>
        <v/>
      </c>
      <c r="AH3" s="615" t="str">
        <f>+IF(VLOOKUP(AG$6,Parametres!$K$3:$N$14,4,0)="X","O","")</f>
        <v/>
      </c>
      <c r="AI3" s="615" t="str">
        <f>+IF(VLOOKUP(AG$6,Parametres!$K$3:$N$14,4,0)="X","U","")</f>
        <v/>
      </c>
      <c r="AJ3" s="615" t="str">
        <f>+IF(VLOOKUP(AJ$6,Parametres!$K$3:$N$14,4,0)="X","X","")</f>
        <v/>
      </c>
      <c r="AK3" s="615" t="str">
        <f>+IF(VLOOKUP(AJ$6,Parametres!$K$3:$N$14,4,0)="X","O","")</f>
        <v/>
      </c>
      <c r="AL3" s="615" t="str">
        <f>+IF(VLOOKUP(AJ$6,Parametres!$K$3:$N$14,4,0)="X","U","")</f>
        <v/>
      </c>
      <c r="AM3" s="615" t="str">
        <f>+IF(VLOOKUP(AM$6,Parametres!$K$3:$N$14,4,0)="X","X","")</f>
        <v/>
      </c>
      <c r="AN3" s="615" t="str">
        <f>+IF(VLOOKUP(AM$6,Parametres!$K$3:$N$14,4,0)="X","O","")</f>
        <v/>
      </c>
      <c r="AO3" s="615" t="str">
        <f>+IF(VLOOKUP(AM$6,Parametres!$K$3:$N$14,4,0)="X","U","")</f>
        <v/>
      </c>
    </row>
    <row r="4" spans="1:219" s="579" customFormat="1" ht="35.4">
      <c r="A4" s="580"/>
      <c r="B4" s="580" t="s">
        <v>3001</v>
      </c>
      <c r="C4" s="1414" t="s">
        <v>75</v>
      </c>
      <c r="D4" s="1414"/>
      <c r="E4" s="1414"/>
      <c r="F4" s="1414"/>
      <c r="G4" s="1414"/>
      <c r="H4" s="1414"/>
      <c r="I4" s="1414"/>
      <c r="J4" s="1414"/>
      <c r="K4" s="1414"/>
      <c r="L4" s="1414"/>
      <c r="M4" s="1414"/>
      <c r="N4" s="1414"/>
      <c r="O4" s="1414"/>
      <c r="P4" s="1414"/>
      <c r="Q4" s="1414"/>
      <c r="R4" s="1414"/>
      <c r="S4" s="1414"/>
      <c r="T4" s="1414"/>
      <c r="U4" s="1414"/>
      <c r="V4" s="1414"/>
      <c r="W4" s="1414"/>
      <c r="X4" s="1414"/>
      <c r="Y4" s="1414"/>
      <c r="Z4" s="1414"/>
      <c r="AA4" s="1414"/>
      <c r="AB4" s="1414"/>
      <c r="AC4" s="1414"/>
      <c r="AD4" s="1414"/>
      <c r="AE4" s="1414"/>
      <c r="AF4" s="1414"/>
      <c r="AG4" s="1414"/>
      <c r="AH4" s="1414"/>
      <c r="AI4" s="1414"/>
      <c r="AJ4" s="1414"/>
      <c r="AK4" s="1414"/>
      <c r="AL4" s="1414"/>
      <c r="AM4" s="1414"/>
      <c r="AN4" s="1414"/>
      <c r="AO4" s="1414"/>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6" thickTop="1">
      <c r="A6" s="611"/>
      <c r="B6" s="692" t="s">
        <v>1928</v>
      </c>
      <c r="C6" s="1410">
        <v>2022</v>
      </c>
      <c r="D6" s="1411"/>
      <c r="E6" s="1412"/>
      <c r="F6" s="1007" t="s">
        <v>1929</v>
      </c>
      <c r="G6" s="1008"/>
      <c r="H6" s="1009"/>
      <c r="I6" s="1007" t="s">
        <v>1930</v>
      </c>
      <c r="J6" s="1008"/>
      <c r="K6" s="1009"/>
      <c r="L6" s="1007" t="s">
        <v>1931</v>
      </c>
      <c r="M6" s="1008"/>
      <c r="N6" s="1009"/>
      <c r="O6" s="1007" t="s">
        <v>1932</v>
      </c>
      <c r="P6" s="1008"/>
      <c r="Q6" s="1009"/>
      <c r="R6" s="1007" t="s">
        <v>1933</v>
      </c>
      <c r="S6" s="1008"/>
      <c r="T6" s="1009"/>
      <c r="U6" s="1007" t="s">
        <v>1912</v>
      </c>
      <c r="V6" s="1008"/>
      <c r="W6" s="1009"/>
      <c r="X6" s="1007" t="s">
        <v>1934</v>
      </c>
      <c r="Y6" s="1008"/>
      <c r="Z6" s="1009"/>
      <c r="AA6" s="1007" t="s">
        <v>1935</v>
      </c>
      <c r="AB6" s="1008"/>
      <c r="AC6" s="1009"/>
      <c r="AD6" s="1007" t="s">
        <v>3</v>
      </c>
      <c r="AE6" s="1008"/>
      <c r="AF6" s="1009"/>
      <c r="AG6" s="1007" t="s">
        <v>1936</v>
      </c>
      <c r="AH6" s="1008"/>
      <c r="AI6" s="1009"/>
      <c r="AJ6" s="1007" t="s">
        <v>1937</v>
      </c>
      <c r="AK6" s="1008"/>
      <c r="AL6" s="1009"/>
      <c r="AM6" s="1007" t="s">
        <v>1938</v>
      </c>
      <c r="AN6" s="1008"/>
      <c r="AO6" s="1009"/>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399999999999999">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399999999999999">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399999999999999">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399999999999999">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399999999999999">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399999999999999">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399999999999999">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399999999999999">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399999999999999">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1">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399999999999999">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1">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399999999999999">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1">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1">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1">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1">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399999999999999">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399999999999999">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399999999999999">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1">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399999999999999">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6"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6"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6"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1">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399999999999999">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399999999999999">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399999999999999">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399999999999999">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399999999999999">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399999999999999">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399999999999999">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399999999999999">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399999999999999">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399999999999999">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1">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399999999999999">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399999999999999">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399999999999999">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399999999999999">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399999999999999">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399999999999999">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399999999999999">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399999999999999">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399999999999999">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399999999999999">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399999999999999">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399999999999999">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1">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399999999999999">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399999999999999">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399999999999999">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399999999999999">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399999999999999">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399999999999999">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399999999999999">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399999999999999">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399999999999999">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399999999999999">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399999999999999">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399999999999999">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399999999999999">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399999999999999">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399999999999999">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399999999999999">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399999999999999">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1">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399999999999999">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1">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399999999999999">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399999999999999">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399999999999999">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399999999999999">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399999999999999">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399999999999999">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399999999999999">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399999999999999">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1">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1">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6"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2.8">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2.8">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399999999999999">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4">
      <c r="A92" s="612"/>
      <c r="B92" s="776" t="str">
        <f>B4</f>
        <v xml:space="preserve">Budget 2022  </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6" thickTop="1">
      <c r="A94" s="612"/>
      <c r="B94" s="692" t="s">
        <v>1928</v>
      </c>
      <c r="C94" s="1410">
        <v>2022</v>
      </c>
      <c r="D94" s="1411"/>
      <c r="E94" s="1412"/>
      <c r="F94" s="1007" t="s">
        <v>1929</v>
      </c>
      <c r="G94" s="1008"/>
      <c r="H94" s="1009"/>
      <c r="I94" s="1007" t="s">
        <v>1930</v>
      </c>
      <c r="J94" s="1008"/>
      <c r="K94" s="1009"/>
      <c r="L94" s="1007" t="s">
        <v>1931</v>
      </c>
      <c r="M94" s="1008"/>
      <c r="N94" s="1009"/>
      <c r="O94" s="1007" t="s">
        <v>1932</v>
      </c>
      <c r="P94" s="1008"/>
      <c r="Q94" s="1009"/>
      <c r="R94" s="1007" t="s">
        <v>1933</v>
      </c>
      <c r="S94" s="1008"/>
      <c r="T94" s="1009"/>
      <c r="U94" s="1007" t="s">
        <v>1912</v>
      </c>
      <c r="V94" s="1008"/>
      <c r="W94" s="1009"/>
      <c r="X94" s="1007" t="s">
        <v>1934</v>
      </c>
      <c r="Y94" s="1008"/>
      <c r="Z94" s="1009"/>
      <c r="AA94" s="1007" t="s">
        <v>1935</v>
      </c>
      <c r="AB94" s="1008"/>
      <c r="AC94" s="1009"/>
      <c r="AD94" s="1007" t="s">
        <v>3</v>
      </c>
      <c r="AE94" s="1008"/>
      <c r="AF94" s="1009"/>
      <c r="AG94" s="1007" t="s">
        <v>1936</v>
      </c>
      <c r="AH94" s="1008"/>
      <c r="AI94" s="1009"/>
      <c r="AJ94" s="1007" t="s">
        <v>1937</v>
      </c>
      <c r="AK94" s="1008"/>
      <c r="AL94" s="1009"/>
      <c r="AM94" s="1007" t="s">
        <v>1938</v>
      </c>
      <c r="AN94" s="1008"/>
      <c r="AO94" s="1009"/>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399999999999999">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399999999999999">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399999999999999">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399999999999999">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1">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399999999999999">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399999999999999">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399999999999999">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399999999999999">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399999999999999">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399999999999999">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399999999999999">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1">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399999999999999">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6"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6"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6"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1">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399999999999999">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399999999999999">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399999999999999">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399999999999999">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399999999999999">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399999999999999">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399999999999999">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399999999999999">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399999999999999">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399999999999999">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1">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399999999999999">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399999999999999">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399999999999999">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399999999999999">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399999999999999">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399999999999999">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399999999999999">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399999999999999">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399999999999999">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399999999999999">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399999999999999">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399999999999999">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1">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399999999999999">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399999999999999">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399999999999999">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399999999999999">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399999999999999">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399999999999999">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399999999999999">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399999999999999">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399999999999999">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399999999999999">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399999999999999">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399999999999999">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399999999999999">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399999999999999">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399999999999999">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399999999999999">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399999999999999">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1">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399999999999999">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1">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399999999999999">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399999999999999">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399999999999999">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399999999999999">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399999999999999">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399999999999999">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399999999999999">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1">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399999999999999">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6"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399999999999999">
      <c r="A168" s="612"/>
      <c r="B168" s="775"/>
      <c r="C168" s="775"/>
      <c r="D168" s="775"/>
      <c r="E168" s="792"/>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399999999999999">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4">
      <c r="A170" s="612"/>
      <c r="B170" s="776" t="str">
        <f>B4</f>
        <v xml:space="preserve">Budget 2022  </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6" thickTop="1">
      <c r="A172" s="612"/>
      <c r="B172" s="692" t="s">
        <v>1928</v>
      </c>
      <c r="C172" s="1410">
        <v>2022</v>
      </c>
      <c r="D172" s="1411"/>
      <c r="E172" s="1412"/>
      <c r="F172" s="1007" t="s">
        <v>1929</v>
      </c>
      <c r="G172" s="1008"/>
      <c r="H172" s="1009"/>
      <c r="I172" s="1007" t="s">
        <v>1930</v>
      </c>
      <c r="J172" s="1008"/>
      <c r="K172" s="1009"/>
      <c r="L172" s="1007" t="s">
        <v>1931</v>
      </c>
      <c r="M172" s="1008"/>
      <c r="N172" s="1009"/>
      <c r="O172" s="1007" t="s">
        <v>1932</v>
      </c>
      <c r="P172" s="1008"/>
      <c r="Q172" s="1009"/>
      <c r="R172" s="1007" t="s">
        <v>1933</v>
      </c>
      <c r="S172" s="1008"/>
      <c r="T172" s="1009"/>
      <c r="U172" s="1007" t="s">
        <v>1912</v>
      </c>
      <c r="V172" s="1008"/>
      <c r="W172" s="1009"/>
      <c r="X172" s="1007" t="s">
        <v>1934</v>
      </c>
      <c r="Y172" s="1008"/>
      <c r="Z172" s="1009"/>
      <c r="AA172" s="1007" t="s">
        <v>1935</v>
      </c>
      <c r="AB172" s="1008"/>
      <c r="AC172" s="1009"/>
      <c r="AD172" s="1007" t="s">
        <v>3</v>
      </c>
      <c r="AE172" s="1008"/>
      <c r="AF172" s="1009"/>
      <c r="AG172" s="1007" t="s">
        <v>1936</v>
      </c>
      <c r="AH172" s="1008"/>
      <c r="AI172" s="1009"/>
      <c r="AJ172" s="1007" t="s">
        <v>1937</v>
      </c>
      <c r="AK172" s="1008"/>
      <c r="AL172" s="1009"/>
      <c r="AM172" s="1007" t="s">
        <v>1938</v>
      </c>
      <c r="AN172" s="1008"/>
      <c r="AO172" s="1009"/>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399999999999999">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399999999999999">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399999999999999">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399999999999999">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399999999999999">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399999999999999">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399999999999999">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399999999999999">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399999999999999">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399999999999999">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399999999999999">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1">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1">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6"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1">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1">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399999999999999">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399999999999999">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399999999999999">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399999999999999">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399999999999999">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6"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6"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6"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6"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1">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399999999999999">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399999999999999">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399999999999999">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399999999999999">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399999999999999">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399999999999999">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399999999999999">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399999999999999">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1">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399999999999999">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399999999999999">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399999999999999">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399999999999999">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399999999999999">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399999999999999">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399999999999999">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399999999999999">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399999999999999">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399999999999999">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399999999999999">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399999999999999">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399999999999999">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399999999999999">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399999999999999">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1">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399999999999999">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1">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399999999999999">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6"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399999999999999">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399999999999999">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4">
      <c r="A238" s="612"/>
      <c r="B238" s="776" t="str">
        <f>B4</f>
        <v xml:space="preserve">Budget 2022  </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6" thickTop="1">
      <c r="A240" s="612"/>
      <c r="B240" s="692" t="s">
        <v>1928</v>
      </c>
      <c r="C240" s="1410">
        <v>2022</v>
      </c>
      <c r="D240" s="1411"/>
      <c r="E240" s="1412"/>
      <c r="F240" s="1007" t="s">
        <v>1929</v>
      </c>
      <c r="G240" s="1008"/>
      <c r="H240" s="1009"/>
      <c r="I240" s="1007" t="s">
        <v>1930</v>
      </c>
      <c r="J240" s="1008"/>
      <c r="K240" s="1009"/>
      <c r="L240" s="1007" t="s">
        <v>1931</v>
      </c>
      <c r="M240" s="1008"/>
      <c r="N240" s="1009"/>
      <c r="O240" s="1007" t="s">
        <v>1932</v>
      </c>
      <c r="P240" s="1008"/>
      <c r="Q240" s="1009"/>
      <c r="R240" s="1007" t="s">
        <v>1933</v>
      </c>
      <c r="S240" s="1008"/>
      <c r="T240" s="1009"/>
      <c r="U240" s="1007" t="s">
        <v>1912</v>
      </c>
      <c r="V240" s="1008"/>
      <c r="W240" s="1009"/>
      <c r="X240" s="1007" t="s">
        <v>1934</v>
      </c>
      <c r="Y240" s="1008"/>
      <c r="Z240" s="1009"/>
      <c r="AA240" s="1007" t="s">
        <v>1935</v>
      </c>
      <c r="AB240" s="1008"/>
      <c r="AC240" s="1009"/>
      <c r="AD240" s="1007" t="s">
        <v>3</v>
      </c>
      <c r="AE240" s="1008"/>
      <c r="AF240" s="1009"/>
      <c r="AG240" s="1007" t="s">
        <v>1936</v>
      </c>
      <c r="AH240" s="1008"/>
      <c r="AI240" s="1009"/>
      <c r="AJ240" s="1007" t="s">
        <v>1937</v>
      </c>
      <c r="AK240" s="1008"/>
      <c r="AL240" s="1009"/>
      <c r="AM240" s="1007" t="s">
        <v>1938</v>
      </c>
      <c r="AN240" s="1008"/>
      <c r="AO240" s="1009"/>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399999999999999">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399999999999999">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399999999999999">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399999999999999">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399999999999999">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399999999999999">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399999999999999">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399999999999999">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399999999999999">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399999999999999">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6"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6"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1">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399999999999999">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399999999999999">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399999999999999">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399999999999999">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399999999999999">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399999999999999">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399999999999999">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399999999999999">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1">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399999999999999">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399999999999999">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399999999999999">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399999999999999">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399999999999999">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399999999999999">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399999999999999">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399999999999999">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399999999999999">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399999999999999">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399999999999999">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399999999999999">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399999999999999">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399999999999999">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399999999999999">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1">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399999999999999">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1">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399999999999999">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6"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399999999999999">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4">
      <c r="A293" s="612"/>
      <c r="B293" s="776" t="str">
        <f>B4</f>
        <v xml:space="preserve">Budget 2022  </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6" thickTop="1">
      <c r="A295" s="612"/>
      <c r="B295" s="692" t="s">
        <v>1928</v>
      </c>
      <c r="C295" s="1410">
        <v>2022</v>
      </c>
      <c r="D295" s="1411"/>
      <c r="E295" s="1412"/>
      <c r="F295" s="1007" t="s">
        <v>1929</v>
      </c>
      <c r="G295" s="1008"/>
      <c r="H295" s="1009"/>
      <c r="I295" s="1007" t="s">
        <v>1930</v>
      </c>
      <c r="J295" s="1008"/>
      <c r="K295" s="1009"/>
      <c r="L295" s="1007" t="s">
        <v>1931</v>
      </c>
      <c r="M295" s="1008"/>
      <c r="N295" s="1009"/>
      <c r="O295" s="1007" t="s">
        <v>1932</v>
      </c>
      <c r="P295" s="1008"/>
      <c r="Q295" s="1009"/>
      <c r="R295" s="1007" t="s">
        <v>1933</v>
      </c>
      <c r="S295" s="1008"/>
      <c r="T295" s="1009"/>
      <c r="U295" s="1007" t="s">
        <v>1912</v>
      </c>
      <c r="V295" s="1008"/>
      <c r="W295" s="1009"/>
      <c r="X295" s="1007" t="s">
        <v>1934</v>
      </c>
      <c r="Y295" s="1008"/>
      <c r="Z295" s="1009"/>
      <c r="AA295" s="1007" t="s">
        <v>1935</v>
      </c>
      <c r="AB295" s="1008"/>
      <c r="AC295" s="1009"/>
      <c r="AD295" s="1007" t="s">
        <v>3</v>
      </c>
      <c r="AE295" s="1008"/>
      <c r="AF295" s="1009"/>
      <c r="AG295" s="1007" t="s">
        <v>1936</v>
      </c>
      <c r="AH295" s="1008"/>
      <c r="AI295" s="1009"/>
      <c r="AJ295" s="1007" t="s">
        <v>1937</v>
      </c>
      <c r="AK295" s="1008"/>
      <c r="AL295" s="1009"/>
      <c r="AM295" s="1007" t="s">
        <v>1938</v>
      </c>
      <c r="AN295" s="1008"/>
      <c r="AO295" s="1009"/>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399999999999999">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399999999999999">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399999999999999">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399999999999999">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399999999999999">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399999999999999">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399999999999999">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399999999999999">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399999999999999">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399999999999999">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1">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399999999999999">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399999999999999">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399999999999999">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399999999999999">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1">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399999999999999">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399999999999999">
      <c r="A313" s="612" t="str">
        <f t="shared" si="964"/>
        <v>Pièces</v>
      </c>
      <c r="B313" s="702"/>
      <c r="C313" s="793">
        <f>+SUM(F313,I313,L313,O313,R313,U313,X313,AA313,AD313,AG313,AJ313,AM313)</f>
        <v>0</v>
      </c>
      <c r="D313" s="1125">
        <f>IF(C313&lt;=0,0,E313/C313)</f>
        <v>0</v>
      </c>
      <c r="E313" s="725">
        <f>+SUM(H313,K313,N313,Q313,T313,W313,Z313,AC313,AF313,AI313,AL313,AO313)</f>
        <v>0</v>
      </c>
      <c r="F313" s="702">
        <v>0</v>
      </c>
      <c r="G313" s="1126">
        <f>IF(F313&lt;=0,0,H313/F313)</f>
        <v>0</v>
      </c>
      <c r="H313" s="712">
        <v>0</v>
      </c>
      <c r="I313" s="702">
        <v>0</v>
      </c>
      <c r="J313" s="1126">
        <f t="shared" ref="J313:J314" si="1015">IF(I313&lt;=0,0,K313/I313)</f>
        <v>0</v>
      </c>
      <c r="K313" s="712">
        <v>0</v>
      </c>
      <c r="L313" s="702">
        <v>0</v>
      </c>
      <c r="M313" s="1126">
        <f t="shared" ref="M313:M314" si="1016">IF(L313&lt;=0,0,N313/L313)</f>
        <v>0</v>
      </c>
      <c r="N313" s="712">
        <v>0</v>
      </c>
      <c r="O313" s="702">
        <v>0</v>
      </c>
      <c r="P313" s="1126">
        <f t="shared" ref="P313:P314" si="1017">IF(O313&lt;=0,0,Q313/O313)</f>
        <v>0</v>
      </c>
      <c r="Q313" s="712">
        <v>0</v>
      </c>
      <c r="R313" s="702">
        <v>0</v>
      </c>
      <c r="S313" s="1126">
        <f t="shared" ref="S313:S314" si="1018">IF(R313&lt;=0,0,T313/R313)</f>
        <v>0</v>
      </c>
      <c r="T313" s="712">
        <v>0</v>
      </c>
      <c r="U313" s="702">
        <v>0</v>
      </c>
      <c r="V313" s="1126">
        <f t="shared" ref="V313:V314" si="1019">IF(U313&lt;=0,0,W313/U313)</f>
        <v>0</v>
      </c>
      <c r="W313" s="712">
        <v>0</v>
      </c>
      <c r="X313" s="702">
        <v>0</v>
      </c>
      <c r="Y313" s="1126">
        <f t="shared" ref="Y313:Y314" si="1020">IF(X313&lt;=0,0,Z313/X313)</f>
        <v>0</v>
      </c>
      <c r="Z313" s="712">
        <v>0</v>
      </c>
      <c r="AA313" s="702">
        <v>0</v>
      </c>
      <c r="AB313" s="1126">
        <f t="shared" ref="AB313:AB314" si="1021">IF(AA313&lt;=0,0,AC313/AA313)</f>
        <v>0</v>
      </c>
      <c r="AC313" s="712">
        <v>0</v>
      </c>
      <c r="AD313" s="702">
        <v>0</v>
      </c>
      <c r="AE313" s="1126">
        <f t="shared" ref="AE313:AE314" si="1022">IF(AD313&lt;=0,0,AF313/AD313)</f>
        <v>0</v>
      </c>
      <c r="AF313" s="712">
        <v>0</v>
      </c>
      <c r="AG313" s="702">
        <v>0</v>
      </c>
      <c r="AH313" s="1126">
        <f t="shared" ref="AH313:AH314" si="1023">IF(AG313&lt;=0,0,AI313/AG313)</f>
        <v>0</v>
      </c>
      <c r="AI313" s="712">
        <v>0</v>
      </c>
      <c r="AJ313" s="702">
        <v>0</v>
      </c>
      <c r="AK313" s="1126">
        <f t="shared" ref="AK313:AK314" si="1024">IF(AJ313&lt;=0,0,AL313/AJ313)</f>
        <v>0</v>
      </c>
      <c r="AL313" s="712">
        <v>0</v>
      </c>
      <c r="AM313" s="702">
        <v>0</v>
      </c>
      <c r="AN313" s="1126">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399999999999999">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6"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6"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6"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1">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399999999999999">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399999999999999">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399999999999999">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399999999999999">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399999999999999">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399999999999999">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399999999999999">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399999999999999">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399999999999999">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399999999999999">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399999999999999">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399999999999999">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1">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399999999999999">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399999999999999">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399999999999999">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399999999999999">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399999999999999">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399999999999999">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399999999999999">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399999999999999">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399999999999999">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399999999999999">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399999999999999">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399999999999999">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399999999999999">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399999999999999">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399999999999999">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399999999999999">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399999999999999">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399999999999999">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1">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399999999999999">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1">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399999999999999">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6"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1">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1">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4">
      <c r="A358" s="612"/>
      <c r="B358" s="776" t="str">
        <f>+B293</f>
        <v xml:space="preserve">Budget 2022  </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6" thickTop="1">
      <c r="A360" s="612"/>
      <c r="B360" s="692" t="s">
        <v>1928</v>
      </c>
      <c r="C360" s="1410">
        <v>2022</v>
      </c>
      <c r="D360" s="1411"/>
      <c r="E360" s="1412"/>
      <c r="F360" s="1007" t="s">
        <v>1929</v>
      </c>
      <c r="G360" s="1008"/>
      <c r="H360" s="1009"/>
      <c r="I360" s="1007" t="s">
        <v>1930</v>
      </c>
      <c r="J360" s="1008"/>
      <c r="K360" s="1009"/>
      <c r="L360" s="1007" t="s">
        <v>1931</v>
      </c>
      <c r="M360" s="1008"/>
      <c r="N360" s="1009"/>
      <c r="O360" s="1007" t="s">
        <v>1932</v>
      </c>
      <c r="P360" s="1008"/>
      <c r="Q360" s="1009"/>
      <c r="R360" s="1007" t="s">
        <v>1933</v>
      </c>
      <c r="S360" s="1008"/>
      <c r="T360" s="1009"/>
      <c r="U360" s="1007" t="s">
        <v>1912</v>
      </c>
      <c r="V360" s="1008"/>
      <c r="W360" s="1009"/>
      <c r="X360" s="1007" t="s">
        <v>1934</v>
      </c>
      <c r="Y360" s="1008"/>
      <c r="Z360" s="1009"/>
      <c r="AA360" s="1007" t="s">
        <v>1935</v>
      </c>
      <c r="AB360" s="1008"/>
      <c r="AC360" s="1009"/>
      <c r="AD360" s="1007" t="s">
        <v>3</v>
      </c>
      <c r="AE360" s="1008"/>
      <c r="AF360" s="1009"/>
      <c r="AG360" s="1007" t="s">
        <v>1936</v>
      </c>
      <c r="AH360" s="1008"/>
      <c r="AI360" s="1009"/>
      <c r="AJ360" s="1007" t="s">
        <v>1937</v>
      </c>
      <c r="AK360" s="1008"/>
      <c r="AL360" s="1009"/>
      <c r="AM360" s="1007" t="s">
        <v>1938</v>
      </c>
      <c r="AN360" s="1008"/>
      <c r="AO360" s="1009"/>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6"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6"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6"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1">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1">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399999999999999">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399999999999999">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399999999999999">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399999999999999">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399999999999999">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399999999999999">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399999999999999">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399999999999999">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399999999999999">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399999999999999">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399999999999999">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399999999999999">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1">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399999999999999">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399999999999999">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399999999999999">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399999999999999">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399999999999999">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399999999999999">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399999999999999">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399999999999999">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399999999999999">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1">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399999999999999">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1">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2.2"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6" thickTop="1">
      <c r="A402" s="611"/>
      <c r="B402" s="785"/>
      <c r="C402" s="785"/>
      <c r="D402" s="785"/>
      <c r="E402" s="849"/>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399999999999999">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4">
      <c r="A404" s="611"/>
      <c r="B404" s="776" t="str">
        <f>B4</f>
        <v xml:space="preserve">Budget 2022  </v>
      </c>
      <c r="C404" s="777" t="s">
        <v>193</v>
      </c>
      <c r="D404" s="777"/>
      <c r="E404" s="777"/>
      <c r="F404" s="777"/>
      <c r="G404" s="777"/>
      <c r="H404" s="1127"/>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28"/>
      <c r="D405" s="1128"/>
      <c r="E405" s="1128"/>
      <c r="F405" s="855"/>
      <c r="G405" s="855"/>
      <c r="H405" s="1129">
        <f>+F362+F316+G252+G196+H96+H8</f>
        <v>3013237.8887348697</v>
      </c>
      <c r="I405" s="855"/>
      <c r="J405" s="855"/>
      <c r="K405" s="1129">
        <f t="shared" ref="K405" si="1210">+I362+I316+J252+J196+K96+K8</f>
        <v>3063809.1271078121</v>
      </c>
      <c r="L405" s="855"/>
      <c r="M405" s="855"/>
      <c r="N405" s="1129">
        <f t="shared" ref="N405" si="1211">+L362+L316+M252+M196+N96+N8</f>
        <v>5036825.4105494414</v>
      </c>
      <c r="O405" s="855"/>
      <c r="P405" s="855"/>
      <c r="Q405" s="1129">
        <f t="shared" ref="Q405" si="1212">+O362+O316+P252+P196+Q96+Q8</f>
        <v>5458038.9390158504</v>
      </c>
      <c r="R405" s="855"/>
      <c r="S405" s="855"/>
      <c r="T405" s="1129">
        <f t="shared" ref="T405" si="1213">+R362+R316+S252+S196+T96+T8</f>
        <v>6023595.7978889085</v>
      </c>
      <c r="U405" s="855"/>
      <c r="V405" s="855"/>
      <c r="W405" s="1129">
        <f t="shared" ref="W405" si="1214">+U362+U316+V252+V196+W96+W8</f>
        <v>5215482.7763500381</v>
      </c>
      <c r="X405" s="855"/>
      <c r="Y405" s="855"/>
      <c r="Z405" s="1129">
        <f t="shared" ref="Z405" si="1215">+X362+X316+Y252+Y196+Z96+Z8</f>
        <v>5494518.5913875327</v>
      </c>
      <c r="AA405" s="855"/>
      <c r="AB405" s="855"/>
      <c r="AC405" s="1129">
        <f t="shared" ref="AC405" si="1216">+AA362+AA316+AB252+AB196+AC96+AC8</f>
        <v>5291083.2460958883</v>
      </c>
      <c r="AD405" s="855"/>
      <c r="AE405" s="855"/>
      <c r="AF405" s="1129">
        <f t="shared" ref="AF405" si="1217">+AD362+AD316+AE252+AE196+AF96+AF8</f>
        <v>4625273.705059493</v>
      </c>
      <c r="AG405" s="855"/>
      <c r="AH405" s="855"/>
      <c r="AI405" s="1129">
        <f t="shared" ref="AI405" si="1218">+AG362+AG316+AH252+AH196+AI96+AI8</f>
        <v>5228481.0007511191</v>
      </c>
      <c r="AJ405" s="855"/>
      <c r="AK405" s="855"/>
      <c r="AL405" s="1129">
        <f t="shared" ref="AL405" si="1219">+AJ362+AJ316+AK252+AK196+AL96+AL8</f>
        <v>4883911.9567251373</v>
      </c>
      <c r="AM405" s="855"/>
      <c r="AN405" s="855"/>
      <c r="AO405" s="1129">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6" thickTop="1">
      <c r="A406" s="611"/>
      <c r="B406" s="856" t="s">
        <v>1928</v>
      </c>
      <c r="C406" s="1410">
        <v>2022</v>
      </c>
      <c r="D406" s="1411"/>
      <c r="E406" s="1412"/>
      <c r="F406" s="1007" t="s">
        <v>1929</v>
      </c>
      <c r="G406" s="1008"/>
      <c r="H406" s="1009"/>
      <c r="I406" s="1007" t="s">
        <v>1930</v>
      </c>
      <c r="J406" s="1008"/>
      <c r="K406" s="1009"/>
      <c r="L406" s="1007" t="s">
        <v>1931</v>
      </c>
      <c r="M406" s="1008"/>
      <c r="N406" s="1009"/>
      <c r="O406" s="1007" t="s">
        <v>1932</v>
      </c>
      <c r="P406" s="1008"/>
      <c r="Q406" s="1009"/>
      <c r="R406" s="1007" t="s">
        <v>1933</v>
      </c>
      <c r="S406" s="1008"/>
      <c r="T406" s="1009"/>
      <c r="U406" s="1007" t="s">
        <v>1912</v>
      </c>
      <c r="V406" s="1008"/>
      <c r="W406" s="1009"/>
      <c r="X406" s="1007" t="s">
        <v>1934</v>
      </c>
      <c r="Y406" s="1008"/>
      <c r="Z406" s="1009"/>
      <c r="AA406" s="1007" t="s">
        <v>1935</v>
      </c>
      <c r="AB406" s="1008"/>
      <c r="AC406" s="1009"/>
      <c r="AD406" s="1007" t="s">
        <v>3</v>
      </c>
      <c r="AE406" s="1008"/>
      <c r="AF406" s="1009"/>
      <c r="AG406" s="1007" t="s">
        <v>1936</v>
      </c>
      <c r="AH406" s="1008"/>
      <c r="AI406" s="1009"/>
      <c r="AJ406" s="1007" t="s">
        <v>1937</v>
      </c>
      <c r="AK406" s="1008"/>
      <c r="AL406" s="1009"/>
      <c r="AM406" s="1007" t="s">
        <v>1938</v>
      </c>
      <c r="AN406" s="1008"/>
      <c r="AO406" s="1009"/>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399999999999999">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399999999999999">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399999999999999">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399999999999999">
      <c r="A410" s="611" t="str">
        <f t="shared" si="1232"/>
        <v>DÉPENSES</v>
      </c>
      <c r="B410" s="869" t="s">
        <v>206</v>
      </c>
      <c r="C410" s="870"/>
      <c r="D410" s="1130"/>
      <c r="E410" s="871"/>
      <c r="F410" s="870"/>
      <c r="G410" s="1130"/>
      <c r="H410" s="871"/>
      <c r="I410" s="870"/>
      <c r="J410" s="1130"/>
      <c r="K410" s="871"/>
      <c r="L410" s="870"/>
      <c r="M410" s="1130"/>
      <c r="N410" s="871"/>
      <c r="O410" s="870"/>
      <c r="P410" s="1130"/>
      <c r="Q410" s="871"/>
      <c r="R410" s="870"/>
      <c r="S410" s="1130"/>
      <c r="T410" s="871"/>
      <c r="U410" s="870"/>
      <c r="V410" s="1130"/>
      <c r="W410" s="871"/>
      <c r="X410" s="870"/>
      <c r="Y410" s="1130"/>
      <c r="Z410" s="871"/>
      <c r="AA410" s="870"/>
      <c r="AB410" s="1130"/>
      <c r="AC410" s="871"/>
      <c r="AD410" s="870"/>
      <c r="AE410" s="1130"/>
      <c r="AF410" s="871"/>
      <c r="AG410" s="870"/>
      <c r="AH410" s="1130"/>
      <c r="AI410" s="871"/>
      <c r="AJ410" s="870"/>
      <c r="AK410" s="1130"/>
      <c r="AL410" s="871"/>
      <c r="AM410" s="870"/>
      <c r="AN410" s="1130"/>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399999999999999">
      <c r="A411" s="611" t="str">
        <f t="shared" si="1232"/>
        <v>Comm. vendeurs</v>
      </c>
      <c r="B411" s="872" t="s">
        <v>103</v>
      </c>
      <c r="C411" s="873">
        <f>E411/(E99+E20+E18+E16)</f>
        <v>0.34609257887802841</v>
      </c>
      <c r="D411" s="1131">
        <f>IF(E411=0,0,E411/(C$16+C$99+C18+C20))</f>
        <v>578.36313325291746</v>
      </c>
      <c r="E411" s="871">
        <f t="shared" ref="E411:E420" si="1244">+SUM(H411,K411,N411,Q411,T411,W411,Z411,AC411,AF411,AI411,AL411,AO411)</f>
        <v>751872.07322879264</v>
      </c>
      <c r="F411" s="872"/>
      <c r="G411" s="1131">
        <f t="shared" ref="G411:G417" si="1245">IF(H411=0,0,H411/(F$16+F$99))</f>
        <v>690.03518112585482</v>
      </c>
      <c r="H411" s="871">
        <f t="shared" ref="H411:H420" si="1246">+SUMIF($B$4:$B$401,$B411,H$4:H$401)</f>
        <v>43144.883544682772</v>
      </c>
      <c r="I411" s="872"/>
      <c r="J411" s="1131">
        <f t="shared" ref="J411:J417" si="1247">IF(K411=0,0,K411/(I$16+I$99))</f>
        <v>679.41918632081831</v>
      </c>
      <c r="K411" s="871">
        <f t="shared" ref="K411:AO420" si="1248">+SUMIF($B$4:$B$401,$B411,K$4:K$401)</f>
        <v>43868.473216569088</v>
      </c>
      <c r="L411" s="872"/>
      <c r="M411" s="1131">
        <f t="shared" ref="M411:M417" si="1249">IF(N411=0,0,N411/(L$16+L$99))</f>
        <v>604.79628676207005</v>
      </c>
      <c r="N411" s="871">
        <f t="shared" si="1248"/>
        <v>67930.854758905232</v>
      </c>
      <c r="O411" s="872"/>
      <c r="P411" s="1131">
        <f t="shared" ref="P411:P417" si="1250">IF(Q411=0,0,Q411/(O$16+O$99))</f>
        <v>598.32002819221077</v>
      </c>
      <c r="Q411" s="871">
        <f t="shared" si="1248"/>
        <v>70834.561538141366</v>
      </c>
      <c r="R411" s="872"/>
      <c r="S411" s="1131">
        <f t="shared" ref="S411:S417" si="1251">IF(T411=0,0,T411/(R$16+R$99))</f>
        <v>592.20314527558082</v>
      </c>
      <c r="T411" s="871">
        <f t="shared" si="1248"/>
        <v>78257.70950617356</v>
      </c>
      <c r="U411" s="872"/>
      <c r="V411" s="1131">
        <f t="shared" ref="V411:V417" si="1252">IF(W411=0,0,W411/(U$16+U$99))</f>
        <v>596.91497446734923</v>
      </c>
      <c r="W411" s="871">
        <f t="shared" si="1248"/>
        <v>68407.517380264457</v>
      </c>
      <c r="X411" s="872"/>
      <c r="Y411" s="1131">
        <f t="shared" ref="Y411:Y417" si="1253">IF(Z411=0,0,Z411/(X$16+X$99))</f>
        <v>596.10741315198209</v>
      </c>
      <c r="Z411" s="871">
        <f t="shared" si="1248"/>
        <v>72864.282132539403</v>
      </c>
      <c r="AA411" s="872"/>
      <c r="AB411" s="1131">
        <f t="shared" ref="AB411:AB417" si="1254">IF(AC411=0,0,AC411/(AA$16+AA$99))</f>
        <v>606.91926758612487</v>
      </c>
      <c r="AC411" s="871">
        <f t="shared" si="1248"/>
        <v>70467.898916782142</v>
      </c>
      <c r="AD411" s="872"/>
      <c r="AE411" s="1131">
        <f t="shared" ref="AE411:AE417" si="1255">IF(AF411=0,0,AF411/(AD$16+AD$99))</f>
        <v>626.09573192565244</v>
      </c>
      <c r="AF411" s="871">
        <f t="shared" si="1248"/>
        <v>62766.613440309797</v>
      </c>
      <c r="AG411" s="872"/>
      <c r="AH411" s="1131">
        <f t="shared" ref="AH411:AH417" si="1256">IF(AI411=0,0,AI411/(AG$16+AG$99))</f>
        <v>607.49116390434085</v>
      </c>
      <c r="AI411" s="871">
        <f t="shared" si="1248"/>
        <v>67103.918799905194</v>
      </c>
      <c r="AJ411" s="872"/>
      <c r="AK411" s="1131">
        <f t="shared" ref="AK411:AK417" si="1257">IF(AL411=0,0,AL411/(AJ$16+AJ$99))</f>
        <v>628.31344977384799</v>
      </c>
      <c r="AL411" s="871">
        <f t="shared" si="1248"/>
        <v>61290.224156591386</v>
      </c>
      <c r="AM411" s="872"/>
      <c r="AN411" s="1131">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399999999999999">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399999999999999">
      <c r="A413" s="611" t="str">
        <f t="shared" si="1232"/>
        <v>Frais de livraison</v>
      </c>
      <c r="B413" s="872" t="s">
        <v>105</v>
      </c>
      <c r="C413" s="872"/>
      <c r="D413" s="1131">
        <f t="shared" si="1259"/>
        <v>139.66430648945789</v>
      </c>
      <c r="E413" s="871">
        <f t="shared" si="1244"/>
        <v>170111.12530415971</v>
      </c>
      <c r="F413" s="872"/>
      <c r="G413" s="1131">
        <f t="shared" si="1245"/>
        <v>133.74939886524507</v>
      </c>
      <c r="H413" s="871">
        <f t="shared" si="1246"/>
        <v>8362.7652561092109</v>
      </c>
      <c r="I413" s="872"/>
      <c r="J413" s="1131">
        <f t="shared" si="1247"/>
        <v>133.31490312543232</v>
      </c>
      <c r="K413" s="871">
        <f t="shared" si="1248"/>
        <v>8607.824705094481</v>
      </c>
      <c r="L413" s="872"/>
      <c r="M413" s="1131">
        <f t="shared" si="1249"/>
        <v>137.34610341481047</v>
      </c>
      <c r="N413" s="871">
        <f t="shared" si="1248"/>
        <v>15426.74518179301</v>
      </c>
      <c r="O413" s="872"/>
      <c r="P413" s="1131">
        <f t="shared" si="1250"/>
        <v>140.81102677594785</v>
      </c>
      <c r="Q413" s="871">
        <f t="shared" si="1248"/>
        <v>16670.488821085397</v>
      </c>
      <c r="R413" s="872"/>
      <c r="S413" s="1131">
        <f t="shared" si="1251"/>
        <v>144.27932898180427</v>
      </c>
      <c r="T413" s="871">
        <f t="shared" si="1248"/>
        <v>19066.041619805063</v>
      </c>
      <c r="U413" s="872"/>
      <c r="V413" s="1131">
        <f t="shared" si="1252"/>
        <v>136.00154572624527</v>
      </c>
      <c r="W413" s="871">
        <f t="shared" si="1248"/>
        <v>15586.018949035179</v>
      </c>
      <c r="X413" s="872"/>
      <c r="Y413" s="1131">
        <f t="shared" si="1253"/>
        <v>141.09386184099409</v>
      </c>
      <c r="Z413" s="871">
        <f t="shared" si="1248"/>
        <v>17246.393400799036</v>
      </c>
      <c r="AA413" s="872"/>
      <c r="AB413" s="1131">
        <f t="shared" si="1254"/>
        <v>142.20623434891436</v>
      </c>
      <c r="AC413" s="871">
        <f t="shared" si="1248"/>
        <v>16511.215053843229</v>
      </c>
      <c r="AD413" s="872"/>
      <c r="AE413" s="1131">
        <f t="shared" si="1255"/>
        <v>143.43191836625221</v>
      </c>
      <c r="AF413" s="871">
        <f t="shared" si="1248"/>
        <v>14379.168098474882</v>
      </c>
      <c r="AG413" s="872"/>
      <c r="AH413" s="1131">
        <f t="shared" si="1256"/>
        <v>141.26708220774063</v>
      </c>
      <c r="AI413" s="871">
        <f t="shared" si="1248"/>
        <v>15604.465343401225</v>
      </c>
      <c r="AJ413" s="872"/>
      <c r="AK413" s="1131">
        <f t="shared" si="1257"/>
        <v>142.31980980199268</v>
      </c>
      <c r="AL413" s="871">
        <f t="shared" si="1248"/>
        <v>13882.900402382329</v>
      </c>
      <c r="AM413" s="872"/>
      <c r="AN413" s="1131">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399999999999999">
      <c r="A414" s="611" t="str">
        <f t="shared" si="1232"/>
        <v>Service gratuit 1</v>
      </c>
      <c r="B414" s="872" t="s">
        <v>106</v>
      </c>
      <c r="C414" s="872"/>
      <c r="D414" s="1131">
        <f t="shared" si="1259"/>
        <v>17.870615499367979</v>
      </c>
      <c r="E414" s="871">
        <f t="shared" si="1244"/>
        <v>21766.409678230197</v>
      </c>
      <c r="F414" s="872"/>
      <c r="G414" s="1131">
        <f t="shared" si="1245"/>
        <v>19.194952770972929</v>
      </c>
      <c r="H414" s="871">
        <f t="shared" si="1246"/>
        <v>1200.1764904190659</v>
      </c>
      <c r="I414" s="872"/>
      <c r="J414" s="1131">
        <f t="shared" si="1247"/>
        <v>19.292235592471631</v>
      </c>
      <c r="K414" s="871">
        <f t="shared" si="1248"/>
        <v>1245.6535485243921</v>
      </c>
      <c r="L414" s="872"/>
      <c r="M414" s="1131">
        <f t="shared" si="1249"/>
        <v>18.389657034748399</v>
      </c>
      <c r="N414" s="871">
        <f t="shared" si="1248"/>
        <v>2065.5304082331854</v>
      </c>
      <c r="O414" s="872"/>
      <c r="P414" s="1131">
        <f t="shared" si="1250"/>
        <v>17.61386687166539</v>
      </c>
      <c r="Q414" s="871">
        <f t="shared" si="1248"/>
        <v>2085.2896076626012</v>
      </c>
      <c r="R414" s="872"/>
      <c r="S414" s="1131">
        <f t="shared" si="1251"/>
        <v>16.837320191273808</v>
      </c>
      <c r="T414" s="871">
        <f t="shared" si="1248"/>
        <v>2224.9968155403326</v>
      </c>
      <c r="U414" s="872"/>
      <c r="V414" s="1131">
        <f t="shared" si="1252"/>
        <v>18.690701104059087</v>
      </c>
      <c r="W414" s="871">
        <f t="shared" si="1248"/>
        <v>2141.9875783250059</v>
      </c>
      <c r="X414" s="872"/>
      <c r="Y414" s="1131">
        <f t="shared" si="1253"/>
        <v>17.550540604857062</v>
      </c>
      <c r="Z414" s="871">
        <f t="shared" si="1248"/>
        <v>2145.263611886759</v>
      </c>
      <c r="AA414" s="872"/>
      <c r="AB414" s="1131">
        <f t="shared" si="1254"/>
        <v>17.301482383538922</v>
      </c>
      <c r="AC414" s="871">
        <f t="shared" si="1248"/>
        <v>2008.8324375707803</v>
      </c>
      <c r="AD414" s="872"/>
      <c r="AE414" s="1131">
        <f t="shared" si="1255"/>
        <v>17.027053917280842</v>
      </c>
      <c r="AF414" s="871">
        <f t="shared" si="1248"/>
        <v>1706.97619670116</v>
      </c>
      <c r="AG414" s="872"/>
      <c r="AH414" s="1131">
        <f t="shared" si="1256"/>
        <v>17.511756873570288</v>
      </c>
      <c r="AI414" s="871">
        <f t="shared" si="1248"/>
        <v>1934.3614872277908</v>
      </c>
      <c r="AJ414" s="872"/>
      <c r="AK414" s="1131">
        <f t="shared" si="1257"/>
        <v>17.276053042083909</v>
      </c>
      <c r="AL414" s="871">
        <f t="shared" si="1248"/>
        <v>1685.2307775229124</v>
      </c>
      <c r="AM414" s="872"/>
      <c r="AN414" s="1131">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399999999999999">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399999999999999">
      <c r="A416" s="611" t="str">
        <f t="shared" si="1232"/>
        <v>Publicité 1</v>
      </c>
      <c r="B416" s="872" t="s">
        <v>108</v>
      </c>
      <c r="C416" s="872"/>
      <c r="D416" s="1131">
        <f t="shared" si="1259"/>
        <v>148.0886699507389</v>
      </c>
      <c r="E416" s="871">
        <f t="shared" si="1244"/>
        <v>180372</v>
      </c>
      <c r="F416" s="872"/>
      <c r="G416" s="1131">
        <f t="shared" si="1245"/>
        <v>139.16965975444671</v>
      </c>
      <c r="H416" s="871">
        <f t="shared" si="1246"/>
        <v>8701.6704760790744</v>
      </c>
      <c r="I416" s="872"/>
      <c r="J416" s="1131">
        <f t="shared" si="1247"/>
        <v>138.51448943229795</v>
      </c>
      <c r="K416" s="871">
        <f t="shared" si="1248"/>
        <v>8943.5495672008437</v>
      </c>
      <c r="L416" s="872"/>
      <c r="M416" s="1131">
        <f t="shared" si="1249"/>
        <v>144.59308250061235</v>
      </c>
      <c r="N416" s="871">
        <f t="shared" si="1248"/>
        <v>16240.727500292433</v>
      </c>
      <c r="O416" s="872"/>
      <c r="P416" s="1131">
        <f t="shared" si="1250"/>
        <v>149.81779415305652</v>
      </c>
      <c r="Q416" s="871">
        <f t="shared" si="1248"/>
        <v>17736.791782664637</v>
      </c>
      <c r="R416" s="872"/>
      <c r="S416" s="1131">
        <f t="shared" si="1251"/>
        <v>155.04760072031854</v>
      </c>
      <c r="T416" s="871">
        <f t="shared" si="1248"/>
        <v>20489.033524388815</v>
      </c>
      <c r="U416" s="872"/>
      <c r="V416" s="1131">
        <f t="shared" si="1252"/>
        <v>142.5656419223815</v>
      </c>
      <c r="W416" s="871">
        <f t="shared" si="1248"/>
        <v>16338.276043981754</v>
      </c>
      <c r="X416" s="872"/>
      <c r="Y416" s="1131">
        <f t="shared" si="1253"/>
        <v>150.24427736958049</v>
      </c>
      <c r="Z416" s="871">
        <f t="shared" si="1248"/>
        <v>18364.880512340624</v>
      </c>
      <c r="AA416" s="872"/>
      <c r="AB416" s="1131">
        <f t="shared" si="1254"/>
        <v>151.92160901540421</v>
      </c>
      <c r="AC416" s="871">
        <f t="shared" si="1248"/>
        <v>17639.243238975316</v>
      </c>
      <c r="AD416" s="872"/>
      <c r="AE416" s="1131">
        <f t="shared" si="1255"/>
        <v>153.76980157268414</v>
      </c>
      <c r="AF416" s="871">
        <f t="shared" si="1248"/>
        <v>15415.549415136273</v>
      </c>
      <c r="AG416" s="872"/>
      <c r="AH416" s="1131">
        <f t="shared" si="1256"/>
        <v>150.50547404675149</v>
      </c>
      <c r="AI416" s="871">
        <f t="shared" si="1248"/>
        <v>16624.944870745116</v>
      </c>
      <c r="AJ416" s="872"/>
      <c r="AK416" s="1131">
        <f t="shared" si="1257"/>
        <v>152.09286792398078</v>
      </c>
      <c r="AL416" s="871">
        <f t="shared" si="1248"/>
        <v>14836.234957304947</v>
      </c>
      <c r="AM416" s="872"/>
      <c r="AN416" s="1131">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399999999999999">
      <c r="A417" s="611" t="str">
        <f t="shared" si="1232"/>
        <v>Intérêt de gros</v>
      </c>
      <c r="B417" s="872" t="s">
        <v>109</v>
      </c>
      <c r="C417" s="872"/>
      <c r="D417" s="1131">
        <f t="shared" si="1259"/>
        <v>76.931076160343892</v>
      </c>
      <c r="E417" s="871">
        <f t="shared" si="1244"/>
        <v>93702.050763298859</v>
      </c>
      <c r="F417" s="872"/>
      <c r="G417" s="1131">
        <f t="shared" si="1245"/>
        <v>100.98923703843231</v>
      </c>
      <c r="H417" s="871">
        <f t="shared" si="1246"/>
        <v>6314.4155406401314</v>
      </c>
      <c r="I417" s="872"/>
      <c r="J417" s="1131">
        <f t="shared" si="1247"/>
        <v>112.15503118991158</v>
      </c>
      <c r="K417" s="871">
        <f t="shared" si="1248"/>
        <v>7241.5823410893117</v>
      </c>
      <c r="L417" s="872"/>
      <c r="M417" s="1131">
        <f t="shared" si="1249"/>
        <v>73.552727457011827</v>
      </c>
      <c r="N417" s="871">
        <f t="shared" si="1248"/>
        <v>8261.4588670073299</v>
      </c>
      <c r="O417" s="872"/>
      <c r="P417" s="1131">
        <f t="shared" si="1250"/>
        <v>76.630654361470832</v>
      </c>
      <c r="Q417" s="871">
        <f t="shared" si="1248"/>
        <v>9072.2331633730064</v>
      </c>
      <c r="R417" s="872"/>
      <c r="S417" s="1131">
        <f t="shared" si="1251"/>
        <v>67.093247494206267</v>
      </c>
      <c r="T417" s="871">
        <f t="shared" si="1248"/>
        <v>8866.153302485518</v>
      </c>
      <c r="U417" s="872"/>
      <c r="V417" s="1131">
        <f t="shared" si="1252"/>
        <v>69.000053298476843</v>
      </c>
      <c r="W417" s="871">
        <f t="shared" si="1248"/>
        <v>7907.5287891155349</v>
      </c>
      <c r="X417" s="872"/>
      <c r="Y417" s="1131">
        <f t="shared" si="1253"/>
        <v>66.332859902788286</v>
      </c>
      <c r="Z417" s="871">
        <f t="shared" si="1248"/>
        <v>8108.0961450527884</v>
      </c>
      <c r="AA417" s="872"/>
      <c r="AB417" s="1131">
        <f t="shared" si="1254"/>
        <v>73.821579645014324</v>
      </c>
      <c r="AC417" s="871">
        <f t="shared" si="1248"/>
        <v>8571.2414980528774</v>
      </c>
      <c r="AD417" s="872"/>
      <c r="AE417" s="1131">
        <f t="shared" si="1255"/>
        <v>91.303248923389674</v>
      </c>
      <c r="AF417" s="871">
        <f t="shared" si="1248"/>
        <v>9153.2259985112014</v>
      </c>
      <c r="AG417" s="872"/>
      <c r="AH417" s="1131">
        <f t="shared" si="1256"/>
        <v>74.329748569785579</v>
      </c>
      <c r="AI417" s="871">
        <f t="shared" si="1248"/>
        <v>8210.5184549312598</v>
      </c>
      <c r="AJ417" s="872"/>
      <c r="AK417" s="1131">
        <f t="shared" si="1257"/>
        <v>63.022566358858178</v>
      </c>
      <c r="AL417" s="871">
        <f t="shared" si="1248"/>
        <v>6147.6755279524614</v>
      </c>
      <c r="AM417" s="872"/>
      <c r="AN417" s="1131">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399999999999999">
      <c r="A418" s="611" t="str">
        <f t="shared" si="1232"/>
        <v>[...]</v>
      </c>
      <c r="B418" s="877" t="s">
        <v>42</v>
      </c>
      <c r="C418" s="872"/>
      <c r="D418" s="1131"/>
      <c r="E418" s="871">
        <f t="shared" si="1244"/>
        <v>0</v>
      </c>
      <c r="F418" s="872"/>
      <c r="G418" s="1131"/>
      <c r="H418" s="871">
        <f t="shared" si="1246"/>
        <v>0</v>
      </c>
      <c r="I418" s="872"/>
      <c r="J418" s="1131"/>
      <c r="K418" s="871">
        <f t="shared" si="1248"/>
        <v>0</v>
      </c>
      <c r="L418" s="872"/>
      <c r="M418" s="1131"/>
      <c r="N418" s="871">
        <f t="shared" si="1248"/>
        <v>0</v>
      </c>
      <c r="O418" s="872"/>
      <c r="P418" s="1131"/>
      <c r="Q418" s="871">
        <f t="shared" si="1248"/>
        <v>0</v>
      </c>
      <c r="R418" s="872"/>
      <c r="S418" s="1131"/>
      <c r="T418" s="871">
        <f t="shared" si="1248"/>
        <v>0</v>
      </c>
      <c r="U418" s="872"/>
      <c r="V418" s="1131"/>
      <c r="W418" s="871">
        <f t="shared" si="1248"/>
        <v>0</v>
      </c>
      <c r="X418" s="872"/>
      <c r="Y418" s="1131"/>
      <c r="Z418" s="871">
        <f t="shared" si="1248"/>
        <v>0</v>
      </c>
      <c r="AA418" s="872"/>
      <c r="AB418" s="1131"/>
      <c r="AC418" s="871">
        <f t="shared" si="1248"/>
        <v>0</v>
      </c>
      <c r="AD418" s="872"/>
      <c r="AE418" s="1131"/>
      <c r="AF418" s="871">
        <f t="shared" si="1248"/>
        <v>0</v>
      </c>
      <c r="AG418" s="872"/>
      <c r="AH418" s="1131"/>
      <c r="AI418" s="871">
        <f t="shared" si="1248"/>
        <v>0</v>
      </c>
      <c r="AJ418" s="872"/>
      <c r="AK418" s="1131"/>
      <c r="AL418" s="871">
        <f t="shared" si="1248"/>
        <v>0</v>
      </c>
      <c r="AM418" s="872"/>
      <c r="AN418" s="1131"/>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399999999999999">
      <c r="A419" s="611" t="str">
        <f t="shared" si="1232"/>
        <v>[...]</v>
      </c>
      <c r="B419" s="877" t="s">
        <v>42</v>
      </c>
      <c r="C419" s="872"/>
      <c r="D419" s="1131"/>
      <c r="E419" s="871">
        <f t="shared" si="1244"/>
        <v>0</v>
      </c>
      <c r="F419" s="872"/>
      <c r="G419" s="1131"/>
      <c r="H419" s="871">
        <f t="shared" si="1246"/>
        <v>0</v>
      </c>
      <c r="I419" s="872"/>
      <c r="J419" s="1131"/>
      <c r="K419" s="871">
        <f t="shared" si="1248"/>
        <v>0</v>
      </c>
      <c r="L419" s="872"/>
      <c r="M419" s="1131"/>
      <c r="N419" s="871">
        <f t="shared" si="1248"/>
        <v>0</v>
      </c>
      <c r="O419" s="872"/>
      <c r="P419" s="1131"/>
      <c r="Q419" s="871">
        <f t="shared" si="1248"/>
        <v>0</v>
      </c>
      <c r="R419" s="872"/>
      <c r="S419" s="1131"/>
      <c r="T419" s="871">
        <f t="shared" si="1248"/>
        <v>0</v>
      </c>
      <c r="U419" s="872"/>
      <c r="V419" s="1131"/>
      <c r="W419" s="871">
        <f t="shared" si="1248"/>
        <v>0</v>
      </c>
      <c r="X419" s="872"/>
      <c r="Y419" s="1131"/>
      <c r="Z419" s="871">
        <f t="shared" si="1248"/>
        <v>0</v>
      </c>
      <c r="AA419" s="872"/>
      <c r="AB419" s="1131"/>
      <c r="AC419" s="871">
        <f t="shared" si="1248"/>
        <v>0</v>
      </c>
      <c r="AD419" s="872"/>
      <c r="AE419" s="1131"/>
      <c r="AF419" s="871">
        <f t="shared" si="1248"/>
        <v>0</v>
      </c>
      <c r="AG419" s="872"/>
      <c r="AH419" s="1131"/>
      <c r="AI419" s="871">
        <f t="shared" si="1248"/>
        <v>0</v>
      </c>
      <c r="AJ419" s="872"/>
      <c r="AK419" s="1131"/>
      <c r="AL419" s="871">
        <f t="shared" si="1248"/>
        <v>0</v>
      </c>
      <c r="AM419" s="872"/>
      <c r="AN419" s="1131"/>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399999999999999">
      <c r="A420" s="611" t="str">
        <f t="shared" si="1232"/>
        <v>[...]</v>
      </c>
      <c r="B420" s="857" t="s">
        <v>42</v>
      </c>
      <c r="C420" s="872"/>
      <c r="D420" s="1131"/>
      <c r="E420" s="871">
        <f t="shared" si="1244"/>
        <v>0</v>
      </c>
      <c r="F420" s="872"/>
      <c r="G420" s="1131"/>
      <c r="H420" s="871">
        <f t="shared" si="1246"/>
        <v>0</v>
      </c>
      <c r="I420" s="872"/>
      <c r="J420" s="1131"/>
      <c r="K420" s="871">
        <f t="shared" si="1248"/>
        <v>0</v>
      </c>
      <c r="L420" s="872"/>
      <c r="M420" s="1131"/>
      <c r="N420" s="871">
        <f t="shared" si="1248"/>
        <v>0</v>
      </c>
      <c r="O420" s="872"/>
      <c r="P420" s="1131"/>
      <c r="Q420" s="871">
        <f t="shared" si="1248"/>
        <v>0</v>
      </c>
      <c r="R420" s="872"/>
      <c r="S420" s="1131"/>
      <c r="T420" s="871">
        <f t="shared" si="1248"/>
        <v>0</v>
      </c>
      <c r="U420" s="872"/>
      <c r="V420" s="1131"/>
      <c r="W420" s="871">
        <f t="shared" si="1248"/>
        <v>0</v>
      </c>
      <c r="X420" s="872"/>
      <c r="Y420" s="1131"/>
      <c r="Z420" s="871">
        <f t="shared" si="1248"/>
        <v>0</v>
      </c>
      <c r="AA420" s="872"/>
      <c r="AB420" s="1131"/>
      <c r="AC420" s="871">
        <f t="shared" si="1248"/>
        <v>0</v>
      </c>
      <c r="AD420" s="872"/>
      <c r="AE420" s="1131"/>
      <c r="AF420" s="871">
        <f t="shared" si="1248"/>
        <v>0</v>
      </c>
      <c r="AG420" s="872"/>
      <c r="AH420" s="1131"/>
      <c r="AI420" s="871">
        <f t="shared" si="1248"/>
        <v>0</v>
      </c>
      <c r="AJ420" s="872"/>
      <c r="AK420" s="1131"/>
      <c r="AL420" s="871">
        <f t="shared" si="1248"/>
        <v>0</v>
      </c>
      <c r="AM420" s="872"/>
      <c r="AN420" s="1131"/>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399999999999999">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399999999999999">
      <c r="A422" s="611" t="str">
        <f t="shared" si="1232"/>
        <v>Salaires propriétaire</v>
      </c>
      <c r="B422" s="872" t="s">
        <v>213</v>
      </c>
      <c r="C422" s="872"/>
      <c r="D422" s="1131"/>
      <c r="E422" s="871">
        <f t="shared" ref="E422:E434" si="1282">+SUM(H422,K422,N422,Q422,T422,W422,Z422,AC422,AF422,AI422,AL422,AO422)</f>
        <v>184609.07536000002</v>
      </c>
      <c r="F422" s="872"/>
      <c r="G422" s="1131"/>
      <c r="H422" s="882">
        <v>15043.715813333336</v>
      </c>
      <c r="I422" s="872"/>
      <c r="J422" s="1131"/>
      <c r="K422" s="882">
        <v>14589.884080000002</v>
      </c>
      <c r="L422" s="872"/>
      <c r="M422" s="1131"/>
      <c r="N422" s="882">
        <v>15951.379280000001</v>
      </c>
      <c r="O422" s="872"/>
      <c r="P422" s="1131"/>
      <c r="Q422" s="882">
        <v>15043.715813333336</v>
      </c>
      <c r="R422" s="872"/>
      <c r="S422" s="1131"/>
      <c r="T422" s="882">
        <v>15497.547546666668</v>
      </c>
      <c r="U422" s="872"/>
      <c r="V422" s="1131"/>
      <c r="W422" s="882">
        <v>15497.547546666668</v>
      </c>
      <c r="X422" s="872"/>
      <c r="Y422" s="1131"/>
      <c r="Z422" s="882">
        <v>15497.547546666668</v>
      </c>
      <c r="AA422" s="872"/>
      <c r="AB422" s="1131"/>
      <c r="AC422" s="882">
        <v>15497.547546666668</v>
      </c>
      <c r="AD422" s="872"/>
      <c r="AE422" s="1131"/>
      <c r="AF422" s="882">
        <v>15497.547546666668</v>
      </c>
      <c r="AG422" s="872"/>
      <c r="AH422" s="1131"/>
      <c r="AI422" s="882">
        <v>15043.715813333336</v>
      </c>
      <c r="AJ422" s="872"/>
      <c r="AK422" s="1131"/>
      <c r="AL422" s="882">
        <v>15497.547546666668</v>
      </c>
      <c r="AM422" s="872"/>
      <c r="AN422" s="1131"/>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399999999999999">
      <c r="A423" s="611" t="str">
        <f t="shared" si="1232"/>
        <v>Salaires cadres</v>
      </c>
      <c r="B423" s="872" t="s">
        <v>112</v>
      </c>
      <c r="C423" s="872"/>
      <c r="D423" s="1131"/>
      <c r="E423" s="871">
        <f t="shared" si="1282"/>
        <v>457988.99999999994</v>
      </c>
      <c r="F423" s="872"/>
      <c r="G423" s="1131"/>
      <c r="H423" s="871">
        <v>37259.747126436778</v>
      </c>
      <c r="I423" s="872"/>
      <c r="J423" s="1131"/>
      <c r="K423" s="871">
        <v>36051.743295019158</v>
      </c>
      <c r="L423" s="872"/>
      <c r="M423" s="1131"/>
      <c r="N423" s="871">
        <v>39675.754789272032</v>
      </c>
      <c r="O423" s="872"/>
      <c r="P423" s="1131"/>
      <c r="Q423" s="871">
        <v>37259.747126436778</v>
      </c>
      <c r="R423" s="872"/>
      <c r="S423" s="1131"/>
      <c r="T423" s="871">
        <v>38467.750957854405</v>
      </c>
      <c r="U423" s="872"/>
      <c r="V423" s="1131"/>
      <c r="W423" s="871">
        <v>38467.750957854405</v>
      </c>
      <c r="X423" s="872"/>
      <c r="Y423" s="1131"/>
      <c r="Z423" s="871">
        <v>38467.750957854405</v>
      </c>
      <c r="AA423" s="872"/>
      <c r="AB423" s="1131"/>
      <c r="AC423" s="871">
        <v>38467.750957854405</v>
      </c>
      <c r="AD423" s="872"/>
      <c r="AE423" s="1131"/>
      <c r="AF423" s="871">
        <v>38467.750957854405</v>
      </c>
      <c r="AG423" s="872"/>
      <c r="AH423" s="1131"/>
      <c r="AI423" s="871">
        <v>37259.747126436778</v>
      </c>
      <c r="AJ423" s="872"/>
      <c r="AK423" s="1131"/>
      <c r="AL423" s="871">
        <v>38467.750957854405</v>
      </c>
      <c r="AM423" s="872"/>
      <c r="AN423" s="1131"/>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399999999999999">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399999999999999">
      <c r="A425" s="611" t="str">
        <f t="shared" si="1232"/>
        <v>Salaires autres</v>
      </c>
      <c r="B425" s="872" t="s">
        <v>114</v>
      </c>
      <c r="C425" s="872"/>
      <c r="D425" s="1131"/>
      <c r="E425" s="871">
        <f t="shared" si="1282"/>
        <v>675464.17135999992</v>
      </c>
      <c r="F425" s="872"/>
      <c r="G425" s="1131"/>
      <c r="H425" s="871">
        <v>54420.077005977015</v>
      </c>
      <c r="I425" s="872"/>
      <c r="J425" s="1131"/>
      <c r="K425" s="871">
        <v>51928.605085057468</v>
      </c>
      <c r="L425" s="872"/>
      <c r="M425" s="1131"/>
      <c r="N425" s="871">
        <v>59403.020847816086</v>
      </c>
      <c r="O425" s="872"/>
      <c r="P425" s="1131"/>
      <c r="Q425" s="871">
        <v>54420.077005977015</v>
      </c>
      <c r="R425" s="872"/>
      <c r="S425" s="1131"/>
      <c r="T425" s="871">
        <v>56911.548926896547</v>
      </c>
      <c r="U425" s="872"/>
      <c r="V425" s="1131"/>
      <c r="W425" s="871">
        <v>56911.548926896547</v>
      </c>
      <c r="X425" s="872"/>
      <c r="Y425" s="1131"/>
      <c r="Z425" s="871">
        <v>56911.548926896547</v>
      </c>
      <c r="AA425" s="872"/>
      <c r="AB425" s="1131"/>
      <c r="AC425" s="871">
        <v>56911.548926896547</v>
      </c>
      <c r="AD425" s="872"/>
      <c r="AE425" s="1131"/>
      <c r="AF425" s="871">
        <v>56911.548926896547</v>
      </c>
      <c r="AG425" s="872"/>
      <c r="AH425" s="1131"/>
      <c r="AI425" s="871">
        <v>54420.077005977015</v>
      </c>
      <c r="AJ425" s="872"/>
      <c r="AK425" s="1131"/>
      <c r="AL425" s="871">
        <v>56911.548926896547</v>
      </c>
      <c r="AM425" s="872"/>
      <c r="AN425" s="1131"/>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399999999999999">
      <c r="A426" s="611" t="str">
        <f t="shared" si="1232"/>
        <v>Salaires spécialistes</v>
      </c>
      <c r="B426" s="872" t="s">
        <v>115</v>
      </c>
      <c r="C426" s="872"/>
      <c r="D426" s="1131"/>
      <c r="E426" s="871">
        <f t="shared" si="1282"/>
        <v>406556.64223627653</v>
      </c>
      <c r="F426" s="872"/>
      <c r="G426" s="1131"/>
      <c r="H426" s="871">
        <v>28269.988941915435</v>
      </c>
      <c r="I426" s="872"/>
      <c r="J426" s="1131"/>
      <c r="K426" s="871">
        <v>27365.953079306841</v>
      </c>
      <c r="L426" s="872"/>
      <c r="M426" s="1131"/>
      <c r="N426" s="871">
        <v>32854.503329004117</v>
      </c>
      <c r="O426" s="872"/>
      <c r="P426" s="1131"/>
      <c r="Q426" s="871">
        <v>39931.429587516213</v>
      </c>
      <c r="R426" s="872"/>
      <c r="S426" s="1131"/>
      <c r="T426" s="871">
        <v>36866.512348284632</v>
      </c>
      <c r="U426" s="872"/>
      <c r="V426" s="1131"/>
      <c r="W426" s="871">
        <v>32276.157801321722</v>
      </c>
      <c r="X426" s="872"/>
      <c r="Y426" s="1131"/>
      <c r="Z426" s="871">
        <v>31473.660258041866</v>
      </c>
      <c r="AA426" s="872"/>
      <c r="AB426" s="1131"/>
      <c r="AC426" s="871">
        <v>31383.738445112467</v>
      </c>
      <c r="AD426" s="872"/>
      <c r="AE426" s="1131"/>
      <c r="AF426" s="871">
        <v>29995.648333885685</v>
      </c>
      <c r="AG426" s="872"/>
      <c r="AH426" s="1131"/>
      <c r="AI426" s="871">
        <v>35996.825580752877</v>
      </c>
      <c r="AJ426" s="872"/>
      <c r="AK426" s="1131"/>
      <c r="AL426" s="871">
        <v>47596.913203579163</v>
      </c>
      <c r="AM426" s="872"/>
      <c r="AN426" s="1131"/>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399999999999999">
      <c r="A427" s="611" t="str">
        <f t="shared" si="1232"/>
        <v>[...]</v>
      </c>
      <c r="B427" s="877" t="s">
        <v>42</v>
      </c>
      <c r="C427" s="872"/>
      <c r="D427" s="1131"/>
      <c r="E427" s="871">
        <f t="shared" si="1282"/>
        <v>0</v>
      </c>
      <c r="F427" s="872"/>
      <c r="G427" s="1131"/>
      <c r="H427" s="871">
        <v>0</v>
      </c>
      <c r="I427" s="872"/>
      <c r="J427" s="1131"/>
      <c r="K427" s="871">
        <v>0</v>
      </c>
      <c r="L427" s="872"/>
      <c r="M427" s="1131"/>
      <c r="N427" s="871">
        <v>0</v>
      </c>
      <c r="O427" s="872"/>
      <c r="P427" s="1131"/>
      <c r="Q427" s="871">
        <v>0</v>
      </c>
      <c r="R427" s="872"/>
      <c r="S427" s="1131"/>
      <c r="T427" s="871">
        <v>0</v>
      </c>
      <c r="U427" s="872"/>
      <c r="V427" s="1131"/>
      <c r="W427" s="871">
        <v>0</v>
      </c>
      <c r="X427" s="872"/>
      <c r="Y427" s="1131"/>
      <c r="Z427" s="871">
        <v>0</v>
      </c>
      <c r="AA427" s="872"/>
      <c r="AB427" s="1131"/>
      <c r="AC427" s="871">
        <v>0</v>
      </c>
      <c r="AD427" s="872"/>
      <c r="AE427" s="1131"/>
      <c r="AF427" s="871">
        <v>0</v>
      </c>
      <c r="AG427" s="872"/>
      <c r="AH427" s="1131"/>
      <c r="AI427" s="871">
        <v>0</v>
      </c>
      <c r="AJ427" s="872"/>
      <c r="AK427" s="1131"/>
      <c r="AL427" s="871">
        <v>0</v>
      </c>
      <c r="AM427" s="872"/>
      <c r="AN427" s="1131"/>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399999999999999">
      <c r="A428" s="611" t="str">
        <f t="shared" si="1232"/>
        <v>[...]</v>
      </c>
      <c r="B428" s="877" t="s">
        <v>42</v>
      </c>
      <c r="C428" s="872"/>
      <c r="D428" s="1131"/>
      <c r="E428" s="871">
        <f t="shared" si="1282"/>
        <v>0</v>
      </c>
      <c r="F428" s="872"/>
      <c r="G428" s="1131"/>
      <c r="H428" s="871">
        <v>0</v>
      </c>
      <c r="I428" s="872"/>
      <c r="J428" s="1131"/>
      <c r="K428" s="871">
        <v>0</v>
      </c>
      <c r="L428" s="872"/>
      <c r="M428" s="1131"/>
      <c r="N428" s="871">
        <v>0</v>
      </c>
      <c r="O428" s="872"/>
      <c r="P428" s="1131"/>
      <c r="Q428" s="871">
        <v>0</v>
      </c>
      <c r="R428" s="872"/>
      <c r="S428" s="1131"/>
      <c r="T428" s="871">
        <v>0</v>
      </c>
      <c r="U428" s="872"/>
      <c r="V428" s="1131"/>
      <c r="W428" s="871">
        <v>0</v>
      </c>
      <c r="X428" s="872"/>
      <c r="Y428" s="1131"/>
      <c r="Z428" s="871">
        <v>0</v>
      </c>
      <c r="AA428" s="872"/>
      <c r="AB428" s="1131"/>
      <c r="AC428" s="871">
        <v>0</v>
      </c>
      <c r="AD428" s="872"/>
      <c r="AE428" s="1131"/>
      <c r="AF428" s="871">
        <v>0</v>
      </c>
      <c r="AG428" s="872"/>
      <c r="AH428" s="1131"/>
      <c r="AI428" s="871">
        <v>0</v>
      </c>
      <c r="AJ428" s="872"/>
      <c r="AK428" s="1131"/>
      <c r="AL428" s="871">
        <v>0</v>
      </c>
      <c r="AM428" s="872"/>
      <c r="AN428" s="1131"/>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399999999999999">
      <c r="A429" s="611" t="str">
        <f t="shared" si="1232"/>
        <v>[...]</v>
      </c>
      <c r="B429" s="877" t="s">
        <v>42</v>
      </c>
      <c r="C429" s="872"/>
      <c r="D429" s="1131"/>
      <c r="E429" s="871">
        <f t="shared" si="1282"/>
        <v>0</v>
      </c>
      <c r="F429" s="872"/>
      <c r="G429" s="1131"/>
      <c r="H429" s="871">
        <v>0</v>
      </c>
      <c r="I429" s="872"/>
      <c r="J429" s="1131"/>
      <c r="K429" s="871">
        <v>0</v>
      </c>
      <c r="L429" s="872"/>
      <c r="M429" s="1131"/>
      <c r="N429" s="871">
        <v>0</v>
      </c>
      <c r="O429" s="872"/>
      <c r="P429" s="1131"/>
      <c r="Q429" s="871">
        <v>0</v>
      </c>
      <c r="R429" s="872"/>
      <c r="S429" s="1131"/>
      <c r="T429" s="871">
        <v>0</v>
      </c>
      <c r="U429" s="872"/>
      <c r="V429" s="1131"/>
      <c r="W429" s="871">
        <v>0</v>
      </c>
      <c r="X429" s="872"/>
      <c r="Y429" s="1131"/>
      <c r="Z429" s="871">
        <v>0</v>
      </c>
      <c r="AA429" s="872"/>
      <c r="AB429" s="1131"/>
      <c r="AC429" s="871">
        <v>0</v>
      </c>
      <c r="AD429" s="872"/>
      <c r="AE429" s="1131"/>
      <c r="AF429" s="871">
        <v>0</v>
      </c>
      <c r="AG429" s="872"/>
      <c r="AH429" s="1131"/>
      <c r="AI429" s="871">
        <v>0</v>
      </c>
      <c r="AJ429" s="872"/>
      <c r="AK429" s="1131"/>
      <c r="AL429" s="871">
        <v>0</v>
      </c>
      <c r="AM429" s="872"/>
      <c r="AN429" s="1131"/>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399999999999999">
      <c r="A430" s="611" t="str">
        <f t="shared" si="1232"/>
        <v>Salaires en absences</v>
      </c>
      <c r="B430" s="861" t="s">
        <v>116</v>
      </c>
      <c r="C430" s="861"/>
      <c r="D430" s="1132">
        <f>+E430/(SUM(E$422:E$426,E$411:E$412)+D$196-E$196)</f>
        <v>0.10963917886113292</v>
      </c>
      <c r="E430" s="864">
        <f t="shared" si="1282"/>
        <v>472929.81717640383</v>
      </c>
      <c r="F430" s="861"/>
      <c r="G430" s="1132">
        <f>+H430/(SUM(H$422:H$426,H$411:H$412)+G$196-H$196)</f>
        <v>0.11981860096603972</v>
      </c>
      <c r="H430" s="864">
        <v>34587.24660872305</v>
      </c>
      <c r="I430" s="861"/>
      <c r="J430" s="1132">
        <f>+K430/(SUM(K$422:K$426,K$411:K$412)+J$196-K$196)</f>
        <v>0.11657867104302116</v>
      </c>
      <c r="K430" s="864">
        <v>33655.544674904158</v>
      </c>
      <c r="L430" s="861"/>
      <c r="M430" s="1132">
        <f>+N430/(SUM(N$422:N$426,N$411:N$412)+M$196-N$196)</f>
        <v>0.11360909602462498</v>
      </c>
      <c r="N430" s="864">
        <v>41707.618476492964</v>
      </c>
      <c r="O430" s="861"/>
      <c r="P430" s="1132">
        <f>+Q430/(SUM(Q$422:Q$426,Q$411:Q$412)+P$196-Q$196)</f>
        <v>0.10277429417404209</v>
      </c>
      <c r="Q430" s="864">
        <v>41383.490135764128</v>
      </c>
      <c r="R430" s="861"/>
      <c r="S430" s="1132">
        <f>+T430/(SUM(T$422:T$426,T$411:T$412)+S$196-T$196)</f>
        <v>0.10384029962278359</v>
      </c>
      <c r="T430" s="864">
        <v>42551.816629138484</v>
      </c>
      <c r="U430" s="861"/>
      <c r="V430" s="1132">
        <f>+W430/(SUM(W$422:W$426,W$411:W$412)+V$196-W$196)</f>
        <v>0.10855638958441334</v>
      </c>
      <c r="W430" s="864">
        <v>40828.51854315016</v>
      </c>
      <c r="X430" s="861"/>
      <c r="Y430" s="1132">
        <f>+Z430/(SUM(Z$422:Z$426,Z$411:Z$412)+Y$196-Z$196)</f>
        <v>0.1133113315160645</v>
      </c>
      <c r="Z430" s="864">
        <v>41821.547275255361</v>
      </c>
      <c r="AA430" s="861"/>
      <c r="AB430" s="1132">
        <f>+AC430/(SUM(AC$422:AC$426,AC$411:AC$412)+AB$196-AC$196)</f>
        <v>0.11260378982387188</v>
      </c>
      <c r="AC430" s="864">
        <v>40829.245266991187</v>
      </c>
      <c r="AD430" s="861"/>
      <c r="AE430" s="1132">
        <f>+AF430/(SUM(AF$422:AF$426,AF$411:AF$412)+AE$196-AF$196)</f>
        <v>0.11212348639876156</v>
      </c>
      <c r="AF430" s="864">
        <v>39074.315709122791</v>
      </c>
      <c r="AG430" s="861"/>
      <c r="AH430" s="1132">
        <f>+AI430/(SUM(AI$422:AI$426,AI$411:AI$412)+AH$196-AI$196)</f>
        <v>0.10617200462709293</v>
      </c>
      <c r="AI430" s="864">
        <v>40150.625488047583</v>
      </c>
      <c r="AJ430" s="861"/>
      <c r="AK430" s="1132">
        <f>+AL430/(SUM(AL$422:AL$426,AL$411:AL$412)+AK$196-AL$196)</f>
        <v>0.10077115962649316</v>
      </c>
      <c r="AL430" s="864">
        <v>40824.908683481714</v>
      </c>
      <c r="AM430" s="861"/>
      <c r="AN430" s="1132">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399999999999999">
      <c r="A431" s="611" t="str">
        <f t="shared" si="1232"/>
        <v>Déduction à la source</v>
      </c>
      <c r="B431" s="872" t="s">
        <v>117</v>
      </c>
      <c r="C431" s="872"/>
      <c r="D431" s="1133">
        <f t="shared" ref="D431:D432" si="1283">+E431/(SUM(E$422:E$426,E$411:E$412)+D$196-E$196)</f>
        <v>9.8193123314121736E-2</v>
      </c>
      <c r="E431" s="871">
        <f t="shared" si="1282"/>
        <v>423557.12929723604</v>
      </c>
      <c r="F431" s="872"/>
      <c r="G431" s="1133">
        <f t="shared" ref="G431:G432" si="1284">+H431/(SUM(H$422:H$426,H$411:H$412)+G$196-H$196)</f>
        <v>0.10730983925815135</v>
      </c>
      <c r="H431" s="871">
        <v>30976.424729045859</v>
      </c>
      <c r="I431" s="872"/>
      <c r="J431" s="1133">
        <f t="shared" ref="J431:J432" si="1285">+K431/(SUM(K$422:K$426,K$411:K$412)+J$196-K$196)</f>
        <v>0.10440814990070894</v>
      </c>
      <c r="K431" s="871">
        <v>30141.990142524926</v>
      </c>
      <c r="L431" s="872"/>
      <c r="M431" s="1133">
        <f t="shared" ref="M431:M432" si="1286">+N431/(SUM(N$422:N$426,N$411:N$412)+M$196-N$196)</f>
        <v>0.10174859107328253</v>
      </c>
      <c r="N431" s="871">
        <v>37353.447615544253</v>
      </c>
      <c r="O431" s="872"/>
      <c r="P431" s="1133">
        <f t="shared" ref="P431:P432" si="1287">+Q431/(SUM(Q$422:Q$426,Q$411:Q$412)+P$196-Q$196)</f>
        <v>9.2044915386821191E-2</v>
      </c>
      <c r="Q431" s="871">
        <v>37063.157461409653</v>
      </c>
      <c r="R431" s="872"/>
      <c r="S431" s="1133">
        <f t="shared" ref="S431:S432" si="1288">+T431/(SUM(T$422:T$426,T$411:T$412)+S$196-T$196)</f>
        <v>9.2999632537835053E-2</v>
      </c>
      <c r="T431" s="871">
        <v>38109.513596385528</v>
      </c>
      <c r="U431" s="872"/>
      <c r="V431" s="1133">
        <f t="shared" ref="V431:V432" si="1289">+W431/(SUM(W$422:W$426,W$411:W$412)+V$196-W$196)</f>
        <v>9.7223374524714953E-2</v>
      </c>
      <c r="W431" s="871">
        <v>36566.123512456063</v>
      </c>
      <c r="X431" s="872"/>
      <c r="Y431" s="1133">
        <f t="shared" ref="Y431:Y432" si="1290">+Z431/(SUM(Z$422:Z$426,Z$411:Z$412)+Y$196-Z$196)</f>
        <v>0.10148191243329854</v>
      </c>
      <c r="Z431" s="871">
        <v>37455.482533190567</v>
      </c>
      <c r="AA431" s="872"/>
      <c r="AB431" s="1133">
        <f t="shared" ref="AB431:AB432" si="1291">+AC431/(SUM(AC$422:AC$426,AC$411:AC$412)+AB$196-AC$196)</f>
        <v>0.10084823632086296</v>
      </c>
      <c r="AC431" s="871">
        <v>36566.774368149061</v>
      </c>
      <c r="AD431" s="872"/>
      <c r="AE431" s="1133">
        <f t="shared" ref="AE431:AE432" si="1292">+AF431/(SUM(AF$422:AF$426,AF$411:AF$412)+AE$196-AF$196)</f>
        <v>0.10041807536982383</v>
      </c>
      <c r="AF431" s="871">
        <v>34995.055058743899</v>
      </c>
      <c r="AG431" s="872"/>
      <c r="AH431" s="1133">
        <f t="shared" ref="AH431:AH432" si="1293">+AI431/(SUM(AI$422:AI$426,AI$411:AI$412)+AH$196-AI$196)</f>
        <v>9.5087913382315786E-2</v>
      </c>
      <c r="AI431" s="871">
        <v>35959.000793689775</v>
      </c>
      <c r="AJ431" s="872"/>
      <c r="AK431" s="1133">
        <f t="shared" ref="AK431:AK432" si="1294">+AL431/(SUM(AL$422:AL$426,AL$411:AL$412)+AK$196-AL$196)</f>
        <v>9.0250903066723648E-2</v>
      </c>
      <c r="AL431" s="871">
        <v>36562.890513091668</v>
      </c>
      <c r="AM431" s="872"/>
      <c r="AN431" s="1133">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399999999999999">
      <c r="A432" s="611" t="str">
        <f t="shared" si="1232"/>
        <v>Bénéfices marginaux</v>
      </c>
      <c r="B432" s="883" t="s">
        <v>118</v>
      </c>
      <c r="C432" s="872"/>
      <c r="D432" s="1133">
        <f t="shared" si="1283"/>
        <v>7.7976892043567225E-2</v>
      </c>
      <c r="E432" s="871">
        <f t="shared" si="1282"/>
        <v>336354.19091251085</v>
      </c>
      <c r="F432" s="872"/>
      <c r="G432" s="1133">
        <f t="shared" si="1284"/>
        <v>8.5216637057943731E-2</v>
      </c>
      <c r="H432" s="871">
        <v>24598.925520124656</v>
      </c>
      <c r="I432" s="872"/>
      <c r="J432" s="1133">
        <f t="shared" si="1285"/>
        <v>8.2912354332915938E-2</v>
      </c>
      <c r="K432" s="871">
        <v>23936.286289652151</v>
      </c>
      <c r="L432" s="872"/>
      <c r="M432" s="1133">
        <f t="shared" si="1286"/>
        <v>8.0800351734665529E-2</v>
      </c>
      <c r="N432" s="871">
        <v>29663.031929991022</v>
      </c>
      <c r="O432" s="872"/>
      <c r="P432" s="1133">
        <f t="shared" si="1287"/>
        <v>7.3094491630710967E-2</v>
      </c>
      <c r="Q432" s="871">
        <v>29432.50739582532</v>
      </c>
      <c r="R432" s="872"/>
      <c r="S432" s="1133">
        <f t="shared" si="1288"/>
        <v>7.3852649368280787E-2</v>
      </c>
      <c r="T432" s="871">
        <v>30263.437267717924</v>
      </c>
      <c r="U432" s="872"/>
      <c r="V432" s="1133">
        <f t="shared" si="1289"/>
        <v>7.7206797416685416E-2</v>
      </c>
      <c r="W432" s="871">
        <v>29037.803965773935</v>
      </c>
      <c r="X432" s="872"/>
      <c r="Y432" s="1133">
        <f t="shared" si="1290"/>
        <v>8.0588577520560603E-2</v>
      </c>
      <c r="Z432" s="871">
        <v>29744.059658710157</v>
      </c>
      <c r="AA432" s="872"/>
      <c r="AB432" s="1133">
        <f t="shared" si="1291"/>
        <v>8.0085364137155876E-2</v>
      </c>
      <c r="AC432" s="871">
        <v>29038.320821765432</v>
      </c>
      <c r="AD432" s="872"/>
      <c r="AE432" s="1133">
        <f t="shared" si="1292"/>
        <v>7.9743765734860111E-2</v>
      </c>
      <c r="AF432" s="871">
        <v>27790.190781943689</v>
      </c>
      <c r="AG432" s="872"/>
      <c r="AH432" s="1133">
        <f t="shared" si="1293"/>
        <v>7.5510990038897843E-2</v>
      </c>
      <c r="AI432" s="871">
        <v>28555.677100871297</v>
      </c>
      <c r="AJ432" s="872"/>
      <c r="AK432" s="1133">
        <f t="shared" si="1294"/>
        <v>7.1669834788280568E-2</v>
      </c>
      <c r="AL432" s="871">
        <v>29035.236583925744</v>
      </c>
      <c r="AM432" s="872"/>
      <c r="AN432" s="1133">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399999999999999">
      <c r="A433" s="611" t="str">
        <f t="shared" si="1232"/>
        <v>Csst</v>
      </c>
      <c r="B433" s="872" t="s">
        <v>119</v>
      </c>
      <c r="C433" s="872"/>
      <c r="D433" s="1133">
        <f>+E433/(SUM(E$422:E$426,E$411:E$412)+D$196-E$196)</f>
        <v>3.1768363425157022E-2</v>
      </c>
      <c r="E433" s="871">
        <f t="shared" si="1282"/>
        <v>137033.18889028221</v>
      </c>
      <c r="F433" s="872"/>
      <c r="G433" s="1133">
        <f>+H433/(SUM(H$422:H$426,H$411:H$412)+G$196-H$196)</f>
        <v>3.4717889171754848E-2</v>
      </c>
      <c r="H433" s="871">
        <v>10021.784471161896</v>
      </c>
      <c r="I433" s="872"/>
      <c r="J433" s="1133">
        <f>+K433/(SUM(K$422:K$426,K$411:K$412)+J$196-K$196)</f>
        <v>3.3779107320817611E-2</v>
      </c>
      <c r="K433" s="871">
        <v>9751.8203402286563</v>
      </c>
      <c r="L433" s="872"/>
      <c r="M433" s="1133">
        <f>+N433/(SUM(N$422:N$426,N$411:N$412)+M$196-N$196)</f>
        <v>3.2918661817826711E-2</v>
      </c>
      <c r="N433" s="871">
        <v>12084.93893444079</v>
      </c>
      <c r="O433" s="872"/>
      <c r="P433" s="1133">
        <f>+Q433/(SUM(Q$422:Q$426,Q$411:Q$412)+P$196-Q$196)</f>
        <v>2.977923733103038E-2</v>
      </c>
      <c r="Q433" s="871">
        <v>11991.021531632534</v>
      </c>
      <c r="R433" s="872"/>
      <c r="S433" s="1133">
        <f>+T433/(SUM(T$422:T$426,T$411:T$412)+S$196-T$196)</f>
        <v>3.0088116409299575E-2</v>
      </c>
      <c r="T433" s="871">
        <v>12329.548516477671</v>
      </c>
      <c r="U433" s="872"/>
      <c r="V433" s="1133">
        <f>+W433/(SUM(W$422:W$426,W$411:W$412)+V$196-W$196)</f>
        <v>3.1454621169760728E-2</v>
      </c>
      <c r="W433" s="871">
        <v>11830.216430500494</v>
      </c>
      <c r="X433" s="872"/>
      <c r="Y433" s="1133">
        <f>+Z433/(SUM(Z$422:Z$426,Z$411:Z$412)+Y$196-Z$196)</f>
        <v>3.2832383434302469E-2</v>
      </c>
      <c r="Z433" s="871">
        <v>12117.95023132636</v>
      </c>
      <c r="AA433" s="872"/>
      <c r="AB433" s="1133">
        <f>+AC433/(SUM(AC$422:AC$426,AC$411:AC$412)+AB$196-AC$196)</f>
        <v>3.2627370574396838E-2</v>
      </c>
      <c r="AC433" s="871">
        <v>11830.427001459992</v>
      </c>
      <c r="AD433" s="872"/>
      <c r="AE433" s="1133">
        <f>+AF433/(SUM(AF$422:AF$426,AF$411:AF$412)+AE$196-AF$196)</f>
        <v>3.2488200854943007E-2</v>
      </c>
      <c r="AF433" s="871">
        <v>11321.929577828911</v>
      </c>
      <c r="AG433" s="872"/>
      <c r="AH433" s="1133">
        <f>+AI433/(SUM(AI$422:AI$426,AI$411:AI$412)+AH$196-AI$196)</f>
        <v>3.0763736682513934E-2</v>
      </c>
      <c r="AI433" s="871">
        <v>11633.794374429046</v>
      </c>
      <c r="AJ433" s="872"/>
      <c r="AK433" s="1133">
        <f>+AL433/(SUM(AL$422:AL$426,AL$411:AL$412)+AK$196-AL$196)</f>
        <v>2.9198821580410601E-2</v>
      </c>
      <c r="AL433" s="871">
        <v>11829.170460117895</v>
      </c>
      <c r="AM433" s="872"/>
      <c r="AN433" s="1133">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399999999999999">
      <c r="A434" s="611" t="str">
        <f t="shared" si="1232"/>
        <v>[...]</v>
      </c>
      <c r="B434" s="877" t="s">
        <v>42</v>
      </c>
      <c r="C434" s="872"/>
      <c r="D434" s="1131"/>
      <c r="E434" s="871">
        <f t="shared" si="1282"/>
        <v>0</v>
      </c>
      <c r="F434" s="872"/>
      <c r="G434" s="1131"/>
      <c r="H434" s="871">
        <f t="shared" ref="H434" si="1296">+SUMIF($B$4:$B$401,$B434,H$4:H$401)</f>
        <v>0</v>
      </c>
      <c r="I434" s="872"/>
      <c r="J434" s="1131"/>
      <c r="K434" s="871">
        <f t="shared" ref="K434:AO434" si="1297">+SUMIF($B$4:$B$401,$B434,K$4:K$401)</f>
        <v>0</v>
      </c>
      <c r="L434" s="872"/>
      <c r="M434" s="1131"/>
      <c r="N434" s="871">
        <f t="shared" si="1297"/>
        <v>0</v>
      </c>
      <c r="O434" s="872"/>
      <c r="P434" s="1131"/>
      <c r="Q434" s="871">
        <f t="shared" si="1297"/>
        <v>0</v>
      </c>
      <c r="R434" s="872"/>
      <c r="S434" s="1131"/>
      <c r="T434" s="871">
        <f t="shared" si="1297"/>
        <v>0</v>
      </c>
      <c r="U434" s="872"/>
      <c r="V434" s="1131"/>
      <c r="W434" s="871">
        <f t="shared" si="1297"/>
        <v>0</v>
      </c>
      <c r="X434" s="872"/>
      <c r="Y434" s="1131"/>
      <c r="Z434" s="871">
        <f t="shared" si="1297"/>
        <v>0</v>
      </c>
      <c r="AA434" s="872"/>
      <c r="AB434" s="1131"/>
      <c r="AC434" s="871">
        <f t="shared" si="1297"/>
        <v>0</v>
      </c>
      <c r="AD434" s="872"/>
      <c r="AE434" s="1131"/>
      <c r="AF434" s="871">
        <f t="shared" si="1297"/>
        <v>0</v>
      </c>
      <c r="AG434" s="872"/>
      <c r="AH434" s="1131"/>
      <c r="AI434" s="871">
        <f t="shared" si="1297"/>
        <v>0</v>
      </c>
      <c r="AJ434" s="872"/>
      <c r="AK434" s="1131"/>
      <c r="AL434" s="871">
        <f t="shared" si="1297"/>
        <v>0</v>
      </c>
      <c r="AM434" s="872"/>
      <c r="AN434" s="1131"/>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399999999999999">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399999999999999">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399999999999999">
      <c r="A437" s="611" t="str">
        <f t="shared" si="1232"/>
        <v>Service gratuit 2</v>
      </c>
      <c r="B437" s="872" t="s">
        <v>122</v>
      </c>
      <c r="C437" s="872"/>
      <c r="D437" s="1131"/>
      <c r="E437" s="871">
        <f t="shared" si="1320"/>
        <v>47760.092962337272</v>
      </c>
      <c r="F437" s="872"/>
      <c r="G437" s="1131"/>
      <c r="H437" s="871">
        <v>2506.5808325317239</v>
      </c>
      <c r="I437" s="872"/>
      <c r="J437" s="1131"/>
      <c r="K437" s="871">
        <v>2486.4637072358846</v>
      </c>
      <c r="L437" s="872"/>
      <c r="M437" s="1131"/>
      <c r="N437" s="871">
        <v>3315.2445671469141</v>
      </c>
      <c r="O437" s="872"/>
      <c r="P437" s="1131"/>
      <c r="Q437" s="871">
        <v>6043.6941787975629</v>
      </c>
      <c r="R437" s="872"/>
      <c r="S437" s="1131"/>
      <c r="T437" s="871">
        <v>4693.4716422992187</v>
      </c>
      <c r="U437" s="872"/>
      <c r="V437" s="1131"/>
      <c r="W437" s="871">
        <v>3454.4294301290929</v>
      </c>
      <c r="X437" s="872"/>
      <c r="Y437" s="1131"/>
      <c r="Z437" s="871">
        <v>3266.9993457882165</v>
      </c>
      <c r="AA437" s="872"/>
      <c r="AB437" s="1131"/>
      <c r="AC437" s="871">
        <v>3201.2832699302448</v>
      </c>
      <c r="AD437" s="872"/>
      <c r="AE437" s="1131"/>
      <c r="AF437" s="871">
        <v>2644.9571535311065</v>
      </c>
      <c r="AG437" s="872"/>
      <c r="AH437" s="1131"/>
      <c r="AI437" s="871">
        <v>4887.1336259974432</v>
      </c>
      <c r="AJ437" s="872"/>
      <c r="AK437" s="1131"/>
      <c r="AL437" s="871">
        <v>8210.6570130502769</v>
      </c>
      <c r="AM437" s="872"/>
      <c r="AN437" s="1131"/>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399999999999999">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399999999999999">
      <c r="A439" s="611" t="str">
        <f t="shared" si="1232"/>
        <v>Informatique</v>
      </c>
      <c r="B439" s="872" t="s">
        <v>124</v>
      </c>
      <c r="C439" s="872"/>
      <c r="D439" s="1131"/>
      <c r="E439" s="871">
        <f t="shared" si="1320"/>
        <v>240410.51099999994</v>
      </c>
      <c r="F439" s="872"/>
      <c r="G439" s="1131"/>
      <c r="H439" s="871">
        <v>20034.202416666667</v>
      </c>
      <c r="I439" s="872"/>
      <c r="J439" s="1131"/>
      <c r="K439" s="871">
        <v>20034.202416666667</v>
      </c>
      <c r="L439" s="872"/>
      <c r="M439" s="1131"/>
      <c r="N439" s="871">
        <v>20034.202416666667</v>
      </c>
      <c r="O439" s="872"/>
      <c r="P439" s="1131"/>
      <c r="Q439" s="871">
        <v>20034.202416666667</v>
      </c>
      <c r="R439" s="872"/>
      <c r="S439" s="1131"/>
      <c r="T439" s="871">
        <v>20034.212666666666</v>
      </c>
      <c r="U439" s="872"/>
      <c r="V439" s="1131"/>
      <c r="W439" s="871">
        <v>20034.212666666666</v>
      </c>
      <c r="X439" s="872"/>
      <c r="Y439" s="1131"/>
      <c r="Z439" s="871">
        <v>20034.212666666666</v>
      </c>
      <c r="AA439" s="872"/>
      <c r="AB439" s="1131"/>
      <c r="AC439" s="871">
        <v>20034.212666666666</v>
      </c>
      <c r="AD439" s="872"/>
      <c r="AE439" s="1131"/>
      <c r="AF439" s="871">
        <v>20034.212666666666</v>
      </c>
      <c r="AG439" s="872"/>
      <c r="AH439" s="1131"/>
      <c r="AI439" s="871">
        <v>20034.212666666666</v>
      </c>
      <c r="AJ439" s="872"/>
      <c r="AK439" s="1131"/>
      <c r="AL439" s="871">
        <v>20034.212666666666</v>
      </c>
      <c r="AM439" s="872"/>
      <c r="AN439" s="1131"/>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399999999999999">
      <c r="A440" s="611" t="str">
        <f t="shared" si="1232"/>
        <v>Frais de déplacement</v>
      </c>
      <c r="B440" s="872" t="s">
        <v>125</v>
      </c>
      <c r="C440" s="872"/>
      <c r="D440" s="1131"/>
      <c r="E440" s="871">
        <f t="shared" si="1320"/>
        <v>29705.317500000008</v>
      </c>
      <c r="F440" s="872"/>
      <c r="G440" s="1131"/>
      <c r="H440" s="871">
        <v>2475.4431250000002</v>
      </c>
      <c r="I440" s="872"/>
      <c r="J440" s="1131"/>
      <c r="K440" s="871">
        <v>2475.4431250000002</v>
      </c>
      <c r="L440" s="872"/>
      <c r="M440" s="1131"/>
      <c r="N440" s="871">
        <v>2475.4431250000002</v>
      </c>
      <c r="O440" s="872"/>
      <c r="P440" s="1131"/>
      <c r="Q440" s="871">
        <v>2475.4431250000002</v>
      </c>
      <c r="R440" s="872"/>
      <c r="S440" s="1131"/>
      <c r="T440" s="871">
        <v>2475.4431250000002</v>
      </c>
      <c r="U440" s="872"/>
      <c r="V440" s="1131"/>
      <c r="W440" s="871">
        <v>2475.4431250000002</v>
      </c>
      <c r="X440" s="872"/>
      <c r="Y440" s="1131"/>
      <c r="Z440" s="871">
        <v>2475.4431250000002</v>
      </c>
      <c r="AA440" s="872"/>
      <c r="AB440" s="1131"/>
      <c r="AC440" s="871">
        <v>2475.4431250000002</v>
      </c>
      <c r="AD440" s="872"/>
      <c r="AE440" s="1131"/>
      <c r="AF440" s="871">
        <v>2475.4431250000002</v>
      </c>
      <c r="AG440" s="872"/>
      <c r="AH440" s="1131"/>
      <c r="AI440" s="871">
        <v>2475.4431250000002</v>
      </c>
      <c r="AJ440" s="872"/>
      <c r="AK440" s="1131"/>
      <c r="AL440" s="871">
        <v>2475.4431250000002</v>
      </c>
      <c r="AM440" s="872"/>
      <c r="AN440" s="1131"/>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399999999999999">
      <c r="A441" s="611" t="str">
        <f t="shared" si="1232"/>
        <v>Services extérieurs</v>
      </c>
      <c r="B441" s="872" t="s">
        <v>126</v>
      </c>
      <c r="C441" s="1134"/>
      <c r="D441" s="1135"/>
      <c r="E441" s="1136">
        <f t="shared" si="1320"/>
        <v>251188.81806666666</v>
      </c>
      <c r="F441" s="1134"/>
      <c r="G441" s="1135"/>
      <c r="H441" s="1136">
        <v>20117.604355555559</v>
      </c>
      <c r="I441" s="1134"/>
      <c r="J441" s="1135"/>
      <c r="K441" s="1136">
        <v>20322.272155555554</v>
      </c>
      <c r="L441" s="1134"/>
      <c r="M441" s="1135"/>
      <c r="N441" s="1136">
        <v>20219.995055555555</v>
      </c>
      <c r="O441" s="1134"/>
      <c r="P441" s="1135"/>
      <c r="Q441" s="1136">
        <v>19541.726855555557</v>
      </c>
      <c r="R441" s="1134"/>
      <c r="S441" s="1135"/>
      <c r="T441" s="1136">
        <v>26609.873755555556</v>
      </c>
      <c r="U441" s="1134"/>
      <c r="V441" s="1135"/>
      <c r="W441" s="1136">
        <v>20630.700055555557</v>
      </c>
      <c r="X441" s="1134"/>
      <c r="Y441" s="1135"/>
      <c r="Z441" s="1136">
        <v>20314.200055555557</v>
      </c>
      <c r="AA441" s="1134"/>
      <c r="AB441" s="1135"/>
      <c r="AC441" s="1136">
        <v>18933.671255555557</v>
      </c>
      <c r="AD441" s="1134"/>
      <c r="AE441" s="1135"/>
      <c r="AF441" s="1136">
        <v>19272.323455555557</v>
      </c>
      <c r="AG441" s="1134"/>
      <c r="AH441" s="1135"/>
      <c r="AI441" s="1136">
        <v>18693.551455555556</v>
      </c>
      <c r="AJ441" s="1134"/>
      <c r="AK441" s="1135"/>
      <c r="AL441" s="1136">
        <v>27219.629355555553</v>
      </c>
      <c r="AM441" s="1134"/>
      <c r="AN441" s="1135"/>
      <c r="AO441" s="1136">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399999999999999">
      <c r="A442" s="611"/>
      <c r="B442" s="872"/>
      <c r="C442" s="1137"/>
      <c r="D442" s="1138"/>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399999999999999">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399999999999999">
      <c r="A444" s="611" t="str">
        <f t="shared" si="1232"/>
        <v>Uniformes</v>
      </c>
      <c r="B444" s="872" t="s">
        <v>128</v>
      </c>
      <c r="C444" s="872"/>
      <c r="D444" s="1131"/>
      <c r="E444" s="871">
        <f t="shared" si="1320"/>
        <v>9139.6687499999989</v>
      </c>
      <c r="F444" s="872"/>
      <c r="G444" s="1131"/>
      <c r="H444" s="871">
        <v>467.02277717171074</v>
      </c>
      <c r="I444" s="872"/>
      <c r="J444" s="1131"/>
      <c r="K444" s="871">
        <v>482.11117011246233</v>
      </c>
      <c r="L444" s="872"/>
      <c r="M444" s="1131"/>
      <c r="N444" s="871">
        <v>841.31210324238816</v>
      </c>
      <c r="O444" s="872"/>
      <c r="P444" s="1131"/>
      <c r="Q444" s="871">
        <v>889.16451825784043</v>
      </c>
      <c r="R444" s="872"/>
      <c r="S444" s="1131"/>
      <c r="T444" s="871">
        <v>995.16741157977481</v>
      </c>
      <c r="U444" s="872"/>
      <c r="V444" s="1131"/>
      <c r="W444" s="871">
        <v>857.50204291140165</v>
      </c>
      <c r="X444" s="872"/>
      <c r="Y444" s="1131"/>
      <c r="Z444" s="871">
        <v>918.23975741108154</v>
      </c>
      <c r="AA444" s="872"/>
      <c r="AB444" s="1131"/>
      <c r="AC444" s="871">
        <v>872.97457858882672</v>
      </c>
      <c r="AD444" s="872"/>
      <c r="AE444" s="1131"/>
      <c r="AF444" s="871">
        <v>754.47052851933779</v>
      </c>
      <c r="AG444" s="872"/>
      <c r="AH444" s="1131"/>
      <c r="AI444" s="871">
        <v>829.91249322309579</v>
      </c>
      <c r="AJ444" s="872"/>
      <c r="AK444" s="1131"/>
      <c r="AL444" s="871">
        <v>733.49025920060342</v>
      </c>
      <c r="AM444" s="872"/>
      <c r="AN444" s="1131"/>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399999999999999">
      <c r="A445" s="611" t="str">
        <f t="shared" si="1232"/>
        <v>Papeterie</v>
      </c>
      <c r="B445" s="872" t="s">
        <v>129</v>
      </c>
      <c r="C445" s="872"/>
      <c r="D445" s="1131"/>
      <c r="E445" s="871">
        <f t="shared" si="1320"/>
        <v>24482.412</v>
      </c>
      <c r="F445" s="872"/>
      <c r="G445" s="1131"/>
      <c r="H445" s="871">
        <v>2040.2009999999998</v>
      </c>
      <c r="I445" s="872"/>
      <c r="J445" s="1131"/>
      <c r="K445" s="871">
        <v>2040.2009999999998</v>
      </c>
      <c r="L445" s="872"/>
      <c r="M445" s="1131"/>
      <c r="N445" s="871">
        <v>2040.2009999999998</v>
      </c>
      <c r="O445" s="872"/>
      <c r="P445" s="1131"/>
      <c r="Q445" s="871">
        <v>2040.2009999999998</v>
      </c>
      <c r="R445" s="872"/>
      <c r="S445" s="1131"/>
      <c r="T445" s="871">
        <v>2040.2009999999998</v>
      </c>
      <c r="U445" s="872"/>
      <c r="V445" s="1131"/>
      <c r="W445" s="871">
        <v>2040.2009999999998</v>
      </c>
      <c r="X445" s="872"/>
      <c r="Y445" s="1131"/>
      <c r="Z445" s="871">
        <v>2040.2009999999998</v>
      </c>
      <c r="AA445" s="872"/>
      <c r="AB445" s="1131"/>
      <c r="AC445" s="871">
        <v>2040.2009999999998</v>
      </c>
      <c r="AD445" s="872"/>
      <c r="AE445" s="1131"/>
      <c r="AF445" s="871">
        <v>2040.2009999999998</v>
      </c>
      <c r="AG445" s="872"/>
      <c r="AH445" s="1131"/>
      <c r="AI445" s="871">
        <v>2040.2009999999998</v>
      </c>
      <c r="AJ445" s="872"/>
      <c r="AK445" s="1131"/>
      <c r="AL445" s="871">
        <v>2040.2009999999998</v>
      </c>
      <c r="AM445" s="872"/>
      <c r="AN445" s="1131"/>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399999999999999">
      <c r="A446" s="611" t="str">
        <f t="shared" si="1232"/>
        <v>Téléphone</v>
      </c>
      <c r="B446" s="872" t="s">
        <v>130</v>
      </c>
      <c r="C446" s="872"/>
      <c r="D446" s="1131"/>
      <c r="E446" s="871">
        <f t="shared" si="1320"/>
        <v>11304.919749999999</v>
      </c>
      <c r="F446" s="872"/>
      <c r="G446" s="1131"/>
      <c r="H446" s="871">
        <v>942.07664583333337</v>
      </c>
      <c r="I446" s="872"/>
      <c r="J446" s="1131"/>
      <c r="K446" s="871">
        <v>942.07664583333337</v>
      </c>
      <c r="L446" s="872"/>
      <c r="M446" s="1131"/>
      <c r="N446" s="871">
        <v>942.07664583333337</v>
      </c>
      <c r="O446" s="872"/>
      <c r="P446" s="1131"/>
      <c r="Q446" s="871">
        <v>942.07664583333337</v>
      </c>
      <c r="R446" s="872"/>
      <c r="S446" s="1131"/>
      <c r="T446" s="871">
        <v>942.07664583333337</v>
      </c>
      <c r="U446" s="872"/>
      <c r="V446" s="1131"/>
      <c r="W446" s="871">
        <v>942.07664583333337</v>
      </c>
      <c r="X446" s="872"/>
      <c r="Y446" s="1131"/>
      <c r="Z446" s="871">
        <v>942.07664583333337</v>
      </c>
      <c r="AA446" s="872"/>
      <c r="AB446" s="1131"/>
      <c r="AC446" s="871">
        <v>942.07664583333337</v>
      </c>
      <c r="AD446" s="872"/>
      <c r="AE446" s="1131"/>
      <c r="AF446" s="871">
        <v>942.07664583333337</v>
      </c>
      <c r="AG446" s="872"/>
      <c r="AH446" s="1131"/>
      <c r="AI446" s="871">
        <v>942.07664583333337</v>
      </c>
      <c r="AJ446" s="872"/>
      <c r="AK446" s="1131"/>
      <c r="AL446" s="871">
        <v>942.07664583333337</v>
      </c>
      <c r="AM446" s="872"/>
      <c r="AN446" s="1131"/>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399999999999999">
      <c r="A447" s="611" t="str">
        <f t="shared" si="1232"/>
        <v>Frais postaux</v>
      </c>
      <c r="B447" s="872" t="s">
        <v>131</v>
      </c>
      <c r="C447" s="872"/>
      <c r="D447" s="1131"/>
      <c r="E447" s="871">
        <f t="shared" si="1320"/>
        <v>6034.3902499999976</v>
      </c>
      <c r="F447" s="872"/>
      <c r="G447" s="1131"/>
      <c r="H447" s="871">
        <v>502.86585416666657</v>
      </c>
      <c r="I447" s="872"/>
      <c r="J447" s="1131"/>
      <c r="K447" s="871">
        <v>502.86585416666657</v>
      </c>
      <c r="L447" s="872"/>
      <c r="M447" s="1131"/>
      <c r="N447" s="871">
        <v>502.86585416666657</v>
      </c>
      <c r="O447" s="872"/>
      <c r="P447" s="1131"/>
      <c r="Q447" s="871">
        <v>502.86585416666657</v>
      </c>
      <c r="R447" s="872"/>
      <c r="S447" s="1131"/>
      <c r="T447" s="871">
        <v>502.86585416666657</v>
      </c>
      <c r="U447" s="872"/>
      <c r="V447" s="1131"/>
      <c r="W447" s="871">
        <v>502.86585416666657</v>
      </c>
      <c r="X447" s="872"/>
      <c r="Y447" s="1131"/>
      <c r="Z447" s="871">
        <v>502.86585416666657</v>
      </c>
      <c r="AA447" s="872"/>
      <c r="AB447" s="1131"/>
      <c r="AC447" s="871">
        <v>502.86585416666657</v>
      </c>
      <c r="AD447" s="872"/>
      <c r="AE447" s="1131"/>
      <c r="AF447" s="871">
        <v>502.86585416666657</v>
      </c>
      <c r="AG447" s="872"/>
      <c r="AH447" s="1131"/>
      <c r="AI447" s="871">
        <v>502.86585416666657</v>
      </c>
      <c r="AJ447" s="872"/>
      <c r="AK447" s="1131"/>
      <c r="AL447" s="871">
        <v>502.86585416666657</v>
      </c>
      <c r="AM447" s="872"/>
      <c r="AN447" s="1131"/>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399999999999999">
      <c r="A448" s="611" t="str">
        <f t="shared" si="1232"/>
        <v>Divers</v>
      </c>
      <c r="B448" s="872" t="s">
        <v>132</v>
      </c>
      <c r="C448" s="872"/>
      <c r="D448" s="1131"/>
      <c r="E448" s="871">
        <f t="shared" si="1320"/>
        <v>29108.759749999994</v>
      </c>
      <c r="F448" s="872"/>
      <c r="G448" s="1131"/>
      <c r="H448" s="871">
        <v>2425.729979166666</v>
      </c>
      <c r="I448" s="872"/>
      <c r="J448" s="1131"/>
      <c r="K448" s="871">
        <v>2425.729979166666</v>
      </c>
      <c r="L448" s="872"/>
      <c r="M448" s="1131"/>
      <c r="N448" s="871">
        <v>2425.729979166666</v>
      </c>
      <c r="O448" s="872"/>
      <c r="P448" s="1131"/>
      <c r="Q448" s="871">
        <v>2425.729979166666</v>
      </c>
      <c r="R448" s="872"/>
      <c r="S448" s="1131"/>
      <c r="T448" s="871">
        <v>2425.729979166666</v>
      </c>
      <c r="U448" s="872"/>
      <c r="V448" s="1131"/>
      <c r="W448" s="871">
        <v>2425.729979166666</v>
      </c>
      <c r="X448" s="872"/>
      <c r="Y448" s="1131"/>
      <c r="Z448" s="871">
        <v>2425.729979166666</v>
      </c>
      <c r="AA448" s="872"/>
      <c r="AB448" s="1131"/>
      <c r="AC448" s="871">
        <v>2425.729979166666</v>
      </c>
      <c r="AD448" s="872"/>
      <c r="AE448" s="1131"/>
      <c r="AF448" s="871">
        <v>2425.729979166666</v>
      </c>
      <c r="AG448" s="872"/>
      <c r="AH448" s="1131"/>
      <c r="AI448" s="871">
        <v>2425.729979166666</v>
      </c>
      <c r="AJ448" s="872"/>
      <c r="AK448" s="1131"/>
      <c r="AL448" s="871">
        <v>2425.729979166666</v>
      </c>
      <c r="AM448" s="872"/>
      <c r="AN448" s="1131"/>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399999999999999">
      <c r="A449" s="611" t="str">
        <f t="shared" si="1232"/>
        <v>Formation</v>
      </c>
      <c r="B449" s="872" t="s">
        <v>133</v>
      </c>
      <c r="C449" s="872"/>
      <c r="D449" s="1131"/>
      <c r="E449" s="871">
        <f t="shared" si="1320"/>
        <v>43247.110000000008</v>
      </c>
      <c r="F449" s="872"/>
      <c r="G449" s="1131"/>
      <c r="H449" s="871">
        <v>3603.9258333333332</v>
      </c>
      <c r="I449" s="872"/>
      <c r="J449" s="1131"/>
      <c r="K449" s="871">
        <v>3603.9258333333332</v>
      </c>
      <c r="L449" s="872"/>
      <c r="M449" s="1131"/>
      <c r="N449" s="871">
        <v>3603.9258333333332</v>
      </c>
      <c r="O449" s="872"/>
      <c r="P449" s="1131"/>
      <c r="Q449" s="871">
        <v>3603.9258333333332</v>
      </c>
      <c r="R449" s="872"/>
      <c r="S449" s="1131"/>
      <c r="T449" s="871">
        <v>3603.9258333333332</v>
      </c>
      <c r="U449" s="872"/>
      <c r="V449" s="1131"/>
      <c r="W449" s="871">
        <v>3603.9258333333332</v>
      </c>
      <c r="X449" s="872"/>
      <c r="Y449" s="1131"/>
      <c r="Z449" s="871">
        <v>3603.9258333333332</v>
      </c>
      <c r="AA449" s="872"/>
      <c r="AB449" s="1131"/>
      <c r="AC449" s="871">
        <v>3603.9258333333332</v>
      </c>
      <c r="AD449" s="872"/>
      <c r="AE449" s="1131"/>
      <c r="AF449" s="871">
        <v>3603.9258333333332</v>
      </c>
      <c r="AG449" s="872"/>
      <c r="AH449" s="1131"/>
      <c r="AI449" s="871">
        <v>3603.9258333333332</v>
      </c>
      <c r="AJ449" s="872"/>
      <c r="AK449" s="1131"/>
      <c r="AL449" s="871">
        <v>3603.9258333333332</v>
      </c>
      <c r="AM449" s="872"/>
      <c r="AN449" s="1131"/>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399999999999999">
      <c r="A450" s="611" t="str">
        <f t="shared" si="1232"/>
        <v>Frais bancaires</v>
      </c>
      <c r="B450" s="872" t="s">
        <v>134</v>
      </c>
      <c r="C450" s="872"/>
      <c r="D450" s="1131"/>
      <c r="E450" s="871">
        <f t="shared" si="1320"/>
        <v>87404.247868401319</v>
      </c>
      <c r="F450" s="872"/>
      <c r="G450" s="1131"/>
      <c r="H450" s="871">
        <v>5260.1164656443607</v>
      </c>
      <c r="I450" s="872"/>
      <c r="J450" s="1131"/>
      <c r="K450" s="871">
        <v>4476.4105126150998</v>
      </c>
      <c r="L450" s="872"/>
      <c r="M450" s="1131"/>
      <c r="N450" s="871">
        <v>5248.2085234784781</v>
      </c>
      <c r="O450" s="872"/>
      <c r="P450" s="1131"/>
      <c r="Q450" s="871">
        <v>10497.029953519042</v>
      </c>
      <c r="R450" s="872"/>
      <c r="S450" s="1131"/>
      <c r="T450" s="871">
        <v>9583.8504690154659</v>
      </c>
      <c r="U450" s="872"/>
      <c r="V450" s="1131"/>
      <c r="W450" s="871">
        <v>6184.7280924782972</v>
      </c>
      <c r="X450" s="872"/>
      <c r="Y450" s="1131"/>
      <c r="Z450" s="871">
        <v>5805.5848648570627</v>
      </c>
      <c r="AA450" s="872"/>
      <c r="AB450" s="1131"/>
      <c r="AC450" s="871">
        <v>6444.1879269473675</v>
      </c>
      <c r="AD450" s="872"/>
      <c r="AE450" s="1131"/>
      <c r="AF450" s="871">
        <v>4772.8874573503599</v>
      </c>
      <c r="AG450" s="872"/>
      <c r="AH450" s="1131"/>
      <c r="AI450" s="871">
        <v>9333.6146670067283</v>
      </c>
      <c r="AJ450" s="872"/>
      <c r="AK450" s="1131"/>
      <c r="AL450" s="871">
        <v>13783.275856393127</v>
      </c>
      <c r="AM450" s="872"/>
      <c r="AN450" s="1131"/>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399999999999999">
      <c r="A451" s="611" t="str">
        <f t="shared" si="1232"/>
        <v>[...]</v>
      </c>
      <c r="B451" s="872" t="s">
        <v>42</v>
      </c>
      <c r="C451" s="872"/>
      <c r="D451" s="1131"/>
      <c r="E451" s="871">
        <f t="shared" si="1320"/>
        <v>0</v>
      </c>
      <c r="F451" s="872"/>
      <c r="G451" s="1131"/>
      <c r="H451" s="871">
        <f t="shared" ref="H451:H453" si="1321">+SUMIF($B$4:$B$401,$B451,H$4:H$401)</f>
        <v>0</v>
      </c>
      <c r="I451" s="872"/>
      <c r="J451" s="1131"/>
      <c r="K451" s="871">
        <f t="shared" ref="K451:AO453" si="1322">+SUMIF($B$4:$B$401,$B451,K$4:K$401)</f>
        <v>0</v>
      </c>
      <c r="L451" s="872"/>
      <c r="M451" s="1131"/>
      <c r="N451" s="871">
        <f t="shared" si="1322"/>
        <v>0</v>
      </c>
      <c r="O451" s="872"/>
      <c r="P451" s="1131"/>
      <c r="Q451" s="871">
        <f t="shared" si="1322"/>
        <v>0</v>
      </c>
      <c r="R451" s="872"/>
      <c r="S451" s="1131"/>
      <c r="T451" s="871">
        <f t="shared" si="1322"/>
        <v>0</v>
      </c>
      <c r="U451" s="872"/>
      <c r="V451" s="1131"/>
      <c r="W451" s="871">
        <f t="shared" si="1322"/>
        <v>0</v>
      </c>
      <c r="X451" s="872"/>
      <c r="Y451" s="1131"/>
      <c r="Z451" s="871">
        <f t="shared" si="1322"/>
        <v>0</v>
      </c>
      <c r="AA451" s="872"/>
      <c r="AB451" s="1131"/>
      <c r="AC451" s="871">
        <f t="shared" si="1322"/>
        <v>0</v>
      </c>
      <c r="AD451" s="872"/>
      <c r="AE451" s="1131"/>
      <c r="AF451" s="871">
        <f t="shared" si="1322"/>
        <v>0</v>
      </c>
      <c r="AG451" s="872"/>
      <c r="AH451" s="1131"/>
      <c r="AI451" s="871">
        <f t="shared" si="1322"/>
        <v>0</v>
      </c>
      <c r="AJ451" s="872"/>
      <c r="AK451" s="1131"/>
      <c r="AL451" s="871">
        <f t="shared" si="1322"/>
        <v>0</v>
      </c>
      <c r="AM451" s="872"/>
      <c r="AN451" s="1131"/>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399999999999999">
      <c r="A452" s="611" t="str">
        <f t="shared" si="1232"/>
        <v>[...]</v>
      </c>
      <c r="B452" s="872" t="s">
        <v>42</v>
      </c>
      <c r="C452" s="872"/>
      <c r="D452" s="1131"/>
      <c r="E452" s="871">
        <f t="shared" si="1320"/>
        <v>0</v>
      </c>
      <c r="F452" s="872"/>
      <c r="G452" s="1131"/>
      <c r="H452" s="871">
        <f t="shared" si="1321"/>
        <v>0</v>
      </c>
      <c r="I452" s="872"/>
      <c r="J452" s="1131"/>
      <c r="K452" s="871">
        <f t="shared" si="1322"/>
        <v>0</v>
      </c>
      <c r="L452" s="872"/>
      <c r="M452" s="1131"/>
      <c r="N452" s="871">
        <f t="shared" si="1322"/>
        <v>0</v>
      </c>
      <c r="O452" s="872"/>
      <c r="P452" s="1131"/>
      <c r="Q452" s="871">
        <f t="shared" si="1322"/>
        <v>0</v>
      </c>
      <c r="R452" s="872"/>
      <c r="S452" s="1131"/>
      <c r="T452" s="871">
        <f t="shared" si="1322"/>
        <v>0</v>
      </c>
      <c r="U452" s="872"/>
      <c r="V452" s="1131"/>
      <c r="W452" s="871">
        <f t="shared" si="1322"/>
        <v>0</v>
      </c>
      <c r="X452" s="872"/>
      <c r="Y452" s="1131"/>
      <c r="Z452" s="871">
        <f t="shared" si="1322"/>
        <v>0</v>
      </c>
      <c r="AA452" s="872"/>
      <c r="AB452" s="1131"/>
      <c r="AC452" s="871">
        <f t="shared" si="1322"/>
        <v>0</v>
      </c>
      <c r="AD452" s="872"/>
      <c r="AE452" s="1131"/>
      <c r="AF452" s="871">
        <f t="shared" si="1322"/>
        <v>0</v>
      </c>
      <c r="AG452" s="872"/>
      <c r="AH452" s="1131"/>
      <c r="AI452" s="871">
        <f t="shared" si="1322"/>
        <v>0</v>
      </c>
      <c r="AJ452" s="872"/>
      <c r="AK452" s="1131"/>
      <c r="AL452" s="871">
        <f t="shared" si="1322"/>
        <v>0</v>
      </c>
      <c r="AM452" s="872"/>
      <c r="AN452" s="1131"/>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399999999999999">
      <c r="A453" s="611" t="str">
        <f t="shared" si="1232"/>
        <v>[...]</v>
      </c>
      <c r="B453" s="872" t="s">
        <v>42</v>
      </c>
      <c r="C453" s="872"/>
      <c r="D453" s="1131"/>
      <c r="E453" s="871">
        <f t="shared" si="1320"/>
        <v>0</v>
      </c>
      <c r="F453" s="872"/>
      <c r="G453" s="1131"/>
      <c r="H453" s="871">
        <f t="shared" si="1321"/>
        <v>0</v>
      </c>
      <c r="I453" s="872"/>
      <c r="J453" s="1131"/>
      <c r="K453" s="871">
        <f t="shared" si="1322"/>
        <v>0</v>
      </c>
      <c r="L453" s="872"/>
      <c r="M453" s="1131"/>
      <c r="N453" s="871">
        <f t="shared" si="1322"/>
        <v>0</v>
      </c>
      <c r="O453" s="872"/>
      <c r="P453" s="1131"/>
      <c r="Q453" s="871">
        <f t="shared" si="1322"/>
        <v>0</v>
      </c>
      <c r="R453" s="872"/>
      <c r="S453" s="1131"/>
      <c r="T453" s="871">
        <f t="shared" si="1322"/>
        <v>0</v>
      </c>
      <c r="U453" s="872"/>
      <c r="V453" s="1131"/>
      <c r="W453" s="871">
        <f t="shared" si="1322"/>
        <v>0</v>
      </c>
      <c r="X453" s="872"/>
      <c r="Y453" s="1131"/>
      <c r="Z453" s="871">
        <f t="shared" si="1322"/>
        <v>0</v>
      </c>
      <c r="AA453" s="872"/>
      <c r="AB453" s="1131"/>
      <c r="AC453" s="871">
        <f t="shared" si="1322"/>
        <v>0</v>
      </c>
      <c r="AD453" s="872"/>
      <c r="AE453" s="1131"/>
      <c r="AF453" s="871">
        <f t="shared" si="1322"/>
        <v>0</v>
      </c>
      <c r="AG453" s="872"/>
      <c r="AH453" s="1131"/>
      <c r="AI453" s="871">
        <f t="shared" si="1322"/>
        <v>0</v>
      </c>
      <c r="AJ453" s="872"/>
      <c r="AK453" s="1131"/>
      <c r="AL453" s="871">
        <f t="shared" si="1322"/>
        <v>0</v>
      </c>
      <c r="AM453" s="872"/>
      <c r="AN453" s="1131"/>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399999999999999">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399999999999999">
      <c r="A455" s="611" t="str">
        <f t="shared" si="1232"/>
        <v>Loyer</v>
      </c>
      <c r="B455" s="872" t="s">
        <v>235</v>
      </c>
      <c r="C455" s="872"/>
      <c r="D455" s="1131"/>
      <c r="E455" s="871">
        <f t="shared" ref="E455:E467" si="1345">+SUM(H455,K455,N455,Q455,T455,W455,Z455,AC455,AF455,AI455,AL455,AO455)</f>
        <v>312000</v>
      </c>
      <c r="F455" s="872"/>
      <c r="G455" s="1131"/>
      <c r="H455" s="882">
        <v>26000</v>
      </c>
      <c r="I455" s="872"/>
      <c r="J455" s="1131"/>
      <c r="K455" s="882">
        <v>26000</v>
      </c>
      <c r="L455" s="872"/>
      <c r="M455" s="1131"/>
      <c r="N455" s="882">
        <v>26000</v>
      </c>
      <c r="O455" s="872"/>
      <c r="P455" s="1131"/>
      <c r="Q455" s="882">
        <v>26000</v>
      </c>
      <c r="R455" s="872"/>
      <c r="S455" s="1131"/>
      <c r="T455" s="882">
        <v>26000</v>
      </c>
      <c r="U455" s="872"/>
      <c r="V455" s="1131"/>
      <c r="W455" s="882">
        <v>26000</v>
      </c>
      <c r="X455" s="872"/>
      <c r="Y455" s="1131"/>
      <c r="Z455" s="882">
        <v>26000</v>
      </c>
      <c r="AA455" s="872"/>
      <c r="AB455" s="1131"/>
      <c r="AC455" s="882">
        <v>26000</v>
      </c>
      <c r="AD455" s="872"/>
      <c r="AE455" s="1131"/>
      <c r="AF455" s="882">
        <v>26000</v>
      </c>
      <c r="AG455" s="872"/>
      <c r="AH455" s="1131"/>
      <c r="AI455" s="882">
        <v>26000</v>
      </c>
      <c r="AJ455" s="872"/>
      <c r="AK455" s="1131"/>
      <c r="AL455" s="882">
        <v>26000</v>
      </c>
      <c r="AM455" s="872"/>
      <c r="AN455" s="1131"/>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399999999999999">
      <c r="A456" s="611" t="str">
        <f t="shared" si="1232"/>
        <v>Taxes foncières</v>
      </c>
      <c r="B456" s="872" t="s">
        <v>237</v>
      </c>
      <c r="C456" s="872"/>
      <c r="D456" s="1131"/>
      <c r="E456" s="871">
        <f t="shared" si="1345"/>
        <v>59162.999999999993</v>
      </c>
      <c r="F456" s="872"/>
      <c r="G456" s="1131"/>
      <c r="H456" s="882">
        <v>4930.2499999999991</v>
      </c>
      <c r="I456" s="872"/>
      <c r="J456" s="1131"/>
      <c r="K456" s="882">
        <v>4930.2499999999991</v>
      </c>
      <c r="L456" s="872"/>
      <c r="M456" s="1131"/>
      <c r="N456" s="882">
        <v>4930.2499999999991</v>
      </c>
      <c r="O456" s="872"/>
      <c r="P456" s="1131"/>
      <c r="Q456" s="882">
        <v>4930.2499999999991</v>
      </c>
      <c r="R456" s="872"/>
      <c r="S456" s="1131"/>
      <c r="T456" s="882">
        <v>4930.2499999999991</v>
      </c>
      <c r="U456" s="872"/>
      <c r="V456" s="1131"/>
      <c r="W456" s="882">
        <v>4930.2499999999991</v>
      </c>
      <c r="X456" s="872"/>
      <c r="Y456" s="1131"/>
      <c r="Z456" s="882">
        <v>4930.2499999999991</v>
      </c>
      <c r="AA456" s="872"/>
      <c r="AB456" s="1131"/>
      <c r="AC456" s="882">
        <v>4930.2499999999991</v>
      </c>
      <c r="AD456" s="872"/>
      <c r="AE456" s="1131"/>
      <c r="AF456" s="882">
        <v>4930.2499999999991</v>
      </c>
      <c r="AG456" s="872"/>
      <c r="AH456" s="1131"/>
      <c r="AI456" s="882">
        <v>4930.2499999999991</v>
      </c>
      <c r="AJ456" s="872"/>
      <c r="AK456" s="1131"/>
      <c r="AL456" s="882">
        <v>4930.2499999999991</v>
      </c>
      <c r="AM456" s="872"/>
      <c r="AN456" s="1131"/>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399999999999999">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399999999999999">
      <c r="A458" s="611" t="str">
        <f t="shared" si="1232"/>
        <v>Taxe sur le capital</v>
      </c>
      <c r="B458" s="872" t="s">
        <v>241</v>
      </c>
      <c r="C458" s="872"/>
      <c r="D458" s="1131"/>
      <c r="E458" s="871">
        <f t="shared" si="1345"/>
        <v>0</v>
      </c>
      <c r="F458" s="872"/>
      <c r="G458" s="1131"/>
      <c r="H458" s="882">
        <v>0</v>
      </c>
      <c r="I458" s="872"/>
      <c r="J458" s="1131"/>
      <c r="K458" s="882">
        <v>0</v>
      </c>
      <c r="L458" s="872"/>
      <c r="M458" s="1131"/>
      <c r="N458" s="882">
        <v>0</v>
      </c>
      <c r="O458" s="872"/>
      <c r="P458" s="1131"/>
      <c r="Q458" s="882">
        <v>0</v>
      </c>
      <c r="R458" s="872"/>
      <c r="S458" s="1131"/>
      <c r="T458" s="882">
        <v>0</v>
      </c>
      <c r="U458" s="872"/>
      <c r="V458" s="1131"/>
      <c r="W458" s="882">
        <v>0</v>
      </c>
      <c r="X458" s="872"/>
      <c r="Y458" s="1131"/>
      <c r="Z458" s="882">
        <v>0</v>
      </c>
      <c r="AA458" s="872"/>
      <c r="AB458" s="1131"/>
      <c r="AC458" s="882">
        <v>0</v>
      </c>
      <c r="AD458" s="872"/>
      <c r="AE458" s="1131"/>
      <c r="AF458" s="882">
        <v>0</v>
      </c>
      <c r="AG458" s="872"/>
      <c r="AH458" s="1131"/>
      <c r="AI458" s="882">
        <v>0</v>
      </c>
      <c r="AJ458" s="872"/>
      <c r="AK458" s="1131"/>
      <c r="AL458" s="882">
        <v>0</v>
      </c>
      <c r="AM458" s="872"/>
      <c r="AN458" s="1131"/>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399999999999999">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399999999999999">
      <c r="A460" s="611" t="str">
        <f t="shared" si="1232"/>
        <v>Chauffage, éclairage</v>
      </c>
      <c r="B460" s="872" t="s">
        <v>244</v>
      </c>
      <c r="C460" s="872"/>
      <c r="D460" s="1131"/>
      <c r="E460" s="871">
        <f t="shared" si="1345"/>
        <v>34061.836500000005</v>
      </c>
      <c r="F460" s="872"/>
      <c r="G460" s="1131"/>
      <c r="H460" s="882">
        <v>2838.4863750000004</v>
      </c>
      <c r="I460" s="872"/>
      <c r="J460" s="1131"/>
      <c r="K460" s="882">
        <v>2838.4863750000004</v>
      </c>
      <c r="L460" s="872"/>
      <c r="M460" s="1131"/>
      <c r="N460" s="882">
        <v>2838.4863750000004</v>
      </c>
      <c r="O460" s="872"/>
      <c r="P460" s="1131"/>
      <c r="Q460" s="882">
        <v>2838.4863750000004</v>
      </c>
      <c r="R460" s="872"/>
      <c r="S460" s="1131"/>
      <c r="T460" s="882">
        <v>2838.4863750000004</v>
      </c>
      <c r="U460" s="872"/>
      <c r="V460" s="1131"/>
      <c r="W460" s="882">
        <v>2838.4863750000004</v>
      </c>
      <c r="X460" s="872"/>
      <c r="Y460" s="1131"/>
      <c r="Z460" s="882">
        <v>2838.4863750000004</v>
      </c>
      <c r="AA460" s="872"/>
      <c r="AB460" s="1131"/>
      <c r="AC460" s="882">
        <v>2838.4863750000004</v>
      </c>
      <c r="AD460" s="872"/>
      <c r="AE460" s="1131"/>
      <c r="AF460" s="882">
        <v>2838.4863750000004</v>
      </c>
      <c r="AG460" s="872"/>
      <c r="AH460" s="1131"/>
      <c r="AI460" s="882">
        <v>2838.4863750000004</v>
      </c>
      <c r="AJ460" s="872"/>
      <c r="AK460" s="1131"/>
      <c r="AL460" s="882">
        <v>2838.4863750000004</v>
      </c>
      <c r="AM460" s="872"/>
      <c r="AN460" s="1131"/>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399999999999999">
      <c r="A461" s="611" t="str">
        <f t="shared" si="1232"/>
        <v>Honoraires</v>
      </c>
      <c r="B461" s="872" t="s">
        <v>246</v>
      </c>
      <c r="C461" s="872"/>
      <c r="D461" s="1131"/>
      <c r="E461" s="871">
        <f t="shared" si="1345"/>
        <v>73474</v>
      </c>
      <c r="F461" s="872"/>
      <c r="G461" s="1131"/>
      <c r="H461" s="882">
        <v>6122.833333333333</v>
      </c>
      <c r="I461" s="872"/>
      <c r="J461" s="1131"/>
      <c r="K461" s="882">
        <v>6122.833333333333</v>
      </c>
      <c r="L461" s="872"/>
      <c r="M461" s="1131"/>
      <c r="N461" s="882">
        <v>6122.833333333333</v>
      </c>
      <c r="O461" s="872"/>
      <c r="P461" s="1131"/>
      <c r="Q461" s="882">
        <v>6122.833333333333</v>
      </c>
      <c r="R461" s="872"/>
      <c r="S461" s="1131"/>
      <c r="T461" s="882">
        <v>6122.833333333333</v>
      </c>
      <c r="U461" s="872"/>
      <c r="V461" s="1131"/>
      <c r="W461" s="882">
        <v>6122.833333333333</v>
      </c>
      <c r="X461" s="872"/>
      <c r="Y461" s="1131"/>
      <c r="Z461" s="882">
        <v>6122.833333333333</v>
      </c>
      <c r="AA461" s="872"/>
      <c r="AB461" s="1131"/>
      <c r="AC461" s="882">
        <v>6122.833333333333</v>
      </c>
      <c r="AD461" s="872"/>
      <c r="AE461" s="1131"/>
      <c r="AF461" s="882">
        <v>6122.833333333333</v>
      </c>
      <c r="AG461" s="872"/>
      <c r="AH461" s="1131"/>
      <c r="AI461" s="882">
        <v>6122.833333333333</v>
      </c>
      <c r="AJ461" s="872"/>
      <c r="AK461" s="1131"/>
      <c r="AL461" s="882">
        <v>6122.833333333333</v>
      </c>
      <c r="AM461" s="872"/>
      <c r="AN461" s="1131"/>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399999999999999">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399999999999999">
      <c r="A463" s="611" t="str">
        <f t="shared" si="1232"/>
        <v>Location équipement</v>
      </c>
      <c r="B463" s="872" t="s">
        <v>250</v>
      </c>
      <c r="C463" s="872"/>
      <c r="D463" s="1131"/>
      <c r="E463" s="871">
        <f t="shared" si="1345"/>
        <v>2767.5</v>
      </c>
      <c r="F463" s="872"/>
      <c r="G463" s="1131"/>
      <c r="H463" s="882">
        <v>230.625</v>
      </c>
      <c r="I463" s="872"/>
      <c r="J463" s="1131"/>
      <c r="K463" s="882">
        <v>230.625</v>
      </c>
      <c r="L463" s="872"/>
      <c r="M463" s="1131"/>
      <c r="N463" s="882">
        <v>230.625</v>
      </c>
      <c r="O463" s="872"/>
      <c r="P463" s="1131"/>
      <c r="Q463" s="882">
        <v>230.625</v>
      </c>
      <c r="R463" s="872"/>
      <c r="S463" s="1131"/>
      <c r="T463" s="882">
        <v>230.625</v>
      </c>
      <c r="U463" s="872"/>
      <c r="V463" s="1131"/>
      <c r="W463" s="882">
        <v>230.625</v>
      </c>
      <c r="X463" s="872"/>
      <c r="Y463" s="1131"/>
      <c r="Z463" s="882">
        <v>230.625</v>
      </c>
      <c r="AA463" s="872"/>
      <c r="AB463" s="1131"/>
      <c r="AC463" s="882">
        <v>230.625</v>
      </c>
      <c r="AD463" s="872"/>
      <c r="AE463" s="1131"/>
      <c r="AF463" s="882">
        <v>230.625</v>
      </c>
      <c r="AG463" s="872"/>
      <c r="AH463" s="1131"/>
      <c r="AI463" s="882">
        <v>230.625</v>
      </c>
      <c r="AJ463" s="872"/>
      <c r="AK463" s="1131"/>
      <c r="AL463" s="882">
        <v>230.625</v>
      </c>
      <c r="AM463" s="872"/>
      <c r="AN463" s="1131"/>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399999999999999">
      <c r="A464" s="611" t="str">
        <f t="shared" si="1232"/>
        <v>Dons</v>
      </c>
      <c r="B464" s="872" t="s">
        <v>252</v>
      </c>
      <c r="C464" s="872"/>
      <c r="D464" s="1131"/>
      <c r="E464" s="871">
        <f t="shared" si="1345"/>
        <v>0</v>
      </c>
      <c r="F464" s="872"/>
      <c r="G464" s="1131"/>
      <c r="H464" s="882">
        <v>0</v>
      </c>
      <c r="I464" s="872"/>
      <c r="J464" s="1131"/>
      <c r="K464" s="882">
        <v>0</v>
      </c>
      <c r="L464" s="872"/>
      <c r="M464" s="1131"/>
      <c r="N464" s="882">
        <v>0</v>
      </c>
      <c r="O464" s="872"/>
      <c r="P464" s="1131"/>
      <c r="Q464" s="882">
        <v>0</v>
      </c>
      <c r="R464" s="872"/>
      <c r="S464" s="1131"/>
      <c r="T464" s="882">
        <v>0</v>
      </c>
      <c r="U464" s="872"/>
      <c r="V464" s="1131"/>
      <c r="W464" s="882">
        <v>0</v>
      </c>
      <c r="X464" s="872"/>
      <c r="Y464" s="1131"/>
      <c r="Z464" s="882">
        <v>0</v>
      </c>
      <c r="AA464" s="872"/>
      <c r="AB464" s="1131"/>
      <c r="AC464" s="882">
        <v>0</v>
      </c>
      <c r="AD464" s="872"/>
      <c r="AE464" s="1131"/>
      <c r="AF464" s="882">
        <v>0</v>
      </c>
      <c r="AG464" s="872"/>
      <c r="AH464" s="1131"/>
      <c r="AI464" s="882">
        <v>0</v>
      </c>
      <c r="AJ464" s="872"/>
      <c r="AK464" s="1131"/>
      <c r="AL464" s="882">
        <v>0</v>
      </c>
      <c r="AM464" s="872"/>
      <c r="AN464" s="1131"/>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399999999999999">
      <c r="A465" s="611" t="str">
        <f t="shared" si="1232"/>
        <v>[...]</v>
      </c>
      <c r="B465" s="872" t="s">
        <v>42</v>
      </c>
      <c r="C465" s="872"/>
      <c r="D465" s="1131"/>
      <c r="E465" s="871">
        <f t="shared" si="1345"/>
        <v>0</v>
      </c>
      <c r="F465" s="872"/>
      <c r="G465" s="1131"/>
      <c r="H465" s="871"/>
      <c r="I465" s="872"/>
      <c r="J465" s="1131"/>
      <c r="K465" s="871"/>
      <c r="L465" s="872"/>
      <c r="M465" s="1131"/>
      <c r="N465" s="871"/>
      <c r="O465" s="872"/>
      <c r="P465" s="1131"/>
      <c r="Q465" s="871"/>
      <c r="R465" s="872"/>
      <c r="S465" s="1131"/>
      <c r="T465" s="871"/>
      <c r="U465" s="872"/>
      <c r="V465" s="1131"/>
      <c r="W465" s="871"/>
      <c r="X465" s="872"/>
      <c r="Y465" s="1131"/>
      <c r="Z465" s="871"/>
      <c r="AA465" s="872"/>
      <c r="AB465" s="1131"/>
      <c r="AC465" s="871"/>
      <c r="AD465" s="872"/>
      <c r="AE465" s="1131"/>
      <c r="AF465" s="871"/>
      <c r="AG465" s="872"/>
      <c r="AH465" s="1131"/>
      <c r="AI465" s="871"/>
      <c r="AJ465" s="872"/>
      <c r="AK465" s="1131"/>
      <c r="AL465" s="871"/>
      <c r="AM465" s="872"/>
      <c r="AN465" s="1131"/>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399999999999999">
      <c r="A466" s="611" t="str">
        <f t="shared" si="1232"/>
        <v>[...]</v>
      </c>
      <c r="B466" s="872" t="s">
        <v>42</v>
      </c>
      <c r="C466" s="872"/>
      <c r="D466" s="1131"/>
      <c r="E466" s="871">
        <f t="shared" si="1345"/>
        <v>0</v>
      </c>
      <c r="F466" s="872"/>
      <c r="G466" s="1131"/>
      <c r="H466" s="871"/>
      <c r="I466" s="872"/>
      <c r="J466" s="1131"/>
      <c r="K466" s="871"/>
      <c r="L466" s="872"/>
      <c r="M466" s="1131"/>
      <c r="N466" s="871"/>
      <c r="O466" s="872"/>
      <c r="P466" s="1131"/>
      <c r="Q466" s="871"/>
      <c r="R466" s="872"/>
      <c r="S466" s="1131"/>
      <c r="T466" s="871"/>
      <c r="U466" s="872"/>
      <c r="V466" s="1131"/>
      <c r="W466" s="871"/>
      <c r="X466" s="872"/>
      <c r="Y466" s="1131"/>
      <c r="Z466" s="871"/>
      <c r="AA466" s="872"/>
      <c r="AB466" s="1131"/>
      <c r="AC466" s="871"/>
      <c r="AD466" s="872"/>
      <c r="AE466" s="1131"/>
      <c r="AF466" s="871"/>
      <c r="AG466" s="872"/>
      <c r="AH466" s="1131"/>
      <c r="AI466" s="871"/>
      <c r="AJ466" s="872"/>
      <c r="AK466" s="1131"/>
      <c r="AL466" s="871"/>
      <c r="AM466" s="872"/>
      <c r="AN466" s="1131"/>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399999999999999">
      <c r="A467" s="611" t="str">
        <f t="shared" si="1232"/>
        <v>[...]</v>
      </c>
      <c r="B467" s="872" t="s">
        <v>42</v>
      </c>
      <c r="C467" s="872"/>
      <c r="D467" s="1131"/>
      <c r="E467" s="871">
        <f t="shared" si="1345"/>
        <v>0</v>
      </c>
      <c r="F467" s="872"/>
      <c r="G467" s="1131"/>
      <c r="H467" s="871"/>
      <c r="I467" s="872"/>
      <c r="J467" s="1131"/>
      <c r="K467" s="871"/>
      <c r="L467" s="872"/>
      <c r="M467" s="1131"/>
      <c r="N467" s="871"/>
      <c r="O467" s="872"/>
      <c r="P467" s="1131"/>
      <c r="Q467" s="871"/>
      <c r="R467" s="872"/>
      <c r="S467" s="1131"/>
      <c r="T467" s="871"/>
      <c r="U467" s="872"/>
      <c r="V467" s="1131"/>
      <c r="W467" s="871"/>
      <c r="X467" s="872"/>
      <c r="Y467" s="1131"/>
      <c r="Z467" s="871"/>
      <c r="AA467" s="872"/>
      <c r="AB467" s="1131"/>
      <c r="AC467" s="871"/>
      <c r="AD467" s="872"/>
      <c r="AE467" s="1131"/>
      <c r="AF467" s="871"/>
      <c r="AG467" s="872"/>
      <c r="AH467" s="1131"/>
      <c r="AI467" s="871"/>
      <c r="AJ467" s="872"/>
      <c r="AK467" s="1131"/>
      <c r="AL467" s="871"/>
      <c r="AM467" s="872"/>
      <c r="AN467" s="1131"/>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399999999999999">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399999999999999">
      <c r="A469" s="611">
        <f t="shared" si="1232"/>
        <v>0</v>
      </c>
      <c r="B469" s="872"/>
      <c r="C469" s="1139"/>
      <c r="D469" s="1140"/>
      <c r="E469" s="1141">
        <f>+E464+SUM(E442:E450,E440)</f>
        <v>257626.90283842714</v>
      </c>
      <c r="F469" s="1139"/>
      <c r="G469" s="1140"/>
      <c r="H469" s="1141">
        <f>+H464+SUM(H442:H450,H440)</f>
        <v>18596.278709719751</v>
      </c>
      <c r="I469" s="1139"/>
      <c r="J469" s="1140"/>
      <c r="K469" s="1141">
        <f>+K464+SUM(K442:K450,K440)</f>
        <v>17856.05621809966</v>
      </c>
      <c r="L469" s="1139"/>
      <c r="M469" s="1140"/>
      <c r="N469" s="1141">
        <f>+N464+SUM(N442:N450,N440)</f>
        <v>19663.040678257301</v>
      </c>
      <c r="O469" s="1139"/>
      <c r="P469" s="1140"/>
      <c r="Q469" s="1141">
        <f>+Q464+SUM(Q442:Q450,Q440)</f>
        <v>25049.768686541869</v>
      </c>
      <c r="R469" s="1139"/>
      <c r="S469" s="1140"/>
      <c r="T469" s="1141">
        <f>+T464+SUM(T442:T450,T440)</f>
        <v>24442.080498502051</v>
      </c>
      <c r="U469" s="1139"/>
      <c r="V469" s="1140"/>
      <c r="W469" s="1141">
        <f>+W464+SUM(W442:W450,W440)</f>
        <v>20646.218272374757</v>
      </c>
      <c r="X469" s="1139"/>
      <c r="Y469" s="1140"/>
      <c r="Z469" s="1141">
        <f>+Z464+SUM(Z442:Z450,Z440)</f>
        <v>20442.115956989768</v>
      </c>
      <c r="AA469" s="1139"/>
      <c r="AB469" s="1140"/>
      <c r="AC469" s="1141">
        <f>+AC464+SUM(AC442:AC450,AC440)</f>
        <v>20950.26863485256</v>
      </c>
      <c r="AD469" s="1139"/>
      <c r="AE469" s="1140"/>
      <c r="AF469" s="1141">
        <f>+AF464+SUM(AF442:AF450,AF440)</f>
        <v>18937.449601399116</v>
      </c>
      <c r="AG469" s="1139"/>
      <c r="AH469" s="1140"/>
      <c r="AI469" s="1141">
        <f>+AI464+SUM(AI442:AI450,AI440)</f>
        <v>23715.594118101337</v>
      </c>
      <c r="AJ469" s="1139"/>
      <c r="AK469" s="1140"/>
      <c r="AL469" s="1141">
        <f>+AL464+SUM(AL442:AL450,AL440)</f>
        <v>27887.374653890827</v>
      </c>
      <c r="AM469" s="1139"/>
      <c r="AN469" s="1140"/>
      <c r="AO469" s="1141">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399999999999999">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42"/>
      <c r="E472" s="871">
        <f t="shared" si="1390"/>
        <v>868219.1549999998</v>
      </c>
      <c r="F472" s="892"/>
      <c r="G472" s="1142"/>
      <c r="H472" s="871">
        <v>40795.839813252998</v>
      </c>
      <c r="I472" s="892"/>
      <c r="J472" s="1142"/>
      <c r="K472" s="871">
        <v>41841.886987951802</v>
      </c>
      <c r="L472" s="892"/>
      <c r="M472" s="1142"/>
      <c r="N472" s="871">
        <v>77407.490927710824</v>
      </c>
      <c r="O472" s="892"/>
      <c r="P472" s="1142"/>
      <c r="Q472" s="871">
        <v>85775.868325301184</v>
      </c>
      <c r="R472" s="892"/>
      <c r="S472" s="1142"/>
      <c r="T472" s="871">
        <v>100420.52877108431</v>
      </c>
      <c r="U472" s="892"/>
      <c r="V472" s="1142"/>
      <c r="W472" s="871">
        <v>77407.490927710824</v>
      </c>
      <c r="X472" s="892"/>
      <c r="Y472" s="1142"/>
      <c r="Z472" s="871">
        <v>88914.009849397567</v>
      </c>
      <c r="AA472" s="892"/>
      <c r="AB472" s="1142"/>
      <c r="AC472" s="871">
        <v>85775.868325301184</v>
      </c>
      <c r="AD472" s="892"/>
      <c r="AE472" s="1142"/>
      <c r="AF472" s="871">
        <v>75315.39657831323</v>
      </c>
      <c r="AG472" s="892"/>
      <c r="AH472" s="1142"/>
      <c r="AI472" s="871">
        <v>80545.632451807207</v>
      </c>
      <c r="AJ472" s="892"/>
      <c r="AK472" s="1142"/>
      <c r="AL472" s="871">
        <v>72177.255054216846</v>
      </c>
      <c r="AM472" s="892"/>
      <c r="AN472" s="1142"/>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42"/>
      <c r="E473" s="871">
        <f t="shared" si="1390"/>
        <v>66483</v>
      </c>
      <c r="F473" s="892"/>
      <c r="G473" s="1142"/>
      <c r="H473" s="871">
        <v>0</v>
      </c>
      <c r="I473" s="892"/>
      <c r="J473" s="1142"/>
      <c r="K473" s="871">
        <v>0</v>
      </c>
      <c r="L473" s="892"/>
      <c r="M473" s="1142"/>
      <c r="N473" s="871">
        <v>12255.3</v>
      </c>
      <c r="O473" s="892"/>
      <c r="P473" s="1142"/>
      <c r="Q473" s="871">
        <v>0</v>
      </c>
      <c r="R473" s="892"/>
      <c r="S473" s="1142"/>
      <c r="T473" s="871">
        <v>0</v>
      </c>
      <c r="U473" s="892"/>
      <c r="V473" s="1142"/>
      <c r="W473" s="871">
        <v>20185.2</v>
      </c>
      <c r="X473" s="892"/>
      <c r="Y473" s="1142"/>
      <c r="Z473" s="871">
        <v>0</v>
      </c>
      <c r="AA473" s="892"/>
      <c r="AB473" s="1142"/>
      <c r="AC473" s="871">
        <v>0</v>
      </c>
      <c r="AD473" s="892"/>
      <c r="AE473" s="1142"/>
      <c r="AF473" s="871">
        <v>19143.900000000001</v>
      </c>
      <c r="AG473" s="892"/>
      <c r="AH473" s="1142"/>
      <c r="AI473" s="871">
        <v>0</v>
      </c>
      <c r="AJ473" s="892"/>
      <c r="AK473" s="1142"/>
      <c r="AL473" s="871">
        <v>0</v>
      </c>
      <c r="AM473" s="892"/>
      <c r="AN473" s="1142"/>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42"/>
      <c r="E474" s="871">
        <f t="shared" si="1390"/>
        <v>0</v>
      </c>
      <c r="F474" s="892"/>
      <c r="G474" s="1142"/>
      <c r="H474" s="871">
        <v>0</v>
      </c>
      <c r="I474" s="892"/>
      <c r="J474" s="1142"/>
      <c r="K474" s="871">
        <v>0</v>
      </c>
      <c r="L474" s="892"/>
      <c r="M474" s="1142"/>
      <c r="N474" s="871">
        <v>0</v>
      </c>
      <c r="O474" s="892"/>
      <c r="P474" s="1142"/>
      <c r="Q474" s="871">
        <v>0</v>
      </c>
      <c r="R474" s="892"/>
      <c r="S474" s="1142"/>
      <c r="T474" s="871">
        <v>0</v>
      </c>
      <c r="U474" s="892"/>
      <c r="V474" s="1142"/>
      <c r="W474" s="871">
        <v>0</v>
      </c>
      <c r="X474" s="892"/>
      <c r="Y474" s="1142"/>
      <c r="Z474" s="871">
        <v>0</v>
      </c>
      <c r="AA474" s="892"/>
      <c r="AB474" s="1142"/>
      <c r="AC474" s="871">
        <v>0</v>
      </c>
      <c r="AD474" s="892"/>
      <c r="AE474" s="1142"/>
      <c r="AF474" s="871">
        <v>0</v>
      </c>
      <c r="AG474" s="892"/>
      <c r="AH474" s="1142"/>
      <c r="AI474" s="871">
        <v>0</v>
      </c>
      <c r="AJ474" s="892"/>
      <c r="AK474" s="1142"/>
      <c r="AL474" s="871">
        <v>0</v>
      </c>
      <c r="AM474" s="892"/>
      <c r="AN474" s="1142"/>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42"/>
      <c r="E475" s="871">
        <f t="shared" si="1390"/>
        <v>0</v>
      </c>
      <c r="F475" s="892"/>
      <c r="G475" s="1142"/>
      <c r="H475" s="871">
        <v>0</v>
      </c>
      <c r="I475" s="892"/>
      <c r="J475" s="1142"/>
      <c r="K475" s="871">
        <v>0</v>
      </c>
      <c r="L475" s="892"/>
      <c r="M475" s="1142"/>
      <c r="N475" s="871">
        <v>0</v>
      </c>
      <c r="O475" s="892"/>
      <c r="P475" s="1142"/>
      <c r="Q475" s="871">
        <v>0</v>
      </c>
      <c r="R475" s="892"/>
      <c r="S475" s="1142"/>
      <c r="T475" s="871">
        <v>0</v>
      </c>
      <c r="U475" s="892"/>
      <c r="V475" s="1142"/>
      <c r="W475" s="871">
        <v>0</v>
      </c>
      <c r="X475" s="892"/>
      <c r="Y475" s="1142"/>
      <c r="Z475" s="871">
        <v>0</v>
      </c>
      <c r="AA475" s="892"/>
      <c r="AB475" s="1142"/>
      <c r="AC475" s="871">
        <v>0</v>
      </c>
      <c r="AD475" s="892"/>
      <c r="AE475" s="1142"/>
      <c r="AF475" s="871">
        <v>0</v>
      </c>
      <c r="AG475" s="892"/>
      <c r="AH475" s="1142"/>
      <c r="AI475" s="871">
        <v>0</v>
      </c>
      <c r="AJ475" s="892"/>
      <c r="AK475" s="1142"/>
      <c r="AL475" s="871">
        <v>0</v>
      </c>
      <c r="AM475" s="892"/>
      <c r="AN475" s="1142"/>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42"/>
      <c r="E476" s="871">
        <f t="shared" si="1390"/>
        <v>0</v>
      </c>
      <c r="F476" s="892"/>
      <c r="G476" s="1142"/>
      <c r="H476" s="871">
        <v>0</v>
      </c>
      <c r="I476" s="892"/>
      <c r="J476" s="1142"/>
      <c r="K476" s="871">
        <v>0</v>
      </c>
      <c r="L476" s="892"/>
      <c r="M476" s="1142"/>
      <c r="N476" s="871">
        <v>0</v>
      </c>
      <c r="O476" s="892"/>
      <c r="P476" s="1142"/>
      <c r="Q476" s="871">
        <v>0</v>
      </c>
      <c r="R476" s="892"/>
      <c r="S476" s="1142"/>
      <c r="T476" s="871">
        <v>0</v>
      </c>
      <c r="U476" s="892"/>
      <c r="V476" s="1142"/>
      <c r="W476" s="871">
        <v>0</v>
      </c>
      <c r="X476" s="892"/>
      <c r="Y476" s="1142"/>
      <c r="Z476" s="871">
        <v>0</v>
      </c>
      <c r="AA476" s="892"/>
      <c r="AB476" s="1142"/>
      <c r="AC476" s="871">
        <v>0</v>
      </c>
      <c r="AD476" s="892"/>
      <c r="AE476" s="1142"/>
      <c r="AF476" s="871">
        <v>0</v>
      </c>
      <c r="AG476" s="892"/>
      <c r="AH476" s="1142"/>
      <c r="AI476" s="871">
        <v>0</v>
      </c>
      <c r="AJ476" s="892"/>
      <c r="AK476" s="1142"/>
      <c r="AL476" s="871">
        <v>0</v>
      </c>
      <c r="AM476" s="892"/>
      <c r="AN476" s="1142"/>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42"/>
      <c r="E477" s="871">
        <f t="shared" si="1390"/>
        <v>0</v>
      </c>
      <c r="F477" s="892"/>
      <c r="G477" s="1142"/>
      <c r="H477" s="871">
        <v>0</v>
      </c>
      <c r="I477" s="892"/>
      <c r="J477" s="1142"/>
      <c r="K477" s="871">
        <v>0</v>
      </c>
      <c r="L477" s="892"/>
      <c r="M477" s="1142"/>
      <c r="N477" s="871">
        <v>0</v>
      </c>
      <c r="O477" s="892"/>
      <c r="P477" s="1142"/>
      <c r="Q477" s="871">
        <v>0</v>
      </c>
      <c r="R477" s="892"/>
      <c r="S477" s="1142"/>
      <c r="T477" s="871">
        <v>0</v>
      </c>
      <c r="U477" s="892"/>
      <c r="V477" s="1142"/>
      <c r="W477" s="871">
        <v>0</v>
      </c>
      <c r="X477" s="892"/>
      <c r="Y477" s="1142"/>
      <c r="Z477" s="871">
        <v>0</v>
      </c>
      <c r="AA477" s="892"/>
      <c r="AB477" s="1142"/>
      <c r="AC477" s="871">
        <v>0</v>
      </c>
      <c r="AD477" s="892"/>
      <c r="AE477" s="1142"/>
      <c r="AF477" s="871">
        <v>0</v>
      </c>
      <c r="AG477" s="892"/>
      <c r="AH477" s="1142"/>
      <c r="AI477" s="871">
        <v>0</v>
      </c>
      <c r="AJ477" s="892"/>
      <c r="AK477" s="1142"/>
      <c r="AL477" s="871">
        <v>0</v>
      </c>
      <c r="AM477" s="892"/>
      <c r="AN477" s="1142"/>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42"/>
      <c r="E478" s="871">
        <f t="shared" si="1390"/>
        <v>0</v>
      </c>
      <c r="F478" s="892"/>
      <c r="G478" s="1142"/>
      <c r="H478" s="871">
        <v>0</v>
      </c>
      <c r="I478" s="892"/>
      <c r="J478" s="1142"/>
      <c r="K478" s="871">
        <v>0</v>
      </c>
      <c r="L478" s="892"/>
      <c r="M478" s="1142"/>
      <c r="N478" s="871">
        <v>0</v>
      </c>
      <c r="O478" s="892"/>
      <c r="P478" s="1142"/>
      <c r="Q478" s="871">
        <v>0</v>
      </c>
      <c r="R478" s="892"/>
      <c r="S478" s="1142"/>
      <c r="T478" s="871">
        <v>0</v>
      </c>
      <c r="U478" s="892"/>
      <c r="V478" s="1142"/>
      <c r="W478" s="871">
        <v>0</v>
      </c>
      <c r="X478" s="892"/>
      <c r="Y478" s="1142"/>
      <c r="Z478" s="871">
        <v>0</v>
      </c>
      <c r="AA478" s="892"/>
      <c r="AB478" s="1142"/>
      <c r="AC478" s="871">
        <v>0</v>
      </c>
      <c r="AD478" s="892"/>
      <c r="AE478" s="1142"/>
      <c r="AF478" s="871">
        <v>0</v>
      </c>
      <c r="AG478" s="892"/>
      <c r="AH478" s="1142"/>
      <c r="AI478" s="871">
        <v>0</v>
      </c>
      <c r="AJ478" s="892"/>
      <c r="AK478" s="1142"/>
      <c r="AL478" s="871">
        <v>0</v>
      </c>
      <c r="AM478" s="892"/>
      <c r="AN478" s="1142"/>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42"/>
      <c r="E479" s="871">
        <f t="shared" si="1390"/>
        <v>0</v>
      </c>
      <c r="F479" s="892"/>
      <c r="G479" s="1142"/>
      <c r="H479" s="871">
        <v>0</v>
      </c>
      <c r="I479" s="892"/>
      <c r="J479" s="1142"/>
      <c r="K479" s="871">
        <v>0</v>
      </c>
      <c r="L479" s="892"/>
      <c r="M479" s="1142"/>
      <c r="N479" s="871">
        <v>0</v>
      </c>
      <c r="O479" s="892"/>
      <c r="P479" s="1142"/>
      <c r="Q479" s="871">
        <v>0</v>
      </c>
      <c r="R479" s="892"/>
      <c r="S479" s="1142"/>
      <c r="T479" s="871">
        <v>0</v>
      </c>
      <c r="U479" s="892"/>
      <c r="V479" s="1142"/>
      <c r="W479" s="871">
        <v>0</v>
      </c>
      <c r="X479" s="892"/>
      <c r="Y479" s="1142"/>
      <c r="Z479" s="871">
        <v>0</v>
      </c>
      <c r="AA479" s="892"/>
      <c r="AB479" s="1142"/>
      <c r="AC479" s="871">
        <v>0</v>
      </c>
      <c r="AD479" s="892"/>
      <c r="AE479" s="1142"/>
      <c r="AF479" s="871">
        <v>0</v>
      </c>
      <c r="AG479" s="892"/>
      <c r="AH479" s="1142"/>
      <c r="AI479" s="871">
        <v>0</v>
      </c>
      <c r="AJ479" s="892"/>
      <c r="AK479" s="1142"/>
      <c r="AL479" s="871">
        <v>0</v>
      </c>
      <c r="AM479" s="892"/>
      <c r="AN479" s="1142"/>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42"/>
      <c r="E480" s="871">
        <f t="shared" si="1390"/>
        <v>0</v>
      </c>
      <c r="F480" s="892"/>
      <c r="G480" s="1142"/>
      <c r="H480" s="871">
        <v>0</v>
      </c>
      <c r="I480" s="892"/>
      <c r="J480" s="1142"/>
      <c r="K480" s="871">
        <v>0</v>
      </c>
      <c r="L480" s="892"/>
      <c r="M480" s="1142"/>
      <c r="N480" s="871">
        <v>0</v>
      </c>
      <c r="O480" s="892"/>
      <c r="P480" s="1142"/>
      <c r="Q480" s="871">
        <v>0</v>
      </c>
      <c r="R480" s="892"/>
      <c r="S480" s="1142"/>
      <c r="T480" s="871">
        <v>0</v>
      </c>
      <c r="U480" s="892"/>
      <c r="V480" s="1142"/>
      <c r="W480" s="871">
        <v>0</v>
      </c>
      <c r="X480" s="892"/>
      <c r="Y480" s="1142"/>
      <c r="Z480" s="871">
        <v>0</v>
      </c>
      <c r="AA480" s="892"/>
      <c r="AB480" s="1142"/>
      <c r="AC480" s="871">
        <v>0</v>
      </c>
      <c r="AD480" s="892"/>
      <c r="AE480" s="1142"/>
      <c r="AF480" s="871">
        <v>0</v>
      </c>
      <c r="AG480" s="892"/>
      <c r="AH480" s="1142"/>
      <c r="AI480" s="871">
        <v>0</v>
      </c>
      <c r="AJ480" s="892"/>
      <c r="AK480" s="1142"/>
      <c r="AL480" s="871">
        <v>0</v>
      </c>
      <c r="AM480" s="892"/>
      <c r="AN480" s="1142"/>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42"/>
      <c r="E481" s="871">
        <f t="shared" si="1390"/>
        <v>0</v>
      </c>
      <c r="F481" s="892"/>
      <c r="G481" s="1142"/>
      <c r="H481" s="871">
        <v>0</v>
      </c>
      <c r="I481" s="892"/>
      <c r="J481" s="1142"/>
      <c r="K481" s="871">
        <v>0</v>
      </c>
      <c r="L481" s="892"/>
      <c r="M481" s="1142"/>
      <c r="N481" s="871">
        <v>0</v>
      </c>
      <c r="O481" s="892"/>
      <c r="P481" s="1142"/>
      <c r="Q481" s="871">
        <v>0</v>
      </c>
      <c r="R481" s="892"/>
      <c r="S481" s="1142"/>
      <c r="T481" s="871">
        <v>0</v>
      </c>
      <c r="U481" s="892"/>
      <c r="V481" s="1142"/>
      <c r="W481" s="871">
        <v>0</v>
      </c>
      <c r="X481" s="892"/>
      <c r="Y481" s="1142"/>
      <c r="Z481" s="871">
        <v>0</v>
      </c>
      <c r="AA481" s="892"/>
      <c r="AB481" s="1142"/>
      <c r="AC481" s="871">
        <v>0</v>
      </c>
      <c r="AD481" s="892"/>
      <c r="AE481" s="1142"/>
      <c r="AF481" s="871">
        <v>0</v>
      </c>
      <c r="AG481" s="892"/>
      <c r="AH481" s="1142"/>
      <c r="AI481" s="871">
        <v>0</v>
      </c>
      <c r="AJ481" s="892"/>
      <c r="AK481" s="1142"/>
      <c r="AL481" s="871">
        <v>0</v>
      </c>
      <c r="AM481" s="892"/>
      <c r="AN481" s="1142"/>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42"/>
      <c r="E482" s="871">
        <f t="shared" si="1390"/>
        <v>466830.00000000006</v>
      </c>
      <c r="F482" s="893"/>
      <c r="G482" s="1142"/>
      <c r="H482" s="871">
        <v>23634.08942098491</v>
      </c>
      <c r="I482" s="893"/>
      <c r="J482" s="1142"/>
      <c r="K482" s="871">
        <v>24615.562030802135</v>
      </c>
      <c r="L482" s="893"/>
      <c r="M482" s="1142"/>
      <c r="N482" s="871">
        <v>42978.459053100451</v>
      </c>
      <c r="O482" s="893"/>
      <c r="P482" s="1142"/>
      <c r="Q482" s="871">
        <v>45443.65398353272</v>
      </c>
      <c r="R482" s="893"/>
      <c r="S482" s="1142"/>
      <c r="T482" s="871">
        <v>50884.290621497938</v>
      </c>
      <c r="U482" s="893"/>
      <c r="V482" s="1142"/>
      <c r="W482" s="871">
        <v>43797.764878343165</v>
      </c>
      <c r="X482" s="893"/>
      <c r="Y482" s="1142"/>
      <c r="Z482" s="871">
        <v>46931.374837299198</v>
      </c>
      <c r="AA482" s="893"/>
      <c r="AB482" s="1142"/>
      <c r="AC482" s="871">
        <v>44624.348158290006</v>
      </c>
      <c r="AD482" s="893"/>
      <c r="AE482" s="1142"/>
      <c r="AF482" s="871">
        <v>38572.870878744812</v>
      </c>
      <c r="AG482" s="893"/>
      <c r="AH482" s="1142"/>
      <c r="AI482" s="871">
        <v>42417.915343760127</v>
      </c>
      <c r="AJ482" s="893"/>
      <c r="AK482" s="1142"/>
      <c r="AL482" s="871">
        <v>37494.802937599699</v>
      </c>
      <c r="AM482" s="893"/>
      <c r="AN482" s="1142"/>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399999999999999">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43"/>
      <c r="D484" s="1144"/>
      <c r="E484" s="1145">
        <f>+E463+E462+E460+E459+E458+E457+E456</f>
        <v>200865.65549999996</v>
      </c>
      <c r="F484" s="1143"/>
      <c r="G484" s="1144"/>
      <c r="H484" s="1145">
        <f>+H463+H462+H460+H459+H458+H457+H456</f>
        <v>16738.804624999997</v>
      </c>
      <c r="I484" s="1143"/>
      <c r="J484" s="1144"/>
      <c r="K484" s="1145">
        <f>+K463+K462+K460+K459+K458+K457+K456</f>
        <v>16738.804624999997</v>
      </c>
      <c r="L484" s="1143"/>
      <c r="M484" s="1144"/>
      <c r="N484" s="1145">
        <f>+N463+N462+N460+N459+N458+N457+N456</f>
        <v>16738.804624999997</v>
      </c>
      <c r="O484" s="1143"/>
      <c r="P484" s="1144"/>
      <c r="Q484" s="1145">
        <f>+Q463+Q462+Q460+Q459+Q458+Q457+Q456</f>
        <v>16738.804624999997</v>
      </c>
      <c r="R484" s="1143"/>
      <c r="S484" s="1144"/>
      <c r="T484" s="1145">
        <f>+T463+T462+T460+T459+T458+T457+T456</f>
        <v>16738.804624999997</v>
      </c>
      <c r="U484" s="1143"/>
      <c r="V484" s="1144"/>
      <c r="W484" s="1145">
        <f>+W463+W462+W460+W459+W458+W457+W456</f>
        <v>16738.804624999997</v>
      </c>
      <c r="X484" s="1143"/>
      <c r="Y484" s="1144"/>
      <c r="Z484" s="1145">
        <f>+Z463+Z462+Z460+Z459+Z458+Z457+Z456</f>
        <v>16738.804624999997</v>
      </c>
      <c r="AA484" s="1143"/>
      <c r="AB484" s="1144"/>
      <c r="AC484" s="1145">
        <f>+AC463+AC462+AC460+AC459+AC458+AC457+AC456</f>
        <v>16738.804624999997</v>
      </c>
      <c r="AD484" s="1143"/>
      <c r="AE484" s="1144"/>
      <c r="AF484" s="1145">
        <f>+AF463+AF462+AF460+AF459+AF458+AF457+AF456</f>
        <v>16738.804624999997</v>
      </c>
      <c r="AG484" s="1143"/>
      <c r="AH484" s="1144"/>
      <c r="AI484" s="1145">
        <f>+AI463+AI462+AI460+AI459+AI458+AI457+AI456</f>
        <v>16738.804624999997</v>
      </c>
      <c r="AJ484" s="1143"/>
      <c r="AK484" s="1144"/>
      <c r="AL484" s="1145">
        <f>+AL463+AL462+AL460+AL459+AL458+AL457+AL456</f>
        <v>16738.804624999997</v>
      </c>
      <c r="AM484" s="1143"/>
      <c r="AN484" s="1144"/>
      <c r="AO484" s="1145">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6"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4">
      <c r="A487" s="611"/>
      <c r="B487" s="776" t="str">
        <f>B4</f>
        <v xml:space="preserve">Budget 2022  </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4">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4">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399999999999999">
      <c r="A492" s="611"/>
      <c r="B492" s="908"/>
      <c r="C492" s="1146"/>
      <c r="D492" s="1146"/>
      <c r="E492" s="1146"/>
      <c r="F492" s="909"/>
      <c r="G492" s="1146"/>
      <c r="H492" s="910"/>
      <c r="I492" s="909"/>
      <c r="J492" s="1146"/>
      <c r="K492" s="910"/>
      <c r="L492" s="909"/>
      <c r="M492" s="1146"/>
      <c r="N492" s="910"/>
      <c r="O492" s="909"/>
      <c r="P492" s="1146"/>
      <c r="Q492" s="910"/>
      <c r="R492" s="909"/>
      <c r="S492" s="1146"/>
      <c r="T492" s="910"/>
      <c r="U492" s="909"/>
      <c r="V492" s="1146"/>
      <c r="W492" s="910"/>
      <c r="X492" s="909"/>
      <c r="Y492" s="1146"/>
      <c r="Z492" s="910"/>
      <c r="AA492" s="909"/>
      <c r="AB492" s="1146"/>
      <c r="AC492" s="910"/>
      <c r="AD492" s="909"/>
      <c r="AE492" s="1146"/>
      <c r="AF492" s="910"/>
      <c r="AG492" s="909"/>
      <c r="AH492" s="1146"/>
      <c r="AI492" s="910"/>
      <c r="AJ492" s="909"/>
      <c r="AK492" s="1146"/>
      <c r="AL492" s="910"/>
      <c r="AM492" s="909"/>
      <c r="AN492" s="1146"/>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399999999999999">
      <c r="A493" s="611" t="str">
        <f t="shared" ref="A493:A499" si="1436">B493</f>
        <v>Amortissement</v>
      </c>
      <c r="B493" s="911" t="s">
        <v>260</v>
      </c>
      <c r="C493" s="1130"/>
      <c r="D493" s="1131"/>
      <c r="E493" s="1147">
        <f>+SUM(H493,K493,N493,Q493,T493,W493,Z493,AC493,AF493,AI493,AL493,AO493)</f>
        <v>88649</v>
      </c>
      <c r="F493" s="872"/>
      <c r="G493" s="1131"/>
      <c r="H493" s="882">
        <v>7144.916666666667</v>
      </c>
      <c r="I493" s="872"/>
      <c r="J493" s="1131"/>
      <c r="K493" s="882">
        <v>7144.916666666667</v>
      </c>
      <c r="L493" s="872"/>
      <c r="M493" s="1131"/>
      <c r="N493" s="882">
        <v>7144.916666666667</v>
      </c>
      <c r="O493" s="872"/>
      <c r="P493" s="1131"/>
      <c r="Q493" s="882">
        <v>7468.25</v>
      </c>
      <c r="R493" s="872"/>
      <c r="S493" s="1131"/>
      <c r="T493" s="882">
        <v>7468.25</v>
      </c>
      <c r="U493" s="872"/>
      <c r="V493" s="1131"/>
      <c r="W493" s="882">
        <v>7468.25</v>
      </c>
      <c r="X493" s="872"/>
      <c r="Y493" s="1131"/>
      <c r="Z493" s="882">
        <v>7468.25</v>
      </c>
      <c r="AA493" s="872"/>
      <c r="AB493" s="1131"/>
      <c r="AC493" s="882">
        <v>7468.25</v>
      </c>
      <c r="AD493" s="872"/>
      <c r="AE493" s="1131"/>
      <c r="AF493" s="882">
        <v>7468.25</v>
      </c>
      <c r="AG493" s="872"/>
      <c r="AH493" s="1131"/>
      <c r="AI493" s="882">
        <v>7468.25</v>
      </c>
      <c r="AJ493" s="872"/>
      <c r="AK493" s="1131"/>
      <c r="AL493" s="882">
        <v>7468.25</v>
      </c>
      <c r="AM493" s="872"/>
      <c r="AN493" s="1131"/>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399999999999999">
      <c r="A494" s="611" t="str">
        <f t="shared" si="1436"/>
        <v>Intérêts sur marge</v>
      </c>
      <c r="B494" s="911" t="s">
        <v>261</v>
      </c>
      <c r="C494" s="775"/>
      <c r="D494" s="724"/>
      <c r="E494" s="1147">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399999999999999">
      <c r="A495" s="611" t="str">
        <f t="shared" si="1436"/>
        <v>Intérêts sur prêt</v>
      </c>
      <c r="B495" s="911" t="s">
        <v>262</v>
      </c>
      <c r="C495" s="724"/>
      <c r="D495" s="724"/>
      <c r="E495" s="1147">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1">
      <c r="A496" s="611" t="str">
        <f t="shared" si="1436"/>
        <v>Intérêts sur avance</v>
      </c>
      <c r="B496" s="911" t="s">
        <v>263</v>
      </c>
      <c r="C496" s="785"/>
      <c r="D496" s="785"/>
      <c r="E496" s="1147">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1">
      <c r="A497" s="611" t="str">
        <f t="shared" si="1436"/>
        <v>[...]</v>
      </c>
      <c r="B497" s="915" t="s">
        <v>42</v>
      </c>
      <c r="C497" s="785"/>
      <c r="D497" s="785"/>
      <c r="E497" s="1147">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1">
      <c r="A498" s="611" t="str">
        <f t="shared" si="1436"/>
        <v>[...]</v>
      </c>
      <c r="B498" s="915" t="s">
        <v>42</v>
      </c>
      <c r="C498" s="785"/>
      <c r="D498" s="785"/>
      <c r="E498" s="1147"/>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6" thickBot="1">
      <c r="A499" s="611" t="str">
        <f t="shared" si="1436"/>
        <v>[...]</v>
      </c>
      <c r="B499" s="916" t="s">
        <v>42</v>
      </c>
      <c r="C499" s="785"/>
      <c r="D499" s="785"/>
      <c r="E499" s="1147"/>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8.600000000000001"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2"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6">
      <c r="B502" s="588"/>
      <c r="C502" s="588"/>
      <c r="D502" s="588"/>
      <c r="E502" s="588"/>
      <c r="F502" s="588"/>
      <c r="G502" s="588"/>
      <c r="H502" s="1104">
        <f>H500</f>
        <v>5569.9254160686269</v>
      </c>
      <c r="I502" s="588"/>
      <c r="J502" s="588"/>
      <c r="K502" s="1104">
        <f>K500+H502</f>
        <v>37745.930991065958</v>
      </c>
      <c r="L502" s="588"/>
      <c r="M502" s="588"/>
      <c r="N502" s="1104">
        <f>N500+K502</f>
        <v>206636.73319939498</v>
      </c>
      <c r="O502" s="588"/>
      <c r="P502" s="588"/>
      <c r="Q502" s="1104">
        <f>Q500+N502</f>
        <v>466870.19130935625</v>
      </c>
      <c r="R502" s="588"/>
      <c r="S502" s="588"/>
      <c r="T502" s="1104">
        <f>T500+Q502</f>
        <v>750070.03645626467</v>
      </c>
      <c r="U502" s="588"/>
      <c r="V502" s="588"/>
      <c r="W502" s="1104">
        <f>W500+T502</f>
        <v>982145.47288388794</v>
      </c>
      <c r="X502" s="588"/>
      <c r="Y502" s="588"/>
      <c r="Z502" s="1104">
        <f>Z500+W502</f>
        <v>1185212.4623125398</v>
      </c>
      <c r="AA502" s="588"/>
      <c r="AB502" s="588"/>
      <c r="AC502" s="1104">
        <f>AC500+Z502</f>
        <v>1405762.0635517905</v>
      </c>
      <c r="AD502" s="588"/>
      <c r="AE502" s="588"/>
      <c r="AF502" s="1104">
        <f>AF500+AC502</f>
        <v>1557582.270112636</v>
      </c>
      <c r="AG502" s="588"/>
      <c r="AH502" s="588"/>
      <c r="AI502" s="1104">
        <f>AI500+AF502</f>
        <v>1804520.1813273337</v>
      </c>
      <c r="AJ502" s="588"/>
      <c r="AK502" s="588"/>
      <c r="AL502" s="1104">
        <f>AL500+AI502</f>
        <v>2096012.065788103</v>
      </c>
      <c r="AM502" s="588"/>
      <c r="AN502" s="588"/>
      <c r="AO502" s="1104">
        <f>AO500+AL502</f>
        <v>2124911.0124610062</v>
      </c>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6">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6">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6">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6">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6">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6">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6">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6">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6">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6">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6">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6">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6">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6">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6">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6">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6">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6">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6">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6">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6">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6">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6">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6">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6">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7.399999999999999">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6">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6">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6">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6">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6">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6">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6">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6">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6">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6">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6">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6">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6">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6">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6">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6">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6">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6">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6">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6">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6">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6">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6">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6">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6">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6">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6">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6">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6">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6">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6">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6">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6">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6">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6">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6">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6">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6">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6">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6">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6">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6">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6">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6">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6">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6">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6">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6">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6">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6">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6">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6">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6">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6">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6">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6">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6">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6">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6">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6">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6">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6">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6">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6">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6">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6">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6">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6">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6">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6">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6">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6">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6">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6">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6">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6">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6">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6">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6">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6">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6">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6">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6">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6">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6">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6">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6">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6">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6">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6">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6">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6">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6">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6">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6">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6">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6">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6">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6">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6">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6">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6">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6">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6">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6">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6">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6">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6">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6">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6">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6">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6">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6">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6">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6">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6">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6">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6">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6">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7.399999999999999">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6">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6">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6">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6">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6">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6">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6">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6">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6">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6">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6">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6">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6">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6">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6">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6">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6">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6">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6">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6">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6">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6">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6">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6">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6">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6">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6">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6">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6">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6">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6">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6">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6">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6">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6">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6">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6">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6">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6">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6">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6">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6">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6">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6">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6">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6">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6">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6">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6">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6">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6">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6">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6">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6">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6">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6">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6">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6">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6">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6">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7.399999999999999">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6">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6">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6">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6">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6">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6">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6">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6">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6">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6">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6">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6">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6">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6">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6">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6">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6">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6">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6">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6">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6">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6">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6">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6">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6">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6">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6">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6">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6">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6">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6">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6">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6">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6">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6">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6">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6">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6">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6">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6">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6">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6">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6">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6">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6">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6">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6">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6">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6">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6">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6">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6">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6">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6">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6">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6">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6">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6">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6">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6">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6">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6">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6">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6">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6">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6">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6">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6">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6">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6">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6">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6">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6">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6">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6">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6">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6">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6">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6">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6">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6">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6">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6">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6">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6">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6">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6">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6">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6">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6">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6">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6">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6">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6">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6">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6">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6">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6">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6">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6">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6">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6">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6">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6">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6">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6">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6">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6">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6">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6">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6">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6">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6">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6">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6">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6">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6">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6">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6">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6">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6">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6">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6">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6">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6">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6">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6">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6">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6">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6">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6">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6">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6">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6">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6">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6">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6">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6">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6">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6">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6">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6">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6">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6">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6">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6">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6">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6">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6">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6">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6">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6">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6">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6">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6">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6">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6">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6">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6">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6">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6">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6">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6">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6">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6">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6">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6">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6">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6">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6">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6">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6">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6">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6">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6">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6">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6">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6">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6">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6">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6">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6">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6">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6">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6">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6">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6">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6">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6">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6">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6">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6">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6">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6">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6">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6">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6">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6">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6">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6">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6">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6">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6">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6">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6">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6">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6">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6">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6">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6">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6">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6">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6">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6">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6">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6">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6">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6">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6">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6">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6">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6">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6">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6">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6">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6">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6">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6">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6">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6">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6">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6">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6">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6">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6">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6">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6">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6">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6">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6">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6">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6">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6">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6">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6">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6">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6">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6">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6">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6">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6">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6">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6">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6">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6">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6">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6">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6">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6">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6">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6">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6">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6">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6">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6">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6">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6">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6">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6">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6">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6">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6">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6">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6">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6">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6">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6">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6">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6">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6">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6">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6">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6">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6">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6">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6">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6">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6">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6">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6">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6">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6">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6">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6">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6">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6">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6">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6">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6">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6">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6">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6">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6">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6">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6">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6">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6">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6">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6">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6">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6">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6">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6">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6">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6">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6">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6">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6">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6">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6">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6">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6">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6">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6">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6">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6">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6">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6">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6">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6">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6">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6">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6">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6">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6">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6">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6">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6">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6">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6">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6">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6">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6">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6">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6">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6">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6">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6">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6">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6">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6">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6">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6">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6">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6">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6">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6">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6">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6">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6">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6">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6">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6">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6">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6">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6">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6">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6">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6">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6">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6">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6">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6">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6">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6">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6">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6">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6">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6">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6">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6">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6">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6">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6">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6">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6">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6">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6">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6">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6">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6">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6">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6">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6">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6">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6">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6">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6">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6">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6">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6">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6">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6">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6">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6">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6">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6">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6">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6">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6">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6">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6">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6">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6">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6">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6">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6">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6">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6">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6">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240:E240"/>
    <mergeCell ref="C295:E295"/>
    <mergeCell ref="C360:E360"/>
    <mergeCell ref="C406:E406"/>
    <mergeCell ref="B1:AO1"/>
    <mergeCell ref="C4:AO4"/>
    <mergeCell ref="C6:E6"/>
    <mergeCell ref="C94:E94"/>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24"/>
  <sheetViews>
    <sheetView workbookViewId="0"/>
  </sheetViews>
  <sheetFormatPr baseColWidth="10" defaultColWidth="11" defaultRowHeight="14.4"/>
  <cols>
    <col min="1" max="1" width="11.59765625" style="1149" customWidth="1"/>
    <col min="2" max="2" width="12.3984375" style="1149" customWidth="1"/>
    <col min="3" max="3" width="27" style="1149" customWidth="1"/>
    <col min="4" max="4" width="22.69921875" style="1152" customWidth="1"/>
    <col min="5" max="5" width="13.59765625" style="1152" hidden="1" customWidth="1"/>
    <col min="6" max="7" width="13.59765625" style="1152" customWidth="1"/>
    <col min="8" max="19" width="10.5" style="1152" customWidth="1"/>
    <col min="20" max="20" width="37.8984375" style="1180" customWidth="1"/>
    <col min="21" max="16384" width="11" style="1149"/>
  </cols>
  <sheetData>
    <row r="1" spans="1:24" ht="31.2">
      <c r="A1" s="1148" t="s">
        <v>2963</v>
      </c>
      <c r="B1" s="1148"/>
      <c r="D1" s="1148"/>
      <c r="E1" s="1148"/>
      <c r="F1" s="1148"/>
      <c r="G1" s="1148"/>
      <c r="H1" s="1148"/>
      <c r="I1" s="1148"/>
      <c r="J1" s="1148"/>
      <c r="K1" s="1148"/>
      <c r="L1" s="1148"/>
      <c r="M1" s="1148"/>
      <c r="N1" s="1148"/>
      <c r="O1" s="1148"/>
      <c r="P1" s="1148"/>
      <c r="Q1" s="1148"/>
      <c r="R1" s="1148"/>
      <c r="S1" s="1148"/>
      <c r="T1" s="1148"/>
    </row>
    <row r="2" spans="1:24" ht="21">
      <c r="A2" s="1150" t="s">
        <v>3363</v>
      </c>
      <c r="B2" s="1150"/>
      <c r="D2" s="1150"/>
      <c r="E2" s="1150"/>
      <c r="F2" s="1150"/>
      <c r="G2" s="1150"/>
      <c r="H2" s="1151">
        <v>1</v>
      </c>
      <c r="I2" s="1151">
        <v>2</v>
      </c>
      <c r="J2" s="1151">
        <v>3</v>
      </c>
      <c r="K2" s="1151">
        <v>4</v>
      </c>
      <c r="L2" s="1151">
        <v>5</v>
      </c>
      <c r="M2" s="1151">
        <v>6</v>
      </c>
      <c r="N2" s="1151">
        <v>7</v>
      </c>
      <c r="O2" s="1151">
        <v>8</v>
      </c>
      <c r="P2" s="1151">
        <v>9</v>
      </c>
      <c r="Q2" s="1151">
        <v>10</v>
      </c>
      <c r="R2" s="1151">
        <v>11</v>
      </c>
      <c r="S2" s="1151">
        <v>12</v>
      </c>
      <c r="T2" s="1150"/>
    </row>
    <row r="3" spans="1:24" ht="15" thickBot="1">
      <c r="H3" s="1153" t="str">
        <f>+IF(VLOOKUP(H2,Parametres!$L$3:$N$14,3,0)="X","REEL","FORECAST")</f>
        <v>REEL</v>
      </c>
      <c r="I3" s="1153" t="str">
        <f>+IF(VLOOKUP(I2,Parametres!$L$3:$N$14,3,0)="X","REEL","FORECAST")</f>
        <v>REEL</v>
      </c>
      <c r="J3" s="1153" t="str">
        <f>+IF(VLOOKUP(J2,Parametres!$L$3:$N$14,3,0)="X","REEL","FORECAST")</f>
        <v>REEL</v>
      </c>
      <c r="K3" s="1153" t="str">
        <f>+IF(VLOOKUP(K2,Parametres!$L$3:$N$14,3,0)="X","REEL","FORECAST")</f>
        <v>REEL</v>
      </c>
      <c r="L3" s="1153" t="str">
        <f>+IF(VLOOKUP(L2,Parametres!$L$3:$N$14,3,0)="X","REEL","FORECAST")</f>
        <v>REEL</v>
      </c>
      <c r="M3" s="1153" t="str">
        <f>+IF(VLOOKUP(M2,Parametres!$L$3:$N$14,3,0)="X","REEL","FORECAST")</f>
        <v>FORECAST</v>
      </c>
      <c r="N3" s="1153" t="str">
        <f>+IF(VLOOKUP(N2,Parametres!$L$3:$N$14,3,0)="X","REEL","FORECAST")</f>
        <v>FORECAST</v>
      </c>
      <c r="O3" s="1153" t="str">
        <f>+IF(VLOOKUP(O2,Parametres!$L$3:$N$14,3,0)="X","REEL","FORECAST")</f>
        <v>FORECAST</v>
      </c>
      <c r="P3" s="1153" t="str">
        <f>+IF(VLOOKUP(P2,Parametres!$L$3:$N$14,3,0)="X","REEL","FORECAST")</f>
        <v>FORECAST</v>
      </c>
      <c r="Q3" s="1153" t="str">
        <f>+IF(VLOOKUP(Q2,Parametres!$L$3:$N$14,3,0)="X","REEL","FORECAST")</f>
        <v>FORECAST</v>
      </c>
      <c r="R3" s="1153" t="str">
        <f>+IF(VLOOKUP(R2,Parametres!$L$3:$N$14,3,0)="X","REEL","FORECAST")</f>
        <v>FORECAST</v>
      </c>
      <c r="S3" s="1153" t="str">
        <f>+IF(VLOOKUP(S2,Parametres!$L$3:$N$14,3,0)="X","REEL","FORECAST")</f>
        <v>FORECAST</v>
      </c>
      <c r="T3" s="1149"/>
    </row>
    <row r="4" spans="1:24" s="1158" customFormat="1" ht="30" customHeight="1" thickBot="1">
      <c r="A4" s="1415" t="s">
        <v>2964</v>
      </c>
      <c r="B4" s="1415" t="s">
        <v>2965</v>
      </c>
      <c r="C4" s="1154" t="s">
        <v>2966</v>
      </c>
      <c r="D4" s="1155" t="s">
        <v>2967</v>
      </c>
      <c r="E4" s="1156" t="s">
        <v>2968</v>
      </c>
      <c r="F4" s="1154" t="s">
        <v>2969</v>
      </c>
      <c r="G4" s="1154" t="s">
        <v>2970</v>
      </c>
      <c r="H4" s="1156" t="s">
        <v>2971</v>
      </c>
      <c r="I4" s="1154" t="s">
        <v>2972</v>
      </c>
      <c r="J4" s="1154" t="s">
        <v>2973</v>
      </c>
      <c r="K4" s="1154" t="s">
        <v>2974</v>
      </c>
      <c r="L4" s="1154" t="s">
        <v>2975</v>
      </c>
      <c r="M4" s="1154" t="s">
        <v>2976</v>
      </c>
      <c r="N4" s="1154" t="s">
        <v>2977</v>
      </c>
      <c r="O4" s="1154" t="s">
        <v>2978</v>
      </c>
      <c r="P4" s="1154" t="s">
        <v>2979</v>
      </c>
      <c r="Q4" s="1154" t="s">
        <v>2980</v>
      </c>
      <c r="R4" s="1154" t="s">
        <v>2981</v>
      </c>
      <c r="S4" s="1154" t="s">
        <v>2982</v>
      </c>
      <c r="T4" s="1157" t="s">
        <v>2983</v>
      </c>
    </row>
    <row r="5" spans="1:24" ht="30" customHeight="1" thickBot="1">
      <c r="A5" s="1416"/>
      <c r="B5" s="1416"/>
      <c r="C5" s="1417" t="s">
        <v>2984</v>
      </c>
      <c r="D5" s="1418"/>
      <c r="E5" s="1159">
        <f t="shared" ref="E5:S5" si="0">+SUM(E6:E21)</f>
        <v>56200</v>
      </c>
      <c r="F5" s="1160">
        <f t="shared" si="0"/>
        <v>56200</v>
      </c>
      <c r="G5" s="1161">
        <f t="shared" si="0"/>
        <v>0</v>
      </c>
      <c r="H5" s="1162">
        <f t="shared" si="0"/>
        <v>0</v>
      </c>
      <c r="I5" s="1163">
        <f t="shared" si="0"/>
        <v>1500</v>
      </c>
      <c r="J5" s="1163">
        <f t="shared" si="0"/>
        <v>0</v>
      </c>
      <c r="K5" s="1163">
        <f t="shared" si="0"/>
        <v>15100</v>
      </c>
      <c r="L5" s="1163">
        <f t="shared" si="0"/>
        <v>0</v>
      </c>
      <c r="M5" s="1163">
        <f t="shared" si="0"/>
        <v>22200</v>
      </c>
      <c r="N5" s="1163">
        <f t="shared" si="0"/>
        <v>0</v>
      </c>
      <c r="O5" s="1163">
        <f t="shared" si="0"/>
        <v>0</v>
      </c>
      <c r="P5" s="1163">
        <f t="shared" si="0"/>
        <v>9200</v>
      </c>
      <c r="Q5" s="1163">
        <f t="shared" si="0"/>
        <v>0</v>
      </c>
      <c r="R5" s="1163">
        <f t="shared" si="0"/>
        <v>0</v>
      </c>
      <c r="S5" s="1163">
        <f t="shared" si="0"/>
        <v>8200</v>
      </c>
      <c r="T5" s="1164"/>
      <c r="X5" s="1158" t="s">
        <v>49</v>
      </c>
    </row>
    <row r="6" spans="1:24" ht="30" customHeight="1">
      <c r="A6" s="1165" t="str">
        <f>+Parametres!$B$1</f>
        <v>Volks</v>
      </c>
      <c r="B6" s="1166" t="s">
        <v>2849</v>
      </c>
      <c r="C6" s="1256" t="s">
        <v>2991</v>
      </c>
      <c r="D6" s="1258" t="s">
        <v>124</v>
      </c>
      <c r="E6" s="1168">
        <f>+SUM(H6:S6)</f>
        <v>3000</v>
      </c>
      <c r="F6" s="1168">
        <v>3000</v>
      </c>
      <c r="G6" s="1168">
        <f>+E6-F6</f>
        <v>0</v>
      </c>
      <c r="H6" s="1169"/>
      <c r="I6" s="1168"/>
      <c r="K6" s="1168">
        <v>1000</v>
      </c>
      <c r="L6" s="1168"/>
      <c r="M6" s="1168">
        <v>1000</v>
      </c>
      <c r="N6" s="1168"/>
      <c r="O6" s="1168"/>
      <c r="P6" s="1168">
        <v>1000</v>
      </c>
      <c r="Q6" s="1168"/>
      <c r="R6" s="1168"/>
      <c r="S6" s="1168"/>
      <c r="T6" s="1170" t="s">
        <v>2997</v>
      </c>
      <c r="X6" s="1149" t="s">
        <v>51</v>
      </c>
    </row>
    <row r="7" spans="1:24" ht="30" customHeight="1">
      <c r="A7" s="1170" t="str">
        <f>+Parametres!$B$1</f>
        <v>Volks</v>
      </c>
      <c r="B7" s="1171" t="s">
        <v>2849</v>
      </c>
      <c r="C7" s="1257" t="s">
        <v>57</v>
      </c>
      <c r="D7" s="1258" t="s">
        <v>2988</v>
      </c>
      <c r="E7" s="1169">
        <f t="shared" ref="E7:E21" si="1">+SUM(H7:S7)</f>
        <v>5000</v>
      </c>
      <c r="F7" s="1168">
        <v>5000</v>
      </c>
      <c r="G7" s="1168">
        <f t="shared" ref="G7:G21" si="2">+E7-F7</f>
        <v>0</v>
      </c>
      <c r="H7" s="1169"/>
      <c r="I7" s="1168"/>
      <c r="K7" s="1168">
        <f>$F$7/4</f>
        <v>1250</v>
      </c>
      <c r="L7" s="1168"/>
      <c r="M7" s="1168">
        <f>$F$7/4</f>
        <v>1250</v>
      </c>
      <c r="N7" s="1168"/>
      <c r="O7" s="1168"/>
      <c r="P7" s="1168">
        <f>$F$7/4</f>
        <v>1250</v>
      </c>
      <c r="Q7" s="1168"/>
      <c r="R7" s="1168"/>
      <c r="S7" s="1168">
        <f>$F$7/4</f>
        <v>1250</v>
      </c>
      <c r="T7" s="1170" t="s">
        <v>2998</v>
      </c>
      <c r="X7" s="1149" t="s">
        <v>53</v>
      </c>
    </row>
    <row r="8" spans="1:24" ht="55.5" customHeight="1">
      <c r="A8" s="1170" t="str">
        <f>+Parametres!$B$1</f>
        <v>Volks</v>
      </c>
      <c r="B8" s="1171" t="s">
        <v>2849</v>
      </c>
      <c r="C8" s="1257" t="s">
        <v>53</v>
      </c>
      <c r="D8" s="1258" t="s">
        <v>2989</v>
      </c>
      <c r="E8" s="1169">
        <f t="shared" si="1"/>
        <v>5000</v>
      </c>
      <c r="F8" s="1168">
        <v>5000</v>
      </c>
      <c r="G8" s="1168">
        <f t="shared" si="2"/>
        <v>0</v>
      </c>
      <c r="H8" s="1169"/>
      <c r="I8" s="1168"/>
      <c r="K8" s="1168">
        <f>$F$8/4</f>
        <v>1250</v>
      </c>
      <c r="L8" s="1168"/>
      <c r="M8" s="1168">
        <f>$F$8/4</f>
        <v>1250</v>
      </c>
      <c r="N8" s="1168"/>
      <c r="O8" s="1168"/>
      <c r="P8" s="1168">
        <f>$F$8/4</f>
        <v>1250</v>
      </c>
      <c r="Q8" s="1168"/>
      <c r="R8" s="1168"/>
      <c r="S8" s="1168">
        <f>$F$8/4</f>
        <v>1250</v>
      </c>
      <c r="T8" s="1170" t="s">
        <v>2999</v>
      </c>
      <c r="X8" s="1149" t="s">
        <v>55</v>
      </c>
    </row>
    <row r="9" spans="1:24" ht="30" customHeight="1">
      <c r="A9" s="1170" t="str">
        <f>+Parametres!$B$1</f>
        <v>Volks</v>
      </c>
      <c r="B9" s="1171" t="s">
        <v>2849</v>
      </c>
      <c r="C9" s="1257" t="s">
        <v>2993</v>
      </c>
      <c r="D9" s="1258" t="s">
        <v>2994</v>
      </c>
      <c r="E9" s="1169">
        <f t="shared" si="1"/>
        <v>3000</v>
      </c>
      <c r="F9" s="1168">
        <v>3000</v>
      </c>
      <c r="G9" s="1168">
        <f t="shared" si="2"/>
        <v>0</v>
      </c>
      <c r="H9" s="1169"/>
      <c r="I9" s="1168"/>
      <c r="J9" s="1168"/>
      <c r="K9" s="1168"/>
      <c r="L9" s="1168"/>
      <c r="M9" s="1168">
        <v>3000</v>
      </c>
      <c r="N9" s="1168"/>
      <c r="O9" s="1168"/>
      <c r="P9" s="1168"/>
      <c r="Q9" s="1168"/>
      <c r="R9" s="1168"/>
      <c r="S9" s="1168"/>
      <c r="T9" s="1170" t="s">
        <v>2999</v>
      </c>
      <c r="X9" s="1149" t="s">
        <v>58</v>
      </c>
    </row>
    <row r="10" spans="1:24" ht="30" customHeight="1">
      <c r="A10" s="1170" t="str">
        <f>+Parametres!$B$1</f>
        <v>Volks</v>
      </c>
      <c r="B10" s="1171" t="s">
        <v>2849</v>
      </c>
      <c r="C10" s="1257" t="s">
        <v>2992</v>
      </c>
      <c r="D10" s="1258" t="s">
        <v>2988</v>
      </c>
      <c r="E10" s="1169">
        <f t="shared" si="1"/>
        <v>10000</v>
      </c>
      <c r="F10" s="1168">
        <v>10000</v>
      </c>
      <c r="G10" s="1168">
        <f t="shared" si="2"/>
        <v>0</v>
      </c>
      <c r="H10" s="1169"/>
      <c r="I10" s="1168"/>
      <c r="J10" s="1168"/>
      <c r="K10" s="1168"/>
      <c r="L10" s="1168"/>
      <c r="M10" s="1168">
        <v>10000</v>
      </c>
      <c r="N10" s="1168"/>
      <c r="O10" s="1168"/>
      <c r="P10" s="1168"/>
      <c r="Q10" s="1168"/>
      <c r="R10" s="1168"/>
      <c r="S10" s="1168"/>
      <c r="T10" s="1170" t="s">
        <v>3000</v>
      </c>
      <c r="X10" s="1149" t="s">
        <v>59</v>
      </c>
    </row>
    <row r="11" spans="1:24" ht="30" customHeight="1">
      <c r="A11" s="1170" t="str">
        <f>+Parametres!$B$1</f>
        <v>Volks</v>
      </c>
      <c r="B11" s="1171" t="s">
        <v>2849</v>
      </c>
      <c r="C11" s="1257" t="s">
        <v>2990</v>
      </c>
      <c r="D11" s="1258" t="s">
        <v>2988</v>
      </c>
      <c r="E11" s="1169">
        <f t="shared" si="1"/>
        <v>900</v>
      </c>
      <c r="F11" s="1168">
        <v>900</v>
      </c>
      <c r="G11" s="1168">
        <f t="shared" si="2"/>
        <v>0</v>
      </c>
      <c r="H11" s="1169"/>
      <c r="I11" s="1168"/>
      <c r="K11" s="1168">
        <v>900</v>
      </c>
      <c r="L11" s="1168"/>
      <c r="M11" s="1168"/>
      <c r="N11" s="1168"/>
      <c r="O11" s="1168"/>
      <c r="P11" s="1168"/>
      <c r="Q11" s="1168"/>
      <c r="R11" s="1168"/>
      <c r="S11" s="1168"/>
      <c r="T11" s="1170"/>
      <c r="X11" s="1149" t="s">
        <v>60</v>
      </c>
    </row>
    <row r="12" spans="1:24" ht="30" customHeight="1">
      <c r="A12" s="1170" t="str">
        <f>+Parametres!$B$1</f>
        <v>Volks</v>
      </c>
      <c r="B12" s="1171" t="s">
        <v>2849</v>
      </c>
      <c r="C12" s="1257" t="s">
        <v>2987</v>
      </c>
      <c r="D12" s="1258" t="s">
        <v>2988</v>
      </c>
      <c r="E12" s="1169">
        <f t="shared" si="1"/>
        <v>22800</v>
      </c>
      <c r="F12" s="1168">
        <v>22800</v>
      </c>
      <c r="G12" s="1168">
        <f t="shared" si="2"/>
        <v>0</v>
      </c>
      <c r="H12" s="1169"/>
      <c r="I12" s="1168"/>
      <c r="K12" s="1168">
        <f>$F$12/4</f>
        <v>5700</v>
      </c>
      <c r="L12" s="1168"/>
      <c r="M12" s="1168">
        <f>$F$12/4</f>
        <v>5700</v>
      </c>
      <c r="N12" s="1168"/>
      <c r="O12" s="1168"/>
      <c r="P12" s="1168">
        <f>$F$12/4</f>
        <v>5700</v>
      </c>
      <c r="Q12" s="1168"/>
      <c r="R12" s="1168"/>
      <c r="S12" s="1168">
        <f>$F$12/4</f>
        <v>5700</v>
      </c>
      <c r="T12" s="1170"/>
      <c r="X12" s="1149" t="s">
        <v>62</v>
      </c>
    </row>
    <row r="13" spans="1:24" ht="30" customHeight="1">
      <c r="A13" s="1170" t="str">
        <f>+Parametres!$B$1</f>
        <v>Volks</v>
      </c>
      <c r="B13" s="1171" t="s">
        <v>2849</v>
      </c>
      <c r="C13" s="1257" t="s">
        <v>2996</v>
      </c>
      <c r="D13" s="1258" t="s">
        <v>2988</v>
      </c>
      <c r="E13" s="1169">
        <f t="shared" si="1"/>
        <v>2000</v>
      </c>
      <c r="F13" s="1168">
        <v>2000</v>
      </c>
      <c r="G13" s="1168">
        <f t="shared" si="2"/>
        <v>0</v>
      </c>
      <c r="H13" s="1169"/>
      <c r="I13" s="1168"/>
      <c r="K13" s="1168">
        <v>2000</v>
      </c>
      <c r="L13" s="1168"/>
      <c r="M13" s="1168"/>
      <c r="N13" s="1168"/>
      <c r="O13" s="1168"/>
      <c r="P13" s="1168"/>
      <c r="Q13" s="1168"/>
      <c r="R13" s="1168"/>
      <c r="S13" s="1168"/>
      <c r="T13" s="1170"/>
    </row>
    <row r="14" spans="1:24" ht="30" customHeight="1">
      <c r="A14" s="1170" t="str">
        <f>+Parametres!$B$1</f>
        <v>Volks</v>
      </c>
      <c r="B14" s="1171" t="s">
        <v>2849</v>
      </c>
      <c r="C14" s="1257" t="s">
        <v>2995</v>
      </c>
      <c r="D14" s="1258" t="s">
        <v>2988</v>
      </c>
      <c r="E14" s="1169">
        <f t="shared" si="1"/>
        <v>3000</v>
      </c>
      <c r="F14" s="1168">
        <v>3000</v>
      </c>
      <c r="G14" s="1168">
        <f t="shared" si="2"/>
        <v>0</v>
      </c>
      <c r="H14" s="1169"/>
      <c r="I14" s="1168"/>
      <c r="J14" s="1168"/>
      <c r="K14" s="1168">
        <v>3000</v>
      </c>
      <c r="L14" s="1168"/>
      <c r="M14" s="1168"/>
      <c r="N14" s="1168"/>
      <c r="O14" s="1168"/>
      <c r="P14" s="1168"/>
      <c r="Q14" s="1168"/>
      <c r="R14" s="1168"/>
      <c r="S14" s="1168"/>
      <c r="T14" s="1170"/>
    </row>
    <row r="15" spans="1:24" ht="30" customHeight="1">
      <c r="A15" s="1170" t="str">
        <f>+Parametres!$B$1</f>
        <v>Volks</v>
      </c>
      <c r="B15" s="1171" t="s">
        <v>2985</v>
      </c>
      <c r="C15" s="1257" t="s">
        <v>2986</v>
      </c>
      <c r="D15" s="1258" t="s">
        <v>124</v>
      </c>
      <c r="E15" s="1169">
        <f t="shared" si="1"/>
        <v>1500</v>
      </c>
      <c r="F15" s="1168">
        <v>1500</v>
      </c>
      <c r="G15" s="1168">
        <f t="shared" si="2"/>
        <v>0</v>
      </c>
      <c r="H15" s="1169"/>
      <c r="I15" s="1168">
        <v>1500</v>
      </c>
      <c r="J15" s="1168"/>
      <c r="K15" s="1168"/>
      <c r="L15" s="1168"/>
      <c r="M15" s="1168"/>
      <c r="N15" s="1168"/>
      <c r="O15" s="1168"/>
      <c r="P15" s="1168"/>
      <c r="Q15" s="1168"/>
      <c r="R15" s="1168"/>
      <c r="S15" s="1168"/>
      <c r="T15" s="1170"/>
    </row>
    <row r="16" spans="1:24" ht="30" customHeight="1">
      <c r="A16" s="1170" t="str">
        <f>+Parametres!$B$1</f>
        <v>Volks</v>
      </c>
      <c r="B16" s="1171" t="s">
        <v>2985</v>
      </c>
      <c r="C16" s="1257"/>
      <c r="D16" s="1167"/>
      <c r="E16" s="1169">
        <f t="shared" si="1"/>
        <v>0</v>
      </c>
      <c r="F16" s="1168"/>
      <c r="G16" s="1168">
        <f t="shared" si="2"/>
        <v>0</v>
      </c>
      <c r="H16" s="1169"/>
      <c r="I16" s="1168"/>
      <c r="J16" s="1168"/>
      <c r="K16" s="1168"/>
      <c r="L16" s="1168"/>
      <c r="M16" s="1168"/>
      <c r="N16" s="1168"/>
      <c r="O16" s="1168"/>
      <c r="P16" s="1168"/>
      <c r="Q16" s="1168"/>
      <c r="R16" s="1168"/>
      <c r="S16" s="1168"/>
      <c r="T16" s="1170"/>
    </row>
    <row r="17" spans="1:24" ht="30" customHeight="1">
      <c r="A17" s="1170" t="str">
        <f>+Parametres!$B$1</f>
        <v>Volks</v>
      </c>
      <c r="B17" s="1171" t="s">
        <v>2985</v>
      </c>
      <c r="C17" s="1257"/>
      <c r="D17" s="1167"/>
      <c r="E17" s="1169">
        <f t="shared" si="1"/>
        <v>0</v>
      </c>
      <c r="F17" s="1168"/>
      <c r="G17" s="1168">
        <f t="shared" si="2"/>
        <v>0</v>
      </c>
      <c r="H17" s="1169"/>
      <c r="I17" s="1168"/>
      <c r="J17" s="1168"/>
      <c r="K17" s="1168"/>
      <c r="L17" s="1168"/>
      <c r="M17" s="1168"/>
      <c r="N17" s="1168"/>
      <c r="O17" s="1168"/>
      <c r="P17" s="1168"/>
      <c r="Q17" s="1168"/>
      <c r="R17" s="1168"/>
      <c r="S17" s="1168"/>
      <c r="T17" s="1170"/>
    </row>
    <row r="18" spans="1:24" ht="30" customHeight="1">
      <c r="A18" s="1170" t="str">
        <f>+Parametres!$B$1</f>
        <v>Volks</v>
      </c>
      <c r="B18" s="1171" t="s">
        <v>2985</v>
      </c>
      <c r="C18" s="1172"/>
      <c r="D18" s="1167"/>
      <c r="E18" s="1169">
        <f t="shared" si="1"/>
        <v>0</v>
      </c>
      <c r="F18" s="1168"/>
      <c r="G18" s="1168">
        <f t="shared" si="2"/>
        <v>0</v>
      </c>
      <c r="H18" s="1169"/>
      <c r="I18" s="1168"/>
      <c r="J18" s="1168"/>
      <c r="K18" s="1168"/>
      <c r="L18" s="1168"/>
      <c r="M18" s="1168"/>
      <c r="N18" s="1168"/>
      <c r="O18" s="1168"/>
      <c r="P18" s="1168"/>
      <c r="Q18" s="1168"/>
      <c r="R18" s="1168"/>
      <c r="S18" s="1168"/>
      <c r="T18" s="1170"/>
      <c r="X18" s="1149" t="s">
        <v>2985</v>
      </c>
    </row>
    <row r="19" spans="1:24" ht="30" customHeight="1">
      <c r="A19" s="1170" t="str">
        <f>+Parametres!$B$1</f>
        <v>Volks</v>
      </c>
      <c r="B19" s="1171" t="s">
        <v>2985</v>
      </c>
      <c r="C19" s="1172"/>
      <c r="D19" s="1167"/>
      <c r="E19" s="1169">
        <f t="shared" si="1"/>
        <v>0</v>
      </c>
      <c r="F19" s="1168"/>
      <c r="G19" s="1168">
        <f t="shared" si="2"/>
        <v>0</v>
      </c>
      <c r="H19" s="1169"/>
      <c r="I19" s="1168"/>
      <c r="J19" s="1168"/>
      <c r="K19" s="1168"/>
      <c r="L19" s="1168"/>
      <c r="M19" s="1168"/>
      <c r="N19" s="1168"/>
      <c r="O19" s="1168"/>
      <c r="P19" s="1168"/>
      <c r="Q19" s="1168"/>
      <c r="R19" s="1168"/>
      <c r="S19" s="1168"/>
      <c r="T19" s="1170"/>
    </row>
    <row r="20" spans="1:24" ht="30" customHeight="1">
      <c r="A20" s="1170" t="str">
        <f>+Parametres!$B$1</f>
        <v>Volks</v>
      </c>
      <c r="B20" s="1171" t="s">
        <v>2985</v>
      </c>
      <c r="C20" s="1172"/>
      <c r="D20" s="1167"/>
      <c r="E20" s="1169">
        <f t="shared" si="1"/>
        <v>0</v>
      </c>
      <c r="F20" s="1168"/>
      <c r="G20" s="1168">
        <f t="shared" si="2"/>
        <v>0</v>
      </c>
      <c r="H20" s="1169"/>
      <c r="I20" s="1168"/>
      <c r="J20" s="1168"/>
      <c r="K20" s="1168"/>
      <c r="L20" s="1168"/>
      <c r="M20" s="1168"/>
      <c r="N20" s="1168"/>
      <c r="O20" s="1168"/>
      <c r="P20" s="1168"/>
      <c r="Q20" s="1168"/>
      <c r="R20" s="1168"/>
      <c r="S20" s="1168"/>
      <c r="T20" s="1170"/>
    </row>
    <row r="21" spans="1:24" ht="30" customHeight="1" thickBot="1">
      <c r="A21" s="1173" t="str">
        <f>+Parametres!$B$1</f>
        <v>Volks</v>
      </c>
      <c r="B21" s="1174" t="s">
        <v>2985</v>
      </c>
      <c r="C21" s="1175"/>
      <c r="D21" s="1176"/>
      <c r="E21" s="1177">
        <f t="shared" si="1"/>
        <v>0</v>
      </c>
      <c r="F21" s="1178"/>
      <c r="G21" s="1178">
        <f t="shared" si="2"/>
        <v>0</v>
      </c>
      <c r="H21" s="1177"/>
      <c r="I21" s="1178"/>
      <c r="J21" s="1178"/>
      <c r="K21" s="1178"/>
      <c r="L21" s="1178"/>
      <c r="M21" s="1178"/>
      <c r="N21" s="1178"/>
      <c r="O21" s="1178"/>
      <c r="P21" s="1178"/>
      <c r="Q21" s="1178"/>
      <c r="R21" s="1178"/>
      <c r="S21" s="1178"/>
      <c r="T21" s="1173"/>
    </row>
    <row r="23" spans="1:24" ht="30" customHeight="1">
      <c r="C23" s="1179"/>
      <c r="D23" s="1179"/>
    </row>
    <row r="24" spans="1:24" ht="30" customHeight="1">
      <c r="C24" s="1152"/>
    </row>
  </sheetData>
  <mergeCells count="3">
    <mergeCell ref="A4:A5"/>
    <mergeCell ref="B4:B5"/>
    <mergeCell ref="C5:D5"/>
  </mergeCells>
  <dataValidations count="3">
    <dataValidation type="list" allowBlank="1" showInputMessage="1" showErrorMessage="1" sqref="X5:X17 D6:D21" xr:uid="{00000000-0002-0000-0500-000001000000}">
      <formula1>$X$5:$X$13</formula1>
    </dataValidation>
    <dataValidation type="list" allowBlank="1" showInputMessage="1" showErrorMessage="1" sqref="X18 B6:B21" xr:uid="{00000000-0002-0000-0500-000000000000}">
      <formula1>$X$18:$X$18</formula1>
    </dataValidation>
    <dataValidation type="list" allowBlank="1" showInputMessage="1" showErrorMessage="1" sqref="AB4 AB6:AB19" xr:uid="{00000000-0002-0000-0500-000002000000}">
      <formula1>$AB$4:$AB$19</formula1>
    </dataValidation>
  </dataValidations>
  <printOptions horizontalCentered="1"/>
  <pageMargins left="0" right="0" top="0" bottom="0" header="0" footer="0"/>
  <pageSetup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M111"/>
  <sheetViews>
    <sheetView workbookViewId="0">
      <selection activeCell="L3" sqref="L3"/>
    </sheetView>
  </sheetViews>
  <sheetFormatPr baseColWidth="10" defaultColWidth="11" defaultRowHeight="13.8"/>
  <cols>
    <col min="1" max="2" width="11" style="1224"/>
    <col min="3" max="3" width="13.8984375" style="1224" bestFit="1" customWidth="1"/>
    <col min="4" max="4" width="23.59765625" style="1224" bestFit="1" customWidth="1"/>
    <col min="5" max="5" width="11.19921875" style="1225" customWidth="1"/>
    <col min="6" max="6" width="13.3984375" style="1225" bestFit="1" customWidth="1"/>
    <col min="7" max="7" width="21.09765625" style="1224" bestFit="1" customWidth="1"/>
    <col min="8" max="8" width="11.59765625" style="1224" customWidth="1"/>
    <col min="9" max="11" width="11" style="1097"/>
    <col min="12" max="12" width="12.3984375" style="1097" bestFit="1" customWidth="1"/>
    <col min="13" max="13" width="11" style="1097"/>
    <col min="14" max="16384" width="11" style="1096"/>
  </cols>
  <sheetData>
    <row r="1" spans="1:13" ht="14.4">
      <c r="A1" s="1214" t="s">
        <v>2905</v>
      </c>
      <c r="B1" s="1214" t="s">
        <v>5</v>
      </c>
      <c r="C1" s="1214" t="s">
        <v>2913</v>
      </c>
      <c r="D1" s="1214" t="s">
        <v>2914</v>
      </c>
      <c r="E1" s="1215" t="s">
        <v>2906</v>
      </c>
      <c r="F1" s="1215" t="s">
        <v>2907</v>
      </c>
      <c r="G1" s="1214" t="s">
        <v>2908</v>
      </c>
      <c r="H1" s="1216" t="s">
        <v>2909</v>
      </c>
      <c r="L1" s="1098" t="s">
        <v>2906</v>
      </c>
      <c r="M1" s="1098" t="s">
        <v>2907</v>
      </c>
    </row>
    <row r="2" spans="1:13">
      <c r="A2" s="1226">
        <v>211014</v>
      </c>
      <c r="B2" s="1226" t="s">
        <v>2927</v>
      </c>
      <c r="C2" s="1227" t="s">
        <v>3365</v>
      </c>
      <c r="D2" s="1226" t="s">
        <v>2901</v>
      </c>
      <c r="E2" s="1228">
        <v>51942.11</v>
      </c>
      <c r="F2" s="1228">
        <v>-40263.300000000003</v>
      </c>
      <c r="G2" s="1226" t="s">
        <v>2921</v>
      </c>
      <c r="H2" s="1229">
        <v>250</v>
      </c>
      <c r="K2" s="1098" t="s">
        <v>2910</v>
      </c>
      <c r="L2" s="1099">
        <f>+SUM(E2:E10000)</f>
        <v>1188579.01</v>
      </c>
      <c r="M2" s="1100">
        <f>+SUM(F2:F10000)</f>
        <v>-1232044.1899999997</v>
      </c>
    </row>
    <row r="3" spans="1:13">
      <c r="A3" s="1226">
        <v>220159</v>
      </c>
      <c r="B3" s="1226" t="s">
        <v>2928</v>
      </c>
      <c r="C3" s="1227" t="s">
        <v>3365</v>
      </c>
      <c r="D3" s="1226" t="s">
        <v>2901</v>
      </c>
      <c r="E3" s="1228">
        <v>47746.5</v>
      </c>
      <c r="F3" s="1228">
        <v>-45047.55</v>
      </c>
      <c r="G3" s="1226" t="s">
        <v>3003</v>
      </c>
      <c r="H3" s="1229">
        <v>146</v>
      </c>
      <c r="K3" s="1124" t="s">
        <v>2953</v>
      </c>
      <c r="L3" s="1097">
        <f>COUNT(E:E)</f>
        <v>29</v>
      </c>
    </row>
    <row r="4" spans="1:13">
      <c r="A4" s="1226">
        <v>220189</v>
      </c>
      <c r="B4" s="1226" t="s">
        <v>2928</v>
      </c>
      <c r="C4" s="1227" t="s">
        <v>3365</v>
      </c>
      <c r="D4" s="1226" t="s">
        <v>2896</v>
      </c>
      <c r="E4" s="1228">
        <v>31066.27</v>
      </c>
      <c r="F4" s="1228">
        <v>-31255.35</v>
      </c>
      <c r="G4" s="1226" t="s">
        <v>3002</v>
      </c>
      <c r="H4" s="1229">
        <v>133</v>
      </c>
    </row>
    <row r="5" spans="1:13">
      <c r="A5" s="1226">
        <v>220221</v>
      </c>
      <c r="B5" s="1226" t="s">
        <v>2928</v>
      </c>
      <c r="C5" s="1227" t="s">
        <v>3365</v>
      </c>
      <c r="D5" s="1226" t="s">
        <v>2902</v>
      </c>
      <c r="E5" s="1228">
        <v>40977.51</v>
      </c>
      <c r="F5" s="1228">
        <v>-41407.800000000003</v>
      </c>
      <c r="G5" s="1226" t="s">
        <v>3261</v>
      </c>
      <c r="H5" s="1229">
        <v>120</v>
      </c>
    </row>
    <row r="6" spans="1:13">
      <c r="A6" s="1226">
        <v>220229</v>
      </c>
      <c r="B6" s="1226" t="s">
        <v>2928</v>
      </c>
      <c r="C6" s="1227" t="s">
        <v>3365</v>
      </c>
      <c r="D6" s="1226" t="s">
        <v>2902</v>
      </c>
      <c r="E6" s="1228">
        <v>39676.65</v>
      </c>
      <c r="F6" s="1228">
        <v>-36187.4</v>
      </c>
      <c r="G6" s="1226" t="s">
        <v>3260</v>
      </c>
      <c r="H6" s="1229">
        <v>113</v>
      </c>
    </row>
    <row r="7" spans="1:13">
      <c r="A7" s="1226">
        <v>220232</v>
      </c>
      <c r="B7" s="1226" t="s">
        <v>2928</v>
      </c>
      <c r="C7" s="1227" t="s">
        <v>3365</v>
      </c>
      <c r="D7" s="1226" t="s">
        <v>2902</v>
      </c>
      <c r="E7" s="1228">
        <v>41060.19</v>
      </c>
      <c r="F7" s="1228">
        <v>-41213.550000000003</v>
      </c>
      <c r="G7" s="1226" t="s">
        <v>3259</v>
      </c>
      <c r="H7" s="1229">
        <v>104</v>
      </c>
    </row>
    <row r="8" spans="1:13">
      <c r="A8" s="1226">
        <v>220249</v>
      </c>
      <c r="B8" s="1226" t="s">
        <v>2928</v>
      </c>
      <c r="C8" s="1227" t="s">
        <v>3365</v>
      </c>
      <c r="D8" s="1226" t="s">
        <v>2920</v>
      </c>
      <c r="E8" s="1228">
        <v>27411.8</v>
      </c>
      <c r="F8" s="1228">
        <v>-28653.45</v>
      </c>
      <c r="G8" s="1226" t="s">
        <v>3281</v>
      </c>
      <c r="H8" s="1229">
        <v>70</v>
      </c>
    </row>
    <row r="9" spans="1:13">
      <c r="A9" s="1226">
        <v>220271</v>
      </c>
      <c r="B9" s="1226" t="s">
        <v>2928</v>
      </c>
      <c r="C9" s="1227" t="s">
        <v>3365</v>
      </c>
      <c r="D9" s="1226" t="s">
        <v>2901</v>
      </c>
      <c r="E9" s="1228">
        <v>46928.480000000003</v>
      </c>
      <c r="F9" s="1228">
        <v>-52835.79</v>
      </c>
      <c r="G9" s="1226" t="s">
        <v>3280</v>
      </c>
      <c r="H9" s="1229">
        <v>63</v>
      </c>
    </row>
    <row r="10" spans="1:13">
      <c r="A10" s="1226">
        <v>220303</v>
      </c>
      <c r="B10" s="1226" t="s">
        <v>2928</v>
      </c>
      <c r="C10" s="1227" t="s">
        <v>3365</v>
      </c>
      <c r="D10" s="1226" t="s">
        <v>3452</v>
      </c>
      <c r="E10" s="1228">
        <v>32826</v>
      </c>
      <c r="F10" s="1228">
        <v>-34950.300000000003</v>
      </c>
      <c r="G10" s="1226" t="s">
        <v>3453</v>
      </c>
      <c r="H10" s="1229">
        <v>20</v>
      </c>
    </row>
    <row r="11" spans="1:13">
      <c r="A11" s="1226">
        <v>220313</v>
      </c>
      <c r="B11" s="1226" t="s">
        <v>2928</v>
      </c>
      <c r="C11" s="1227" t="s">
        <v>3365</v>
      </c>
      <c r="D11" s="1226" t="s">
        <v>2896</v>
      </c>
      <c r="E11" s="1228">
        <v>36922</v>
      </c>
      <c r="F11" s="1228">
        <v>-39356.1</v>
      </c>
      <c r="G11" s="1226" t="s">
        <v>3454</v>
      </c>
      <c r="H11" s="1229">
        <v>1</v>
      </c>
    </row>
    <row r="12" spans="1:13">
      <c r="A12" s="1226">
        <v>220330</v>
      </c>
      <c r="B12" s="1226" t="s">
        <v>2928</v>
      </c>
      <c r="C12" s="1227" t="s">
        <v>3365</v>
      </c>
      <c r="D12" s="1226" t="s">
        <v>2901</v>
      </c>
      <c r="E12" s="1228">
        <v>54287</v>
      </c>
      <c r="F12" s="1228">
        <v>-57589.35</v>
      </c>
      <c r="G12" s="1226" t="s">
        <v>3455</v>
      </c>
      <c r="H12" s="1229">
        <v>20</v>
      </c>
    </row>
    <row r="13" spans="1:13">
      <c r="A13" s="1226">
        <v>220347</v>
      </c>
      <c r="B13" s="1226" t="s">
        <v>2928</v>
      </c>
      <c r="C13" s="1227" t="s">
        <v>3365</v>
      </c>
      <c r="D13" s="1226" t="s">
        <v>2896</v>
      </c>
      <c r="E13" s="1228">
        <v>33327</v>
      </c>
      <c r="F13" s="1228">
        <v>-35581.35</v>
      </c>
      <c r="G13" s="1226" t="s">
        <v>3456</v>
      </c>
      <c r="H13" s="1229">
        <v>6</v>
      </c>
    </row>
    <row r="14" spans="1:13">
      <c r="A14" s="1226">
        <v>220349</v>
      </c>
      <c r="B14" s="1226" t="s">
        <v>2928</v>
      </c>
      <c r="C14" s="1227" t="s">
        <v>3365</v>
      </c>
      <c r="D14" s="1226" t="s">
        <v>2901</v>
      </c>
      <c r="E14" s="1228">
        <v>51112.5</v>
      </c>
      <c r="F14" s="1228">
        <v>-53295.9</v>
      </c>
      <c r="G14" s="1226" t="s">
        <v>3457</v>
      </c>
      <c r="H14" s="1229">
        <v>8</v>
      </c>
    </row>
    <row r="15" spans="1:13">
      <c r="A15" s="1226">
        <v>220351</v>
      </c>
      <c r="B15" s="1226" t="s">
        <v>2928</v>
      </c>
      <c r="C15" s="1227" t="s">
        <v>3365</v>
      </c>
      <c r="D15" s="1226" t="s">
        <v>2902</v>
      </c>
      <c r="E15" s="1228">
        <v>39331</v>
      </c>
      <c r="F15" s="1228">
        <v>-41885.550000000003</v>
      </c>
      <c r="G15" s="1226" t="s">
        <v>3458</v>
      </c>
      <c r="H15" s="1229">
        <v>8</v>
      </c>
    </row>
    <row r="16" spans="1:13">
      <c r="A16" s="1226">
        <v>220353</v>
      </c>
      <c r="B16" s="1226" t="s">
        <v>2928</v>
      </c>
      <c r="C16" s="1227" t="s">
        <v>3365</v>
      </c>
      <c r="D16" s="1226" t="s">
        <v>2901</v>
      </c>
      <c r="E16" s="1228">
        <v>53099</v>
      </c>
      <c r="F16" s="1228">
        <v>-55591.199999999997</v>
      </c>
      <c r="G16" s="1226" t="s">
        <v>3459</v>
      </c>
      <c r="H16" s="1229">
        <v>8</v>
      </c>
    </row>
    <row r="17" spans="1:8">
      <c r="A17" s="1226">
        <v>220354</v>
      </c>
      <c r="B17" s="1226" t="s">
        <v>2928</v>
      </c>
      <c r="C17" s="1227" t="s">
        <v>3365</v>
      </c>
      <c r="D17" s="1226" t="s">
        <v>2901</v>
      </c>
      <c r="E17" s="1228">
        <v>51204</v>
      </c>
      <c r="F17" s="1228">
        <v>-54352.2</v>
      </c>
      <c r="G17" s="1226" t="s">
        <v>3460</v>
      </c>
      <c r="H17" s="1229">
        <v>6</v>
      </c>
    </row>
    <row r="18" spans="1:8">
      <c r="A18" s="1226">
        <v>220355</v>
      </c>
      <c r="B18" s="1226" t="s">
        <v>2928</v>
      </c>
      <c r="C18" s="1227" t="s">
        <v>3365</v>
      </c>
      <c r="D18" s="1226" t="s">
        <v>2902</v>
      </c>
      <c r="E18" s="1228">
        <v>39331</v>
      </c>
      <c r="F18" s="1228">
        <v>-41885.550000000003</v>
      </c>
      <c r="G18" s="1226" t="s">
        <v>3461</v>
      </c>
      <c r="H18" s="1229">
        <v>6</v>
      </c>
    </row>
    <row r="19" spans="1:8">
      <c r="A19" s="1226">
        <v>220356</v>
      </c>
      <c r="B19" s="1226" t="s">
        <v>2928</v>
      </c>
      <c r="C19" s="1227" t="s">
        <v>3365</v>
      </c>
      <c r="D19" s="1226" t="s">
        <v>2901</v>
      </c>
      <c r="E19" s="1228">
        <v>54287</v>
      </c>
      <c r="F19" s="1228">
        <v>-57589.35</v>
      </c>
      <c r="G19" s="1226" t="s">
        <v>3462</v>
      </c>
      <c r="H19" s="1229">
        <v>5</v>
      </c>
    </row>
    <row r="20" spans="1:8">
      <c r="A20" s="1226">
        <v>220358</v>
      </c>
      <c r="B20" s="1226" t="s">
        <v>2928</v>
      </c>
      <c r="C20" s="1227" t="s">
        <v>3365</v>
      </c>
      <c r="D20" s="1226" t="s">
        <v>2901</v>
      </c>
      <c r="E20" s="1228">
        <v>53292</v>
      </c>
      <c r="F20" s="1228">
        <v>-56544.6</v>
      </c>
      <c r="G20" s="1226" t="s">
        <v>3463</v>
      </c>
      <c r="H20" s="1229">
        <v>4</v>
      </c>
    </row>
    <row r="21" spans="1:8">
      <c r="A21" s="1226">
        <v>220359</v>
      </c>
      <c r="B21" s="1226" t="s">
        <v>2928</v>
      </c>
      <c r="C21" s="1227" t="s">
        <v>3365</v>
      </c>
      <c r="D21" s="1226" t="s">
        <v>2920</v>
      </c>
      <c r="E21" s="1228">
        <v>27380</v>
      </c>
      <c r="F21" s="1228">
        <v>-29232</v>
      </c>
      <c r="G21" s="1226" t="s">
        <v>3464</v>
      </c>
      <c r="H21" s="1229">
        <v>4</v>
      </c>
    </row>
    <row r="22" spans="1:8">
      <c r="A22" s="1226">
        <v>220360</v>
      </c>
      <c r="B22" s="1226" t="s">
        <v>2928</v>
      </c>
      <c r="C22" s="1227" t="s">
        <v>3365</v>
      </c>
      <c r="D22" s="1226" t="s">
        <v>2902</v>
      </c>
      <c r="E22" s="1228">
        <v>38044</v>
      </c>
      <c r="F22" s="1228">
        <v>-40534.199999999997</v>
      </c>
      <c r="G22" s="1226" t="s">
        <v>3465</v>
      </c>
      <c r="H22" s="1229">
        <v>4</v>
      </c>
    </row>
    <row r="23" spans="1:8">
      <c r="A23" s="1226">
        <v>220361</v>
      </c>
      <c r="B23" s="1226" t="s">
        <v>2928</v>
      </c>
      <c r="C23" s="1227" t="s">
        <v>3365</v>
      </c>
      <c r="D23" s="1226" t="s">
        <v>2902</v>
      </c>
      <c r="E23" s="1228">
        <v>41954</v>
      </c>
      <c r="F23" s="1228">
        <v>-44639.7</v>
      </c>
      <c r="G23" s="1226" t="s">
        <v>3466</v>
      </c>
      <c r="H23" s="1229">
        <v>1</v>
      </c>
    </row>
    <row r="24" spans="1:8">
      <c r="A24" s="1226">
        <v>220362</v>
      </c>
      <c r="B24" s="1226" t="s">
        <v>2928</v>
      </c>
      <c r="C24" s="1227" t="s">
        <v>3365</v>
      </c>
      <c r="D24" s="1226" t="s">
        <v>2902</v>
      </c>
      <c r="E24" s="1228">
        <v>39154</v>
      </c>
      <c r="F24" s="1228">
        <v>-41699.699999999997</v>
      </c>
      <c r="G24" s="1226" t="s">
        <v>3467</v>
      </c>
      <c r="H24" s="1229">
        <v>0</v>
      </c>
    </row>
    <row r="25" spans="1:8">
      <c r="A25" s="1226">
        <v>220363</v>
      </c>
      <c r="B25" s="1226" t="s">
        <v>2928</v>
      </c>
      <c r="C25" s="1227" t="s">
        <v>3365</v>
      </c>
      <c r="D25" s="1226" t="s">
        <v>2896</v>
      </c>
      <c r="E25" s="1228">
        <v>33327</v>
      </c>
      <c r="F25" s="1228">
        <v>-35581.35</v>
      </c>
      <c r="G25" s="1226" t="s">
        <v>3468</v>
      </c>
      <c r="H25" s="1229">
        <v>0</v>
      </c>
    </row>
    <row r="26" spans="1:8">
      <c r="A26" s="1226">
        <v>220364</v>
      </c>
      <c r="B26" s="1226" t="s">
        <v>2928</v>
      </c>
      <c r="C26" s="1227" t="s">
        <v>3365</v>
      </c>
      <c r="D26" s="1226" t="s">
        <v>2902</v>
      </c>
      <c r="E26" s="1228">
        <v>39154</v>
      </c>
      <c r="F26" s="1228">
        <v>-41699.699999999997</v>
      </c>
      <c r="G26" s="1226" t="s">
        <v>3469</v>
      </c>
      <c r="H26" s="1229">
        <v>0</v>
      </c>
    </row>
    <row r="27" spans="1:8">
      <c r="A27" s="1226">
        <v>220365</v>
      </c>
      <c r="B27" s="1226" t="s">
        <v>2928</v>
      </c>
      <c r="C27" s="1227" t="s">
        <v>3365</v>
      </c>
      <c r="D27" s="1226" t="s">
        <v>2896</v>
      </c>
      <c r="E27" s="1228">
        <v>36464</v>
      </c>
      <c r="F27" s="1228">
        <v>-38875.199999999997</v>
      </c>
      <c r="G27" s="1226" t="s">
        <v>3470</v>
      </c>
      <c r="H27" s="1229">
        <v>0</v>
      </c>
    </row>
    <row r="28" spans="1:8">
      <c r="A28" s="1226">
        <v>220366</v>
      </c>
      <c r="B28" s="1226" t="s">
        <v>2928</v>
      </c>
      <c r="C28" s="1227" t="s">
        <v>3365</v>
      </c>
      <c r="D28" s="1226" t="s">
        <v>2902</v>
      </c>
      <c r="E28" s="1228">
        <v>41954</v>
      </c>
      <c r="F28" s="1228">
        <v>-44639.7</v>
      </c>
      <c r="G28" s="1226" t="s">
        <v>3471</v>
      </c>
      <c r="H28" s="1229">
        <v>0</v>
      </c>
    </row>
    <row r="29" spans="1:8">
      <c r="A29" s="1226">
        <v>220367</v>
      </c>
      <c r="B29" s="1226" t="s">
        <v>2928</v>
      </c>
      <c r="C29" s="1227" t="s">
        <v>3365</v>
      </c>
      <c r="D29" s="1226" t="s">
        <v>2901</v>
      </c>
      <c r="E29" s="1228">
        <v>40617</v>
      </c>
      <c r="F29" s="1228">
        <v>-43235.85</v>
      </c>
      <c r="G29" s="1226" t="s">
        <v>3472</v>
      </c>
      <c r="H29" s="1229">
        <v>0</v>
      </c>
    </row>
    <row r="30" spans="1:8">
      <c r="A30" s="1226">
        <v>220368</v>
      </c>
      <c r="B30" s="1226" t="s">
        <v>2928</v>
      </c>
      <c r="C30" s="1227" t="s">
        <v>3365</v>
      </c>
      <c r="D30" s="1226" t="s">
        <v>2920</v>
      </c>
      <c r="E30" s="1228">
        <v>24703</v>
      </c>
      <c r="F30" s="1228">
        <v>-26421.15</v>
      </c>
      <c r="G30" s="1226" t="s">
        <v>3473</v>
      </c>
      <c r="H30" s="1229">
        <v>0</v>
      </c>
    </row>
    <row r="31" spans="1:8">
      <c r="A31" s="1226"/>
      <c r="B31" s="1226"/>
      <c r="C31" s="1227"/>
      <c r="D31" s="1226"/>
      <c r="E31" s="1228"/>
      <c r="F31" s="1228"/>
      <c r="G31" s="1226"/>
      <c r="H31" s="1229"/>
    </row>
    <row r="32" spans="1:8">
      <c r="A32" s="1226"/>
      <c r="B32" s="1226"/>
      <c r="C32" s="1227"/>
      <c r="D32" s="1226"/>
      <c r="E32" s="1228"/>
      <c r="F32" s="1228"/>
      <c r="G32" s="1226"/>
      <c r="H32" s="1229"/>
    </row>
    <row r="33" spans="1:8">
      <c r="A33" s="1226"/>
      <c r="B33" s="1226"/>
      <c r="C33" s="1227"/>
      <c r="D33" s="1226"/>
      <c r="E33" s="1228"/>
      <c r="F33" s="1228"/>
      <c r="G33" s="1226"/>
      <c r="H33" s="1229"/>
    </row>
    <row r="34" spans="1:8">
      <c r="A34" s="1226"/>
      <c r="B34" s="1226"/>
      <c r="C34" s="1227"/>
      <c r="D34" s="1226"/>
      <c r="E34" s="1228"/>
      <c r="F34" s="1228"/>
      <c r="G34" s="1226"/>
      <c r="H34" s="1229"/>
    </row>
    <row r="35" spans="1:8">
      <c r="A35" s="1226"/>
      <c r="B35" s="1226"/>
      <c r="C35" s="1227"/>
      <c r="D35" s="1226"/>
      <c r="E35" s="1228"/>
      <c r="F35" s="1228"/>
      <c r="G35" s="1226"/>
      <c r="H35" s="1229"/>
    </row>
    <row r="36" spans="1:8">
      <c r="A36" s="1226"/>
      <c r="B36" s="1226"/>
      <c r="C36" s="1227"/>
      <c r="D36" s="1226"/>
      <c r="E36" s="1228"/>
      <c r="F36" s="1228"/>
      <c r="G36" s="1226"/>
      <c r="H36" s="1229"/>
    </row>
    <row r="37" spans="1:8">
      <c r="A37" s="1226"/>
      <c r="B37" s="1226"/>
      <c r="C37" s="1227"/>
      <c r="D37" s="1226"/>
      <c r="E37" s="1228"/>
      <c r="F37" s="1228"/>
      <c r="G37" s="1226"/>
      <c r="H37" s="1229"/>
    </row>
    <row r="38" spans="1:8">
      <c r="A38" s="1226"/>
      <c r="B38" s="1226"/>
      <c r="C38" s="1227"/>
      <c r="D38" s="1226"/>
      <c r="E38" s="1228"/>
      <c r="F38" s="1228"/>
      <c r="G38" s="1226"/>
      <c r="H38" s="1229"/>
    </row>
    <row r="39" spans="1:8">
      <c r="A39" s="1226"/>
      <c r="B39" s="1226"/>
      <c r="C39" s="1227"/>
      <c r="D39" s="1226"/>
      <c r="E39" s="1228"/>
      <c r="F39" s="1228"/>
      <c r="G39" s="1226"/>
      <c r="H39" s="1229"/>
    </row>
    <row r="40" spans="1:8">
      <c r="A40" s="1226"/>
      <c r="B40" s="1226"/>
      <c r="C40" s="1227"/>
      <c r="D40" s="1226"/>
      <c r="E40" s="1228"/>
      <c r="F40" s="1228"/>
      <c r="G40" s="1226"/>
      <c r="H40" s="1229"/>
    </row>
    <row r="41" spans="1:8">
      <c r="A41" s="1226"/>
      <c r="B41" s="1226"/>
      <c r="C41" s="1227"/>
      <c r="D41" s="1226"/>
      <c r="E41" s="1228"/>
      <c r="F41" s="1228"/>
      <c r="G41" s="1226"/>
      <c r="H41" s="1229"/>
    </row>
    <row r="42" spans="1:8">
      <c r="A42" s="1226"/>
      <c r="B42" s="1226"/>
      <c r="C42" s="1227"/>
      <c r="D42" s="1226"/>
      <c r="E42" s="1228"/>
      <c r="F42" s="1228"/>
      <c r="G42" s="1226"/>
      <c r="H42" s="1229"/>
    </row>
    <row r="43" spans="1:8">
      <c r="A43" s="1226"/>
      <c r="B43" s="1226"/>
      <c r="C43" s="1227"/>
      <c r="D43" s="1226"/>
      <c r="E43" s="1228"/>
      <c r="F43" s="1228"/>
      <c r="G43" s="1226"/>
      <c r="H43" s="1229"/>
    </row>
    <row r="44" spans="1:8">
      <c r="A44" s="1226"/>
      <c r="B44" s="1226"/>
      <c r="C44" s="1227"/>
      <c r="D44" s="1226"/>
      <c r="E44" s="1228"/>
      <c r="F44" s="1228"/>
      <c r="G44" s="1226"/>
      <c r="H44" s="1229"/>
    </row>
    <row r="45" spans="1:8">
      <c r="A45" s="1226"/>
      <c r="B45" s="1226"/>
      <c r="C45" s="1227"/>
      <c r="D45" s="1226"/>
      <c r="E45" s="1228"/>
      <c r="F45" s="1228"/>
      <c r="G45" s="1226"/>
      <c r="H45" s="1229"/>
    </row>
    <row r="46" spans="1:8">
      <c r="A46" s="1226"/>
      <c r="B46" s="1226"/>
      <c r="C46" s="1227"/>
      <c r="D46" s="1226"/>
      <c r="E46" s="1228"/>
      <c r="F46" s="1228"/>
      <c r="G46" s="1226"/>
      <c r="H46" s="1229"/>
    </row>
    <row r="47" spans="1:8">
      <c r="A47" s="1226"/>
      <c r="B47" s="1226"/>
      <c r="C47" s="1227"/>
      <c r="D47" s="1226"/>
      <c r="E47" s="1228"/>
      <c r="F47" s="1228"/>
      <c r="G47" s="1226"/>
      <c r="H47" s="1229"/>
    </row>
    <row r="48" spans="1:8">
      <c r="A48" s="1226"/>
      <c r="B48" s="1226"/>
      <c r="C48" s="1227"/>
      <c r="D48" s="1226"/>
      <c r="E48" s="1228"/>
      <c r="F48" s="1228"/>
      <c r="G48" s="1226"/>
      <c r="H48" s="1229"/>
    </row>
    <row r="49" spans="1:8">
      <c r="A49" s="1226"/>
      <c r="B49" s="1226"/>
      <c r="C49" s="1227"/>
      <c r="D49" s="1226"/>
      <c r="E49" s="1228"/>
      <c r="F49" s="1228"/>
      <c r="G49" s="1226"/>
      <c r="H49" s="1229"/>
    </row>
    <row r="50" spans="1:8">
      <c r="A50" s="1226"/>
      <c r="B50" s="1226"/>
      <c r="C50" s="1227"/>
      <c r="D50" s="1226"/>
      <c r="E50" s="1228"/>
      <c r="F50" s="1228"/>
      <c r="G50" s="1226"/>
      <c r="H50" s="1229"/>
    </row>
    <row r="51" spans="1:8">
      <c r="A51" s="1226"/>
      <c r="B51" s="1226"/>
      <c r="C51" s="1227"/>
      <c r="D51" s="1226"/>
      <c r="E51" s="1228"/>
      <c r="F51" s="1228"/>
      <c r="G51" s="1226"/>
      <c r="H51" s="1229"/>
    </row>
    <row r="52" spans="1:8">
      <c r="A52" s="1226"/>
      <c r="B52" s="1226"/>
      <c r="C52" s="1227"/>
      <c r="D52" s="1226"/>
      <c r="E52" s="1228"/>
      <c r="F52" s="1228"/>
      <c r="G52" s="1226"/>
      <c r="H52" s="1229"/>
    </row>
    <row r="53" spans="1:8">
      <c r="A53" s="1226"/>
      <c r="B53" s="1226"/>
      <c r="C53" s="1227"/>
      <c r="D53" s="1226"/>
      <c r="E53" s="1228"/>
      <c r="F53" s="1228"/>
      <c r="G53" s="1226"/>
      <c r="H53" s="1229"/>
    </row>
    <row r="54" spans="1:8">
      <c r="A54" s="1226"/>
      <c r="B54" s="1226"/>
      <c r="C54" s="1227"/>
      <c r="D54" s="1226"/>
      <c r="E54" s="1228"/>
      <c r="F54" s="1228"/>
      <c r="G54" s="1226"/>
      <c r="H54" s="1229"/>
    </row>
    <row r="55" spans="1:8">
      <c r="A55" s="1226"/>
      <c r="B55" s="1226"/>
      <c r="C55" s="1227"/>
      <c r="D55" s="1226"/>
      <c r="E55" s="1228"/>
      <c r="F55" s="1228"/>
      <c r="G55" s="1226"/>
      <c r="H55" s="1229"/>
    </row>
    <row r="56" spans="1:8">
      <c r="A56" s="1226"/>
      <c r="B56" s="1226"/>
      <c r="C56" s="1227"/>
      <c r="D56" s="1226"/>
      <c r="E56" s="1228"/>
      <c r="F56" s="1228"/>
      <c r="G56" s="1226"/>
      <c r="H56" s="1229"/>
    </row>
    <row r="57" spans="1:8">
      <c r="A57" s="1226"/>
      <c r="B57" s="1226"/>
      <c r="C57" s="1227"/>
      <c r="D57" s="1226"/>
      <c r="E57" s="1228"/>
      <c r="F57" s="1228"/>
      <c r="G57" s="1226"/>
      <c r="H57" s="1229"/>
    </row>
    <row r="58" spans="1:8">
      <c r="A58" s="1226"/>
      <c r="B58" s="1226"/>
      <c r="C58" s="1227"/>
      <c r="D58" s="1226"/>
      <c r="E58" s="1228"/>
      <c r="F58" s="1228"/>
      <c r="G58" s="1226"/>
      <c r="H58" s="1229"/>
    </row>
    <row r="59" spans="1:8">
      <c r="A59" s="1226"/>
      <c r="B59" s="1226"/>
      <c r="C59" s="1227"/>
      <c r="D59" s="1226"/>
      <c r="E59" s="1228"/>
      <c r="F59" s="1228"/>
      <c r="G59" s="1226"/>
      <c r="H59" s="1229"/>
    </row>
    <row r="60" spans="1:8">
      <c r="A60" s="1226"/>
      <c r="B60" s="1226"/>
      <c r="C60" s="1227"/>
      <c r="D60" s="1226"/>
      <c r="E60" s="1228"/>
      <c r="F60" s="1228"/>
      <c r="G60" s="1226"/>
      <c r="H60" s="1229"/>
    </row>
    <row r="61" spans="1:8">
      <c r="A61" s="1226"/>
      <c r="B61" s="1226"/>
      <c r="C61" s="1227"/>
      <c r="D61" s="1226"/>
      <c r="E61" s="1228"/>
      <c r="F61" s="1228"/>
      <c r="G61" s="1226"/>
      <c r="H61" s="1229"/>
    </row>
    <row r="62" spans="1:8">
      <c r="A62" s="1226"/>
      <c r="B62" s="1226"/>
      <c r="C62" s="1227"/>
      <c r="D62" s="1226"/>
      <c r="E62" s="1228"/>
      <c r="F62" s="1228"/>
      <c r="G62" s="1226"/>
      <c r="H62" s="1229"/>
    </row>
    <row r="63" spans="1:8">
      <c r="A63" s="1226"/>
      <c r="B63" s="1226"/>
      <c r="C63" s="1227"/>
      <c r="D63" s="1226"/>
      <c r="E63" s="1228"/>
      <c r="F63" s="1228"/>
      <c r="G63" s="1226"/>
      <c r="H63" s="1229"/>
    </row>
    <row r="64" spans="1:8">
      <c r="A64" s="1226"/>
      <c r="B64" s="1226"/>
      <c r="C64" s="1227"/>
      <c r="D64" s="1226"/>
      <c r="E64" s="1228"/>
      <c r="F64" s="1228"/>
      <c r="G64" s="1226"/>
      <c r="H64" s="1229"/>
    </row>
    <row r="65" spans="1:8">
      <c r="A65" s="1226"/>
      <c r="B65" s="1226"/>
      <c r="C65" s="1227"/>
      <c r="D65" s="1226"/>
      <c r="E65" s="1228"/>
      <c r="F65" s="1228"/>
      <c r="G65" s="1226"/>
      <c r="H65" s="1229"/>
    </row>
    <row r="66" spans="1:8">
      <c r="B66" s="1226"/>
      <c r="C66" s="1227"/>
    </row>
    <row r="67" spans="1:8">
      <c r="B67" s="1226"/>
      <c r="C67" s="1227"/>
    </row>
    <row r="68" spans="1:8">
      <c r="B68" s="1226"/>
      <c r="C68" s="1227"/>
    </row>
    <row r="69" spans="1:8">
      <c r="B69" s="1226"/>
      <c r="C69" s="1227"/>
    </row>
    <row r="70" spans="1:8">
      <c r="B70" s="1226"/>
      <c r="C70" s="1227"/>
    </row>
    <row r="71" spans="1:8">
      <c r="B71" s="1226"/>
      <c r="C71" s="1227"/>
    </row>
    <row r="72" spans="1:8">
      <c r="B72" s="1226"/>
      <c r="C72" s="1227"/>
    </row>
    <row r="73" spans="1:8">
      <c r="B73" s="1226"/>
      <c r="C73" s="1227"/>
    </row>
    <row r="74" spans="1:8">
      <c r="B74" s="1226"/>
      <c r="C74" s="1227"/>
    </row>
    <row r="75" spans="1:8">
      <c r="B75" s="1226"/>
      <c r="C75" s="1227"/>
    </row>
    <row r="76" spans="1:8">
      <c r="B76" s="1226"/>
      <c r="C76" s="1227"/>
    </row>
    <row r="77" spans="1:8">
      <c r="B77" s="1226"/>
      <c r="C77" s="1227"/>
    </row>
    <row r="78" spans="1:8">
      <c r="B78" s="1226"/>
      <c r="C78" s="1227"/>
    </row>
    <row r="79" spans="1:8">
      <c r="B79" s="1226"/>
      <c r="C79" s="1227"/>
    </row>
    <row r="80" spans="1:8">
      <c r="B80" s="1226"/>
      <c r="C80" s="1227"/>
    </row>
    <row r="81" spans="2:3">
      <c r="B81" s="1226"/>
      <c r="C81" s="1227"/>
    </row>
    <row r="82" spans="2:3">
      <c r="B82" s="1226"/>
      <c r="C82" s="1227"/>
    </row>
    <row r="83" spans="2:3">
      <c r="B83" s="1226"/>
      <c r="C83" s="1227"/>
    </row>
    <row r="84" spans="2:3">
      <c r="B84" s="1226"/>
      <c r="C84" s="1227"/>
    </row>
    <row r="85" spans="2:3">
      <c r="B85" s="1226"/>
      <c r="C85" s="1227"/>
    </row>
    <row r="86" spans="2:3">
      <c r="B86" s="1226"/>
      <c r="C86" s="1227"/>
    </row>
    <row r="87" spans="2:3">
      <c r="B87" s="1226"/>
      <c r="C87" s="1227"/>
    </row>
    <row r="88" spans="2:3">
      <c r="B88" s="1226"/>
      <c r="C88" s="1227"/>
    </row>
    <row r="89" spans="2:3">
      <c r="B89" s="1226"/>
      <c r="C89" s="1227"/>
    </row>
    <row r="90" spans="2:3">
      <c r="B90" s="1226"/>
      <c r="C90" s="1227"/>
    </row>
    <row r="91" spans="2:3">
      <c r="B91" s="1226"/>
      <c r="C91" s="1227"/>
    </row>
    <row r="92" spans="2:3">
      <c r="B92" s="1226"/>
      <c r="C92" s="1227"/>
    </row>
    <row r="93" spans="2:3">
      <c r="B93" s="1226"/>
      <c r="C93" s="1227"/>
    </row>
    <row r="94" spans="2:3">
      <c r="B94" s="1226"/>
      <c r="C94" s="1227"/>
    </row>
    <row r="95" spans="2:3">
      <c r="B95" s="1226"/>
      <c r="C95" s="1227"/>
    </row>
    <row r="96" spans="2:3">
      <c r="B96" s="1226"/>
      <c r="C96" s="1227"/>
    </row>
    <row r="97" spans="2:3">
      <c r="B97" s="1226"/>
      <c r="C97" s="1227"/>
    </row>
    <row r="98" spans="2:3">
      <c r="B98" s="1226"/>
      <c r="C98" s="1227"/>
    </row>
    <row r="99" spans="2:3">
      <c r="B99" s="1226"/>
      <c r="C99" s="1227"/>
    </row>
    <row r="100" spans="2:3">
      <c r="B100" s="1226"/>
      <c r="C100" s="1227"/>
    </row>
    <row r="101" spans="2:3">
      <c r="B101" s="1226"/>
      <c r="C101" s="1227"/>
    </row>
    <row r="102" spans="2:3">
      <c r="B102" s="1226"/>
      <c r="C102" s="1227"/>
    </row>
    <row r="103" spans="2:3">
      <c r="B103" s="1226"/>
      <c r="C103" s="1227"/>
    </row>
    <row r="104" spans="2:3">
      <c r="B104" s="1226"/>
      <c r="C104" s="1227"/>
    </row>
    <row r="105" spans="2:3">
      <c r="B105" s="1226"/>
      <c r="C105" s="1227"/>
    </row>
    <row r="106" spans="2:3">
      <c r="B106" s="1226"/>
      <c r="C106" s="1227"/>
    </row>
    <row r="107" spans="2:3">
      <c r="B107" s="1226"/>
      <c r="C107" s="1227"/>
    </row>
    <row r="108" spans="2:3">
      <c r="B108" s="1226"/>
      <c r="C108" s="1227"/>
    </row>
    <row r="109" spans="2:3">
      <c r="B109" s="1226"/>
      <c r="C109" s="1227"/>
    </row>
    <row r="110" spans="2:3">
      <c r="B110" s="1226"/>
      <c r="C110" s="1227"/>
    </row>
    <row r="111" spans="2:3">
      <c r="B111" s="1226"/>
      <c r="C111" s="1227"/>
    </row>
  </sheetData>
  <autoFilter ref="A1:H26" xr:uid="{00000000-0009-0000-0000-000008000000}">
    <sortState xmlns:xlrd2="http://schemas.microsoft.com/office/spreadsheetml/2017/richdata2" ref="A2:H26">
      <sortCondition ref="H1:H26"/>
    </sortState>
  </autoFilter>
  <phoneticPr fontId="89" type="noConversion"/>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39997558519241921"/>
  </sheetPr>
  <dimension ref="A1:M104"/>
  <sheetViews>
    <sheetView workbookViewId="0">
      <selection activeCell="M5" sqref="M5"/>
    </sheetView>
  </sheetViews>
  <sheetFormatPr baseColWidth="10" defaultColWidth="11" defaultRowHeight="13.8"/>
  <cols>
    <col min="1" max="2" width="11" style="1224"/>
    <col min="3" max="3" width="25.59765625" style="1224" customWidth="1"/>
    <col min="4" max="4" width="18.59765625" style="1224" bestFit="1" customWidth="1"/>
    <col min="5" max="5" width="12" style="1225" bestFit="1" customWidth="1"/>
    <col min="6" max="6" width="12.59765625" style="1225" bestFit="1" customWidth="1"/>
    <col min="7" max="7" width="22.5" style="1224" bestFit="1" customWidth="1"/>
    <col min="8" max="8" width="11" style="1224"/>
    <col min="9" max="13" width="11" style="1097"/>
    <col min="14" max="16384" width="11" style="1096"/>
  </cols>
  <sheetData>
    <row r="1" spans="1:13" ht="14.4">
      <c r="A1" s="1214" t="s">
        <v>2905</v>
      </c>
      <c r="B1" s="1214" t="s">
        <v>5</v>
      </c>
      <c r="C1" s="1214" t="s">
        <v>2913</v>
      </c>
      <c r="D1" s="1214" t="s">
        <v>2914</v>
      </c>
      <c r="E1" s="1215" t="s">
        <v>2911</v>
      </c>
      <c r="F1" s="1215" t="s">
        <v>2912</v>
      </c>
      <c r="G1" s="1214" t="s">
        <v>2908</v>
      </c>
      <c r="H1" s="1216" t="s">
        <v>2909</v>
      </c>
      <c r="L1" s="1098" t="s">
        <v>2906</v>
      </c>
      <c r="M1" s="1098" t="s">
        <v>2907</v>
      </c>
    </row>
    <row r="2" spans="1:13">
      <c r="A2" s="1218" t="s">
        <v>3474</v>
      </c>
      <c r="B2" s="1218" t="s">
        <v>3475</v>
      </c>
      <c r="C2" s="1217" t="s">
        <v>3476</v>
      </c>
      <c r="D2" s="1217" t="s">
        <v>3477</v>
      </c>
      <c r="E2" s="1347">
        <v>1915</v>
      </c>
      <c r="F2" s="1220">
        <v>0</v>
      </c>
      <c r="G2" s="1217" t="s">
        <v>3478</v>
      </c>
      <c r="H2" s="1221">
        <v>17</v>
      </c>
      <c r="K2" s="1098" t="s">
        <v>2910</v>
      </c>
      <c r="L2" s="1099">
        <f>+SUM(E:E)</f>
        <v>2677576.6100000003</v>
      </c>
      <c r="M2" s="1100">
        <f>+SUM(F:F)</f>
        <v>-1547651.2000000002</v>
      </c>
    </row>
    <row r="3" spans="1:13">
      <c r="A3" s="1218" t="s">
        <v>2922</v>
      </c>
      <c r="B3" s="1218" t="s">
        <v>2933</v>
      </c>
      <c r="C3" s="1217" t="s">
        <v>3366</v>
      </c>
      <c r="D3" s="1217" t="s">
        <v>3479</v>
      </c>
      <c r="E3" s="1347">
        <v>9677.43</v>
      </c>
      <c r="F3" s="1220">
        <v>0</v>
      </c>
      <c r="G3" s="1217" t="s">
        <v>2923</v>
      </c>
      <c r="H3" s="1221">
        <v>472</v>
      </c>
      <c r="K3" s="1124" t="s">
        <v>2953</v>
      </c>
      <c r="L3" s="1404">
        <f>COUNT(E:E)</f>
        <v>103</v>
      </c>
    </row>
    <row r="4" spans="1:13">
      <c r="A4" s="1218" t="s">
        <v>3414</v>
      </c>
      <c r="B4" s="1218" t="s">
        <v>2935</v>
      </c>
      <c r="C4" s="1217" t="s">
        <v>3480</v>
      </c>
      <c r="D4" s="1217" t="s">
        <v>3415</v>
      </c>
      <c r="E4" s="1347">
        <v>29888.9</v>
      </c>
      <c r="F4" s="1220">
        <v>0</v>
      </c>
      <c r="G4" s="1217" t="s">
        <v>3416</v>
      </c>
      <c r="H4" s="1221">
        <v>43</v>
      </c>
    </row>
    <row r="5" spans="1:13">
      <c r="A5" s="1218" t="s">
        <v>3481</v>
      </c>
      <c r="B5" s="1218" t="s">
        <v>2933</v>
      </c>
      <c r="C5" s="1217" t="s">
        <v>3482</v>
      </c>
      <c r="D5" s="1217" t="s">
        <v>3483</v>
      </c>
      <c r="E5" s="1347">
        <v>8679</v>
      </c>
      <c r="F5" s="1220">
        <v>0</v>
      </c>
      <c r="G5" s="1217" t="s">
        <v>3484</v>
      </c>
      <c r="H5" s="1221">
        <v>25</v>
      </c>
      <c r="K5" s="1124" t="s">
        <v>3331</v>
      </c>
      <c r="L5" s="1405">
        <f>+L2/L3</f>
        <v>25995.88941747573</v>
      </c>
    </row>
    <row r="6" spans="1:13">
      <c r="A6" s="1218" t="s">
        <v>3485</v>
      </c>
      <c r="B6" s="1218" t="s">
        <v>2935</v>
      </c>
      <c r="C6" s="1217" t="s">
        <v>3486</v>
      </c>
      <c r="D6" s="1217" t="s">
        <v>3487</v>
      </c>
      <c r="E6" s="1347">
        <v>38915</v>
      </c>
      <c r="F6" s="1220">
        <v>0</v>
      </c>
      <c r="G6" s="1217" t="s">
        <v>3488</v>
      </c>
      <c r="H6" s="1221">
        <v>8</v>
      </c>
    </row>
    <row r="7" spans="1:13">
      <c r="A7" s="1218" t="s">
        <v>3290</v>
      </c>
      <c r="B7" s="1218" t="s">
        <v>2934</v>
      </c>
      <c r="C7" s="1217" t="s">
        <v>3368</v>
      </c>
      <c r="D7" s="1217" t="s">
        <v>3291</v>
      </c>
      <c r="E7" s="1347">
        <v>33876.480000000003</v>
      </c>
      <c r="F7" s="1220">
        <v>0</v>
      </c>
      <c r="G7" s="1217" t="s">
        <v>3292</v>
      </c>
      <c r="H7" s="1221">
        <v>74</v>
      </c>
    </row>
    <row r="8" spans="1:13">
      <c r="A8" s="1218" t="s">
        <v>3384</v>
      </c>
      <c r="B8" s="1218" t="s">
        <v>2935</v>
      </c>
      <c r="C8" s="1217" t="s">
        <v>3368</v>
      </c>
      <c r="D8" s="1217" t="s">
        <v>3291</v>
      </c>
      <c r="E8" s="1347">
        <v>47489.03</v>
      </c>
      <c r="F8" s="1220">
        <v>0</v>
      </c>
      <c r="G8" s="1217" t="s">
        <v>3385</v>
      </c>
      <c r="H8" s="1221">
        <v>57</v>
      </c>
    </row>
    <row r="9" spans="1:13">
      <c r="A9" s="1218" t="s">
        <v>3489</v>
      </c>
      <c r="B9" s="1218" t="s">
        <v>3367</v>
      </c>
      <c r="C9" s="1217" t="s">
        <v>3490</v>
      </c>
      <c r="D9" s="1217" t="s">
        <v>3291</v>
      </c>
      <c r="E9" s="1347">
        <v>21415</v>
      </c>
      <c r="F9" s="1220">
        <v>0</v>
      </c>
      <c r="G9" s="1217" t="s">
        <v>3491</v>
      </c>
      <c r="H9" s="1221">
        <v>10</v>
      </c>
    </row>
    <row r="10" spans="1:13">
      <c r="A10" s="1218" t="s">
        <v>3492</v>
      </c>
      <c r="B10" s="1218" t="s">
        <v>3288</v>
      </c>
      <c r="C10" s="1217" t="s">
        <v>3493</v>
      </c>
      <c r="D10" s="1217" t="s">
        <v>3494</v>
      </c>
      <c r="E10" s="1347">
        <v>3315</v>
      </c>
      <c r="F10" s="1220">
        <v>0</v>
      </c>
      <c r="G10" s="1217" t="s">
        <v>3495</v>
      </c>
      <c r="H10" s="1221">
        <v>17</v>
      </c>
    </row>
    <row r="11" spans="1:13">
      <c r="A11" s="1218" t="s">
        <v>3496</v>
      </c>
      <c r="B11" s="1218" t="s">
        <v>3497</v>
      </c>
      <c r="C11" s="1217" t="s">
        <v>3493</v>
      </c>
      <c r="D11" s="1217" t="s">
        <v>3498</v>
      </c>
      <c r="E11" s="1347">
        <v>1165</v>
      </c>
      <c r="F11" s="1220">
        <v>0</v>
      </c>
      <c r="G11" s="1217" t="s">
        <v>3499</v>
      </c>
      <c r="H11" s="1221">
        <v>15</v>
      </c>
    </row>
    <row r="12" spans="1:13">
      <c r="A12" s="1218" t="s">
        <v>3417</v>
      </c>
      <c r="B12" s="1218" t="s">
        <v>2941</v>
      </c>
      <c r="C12" s="1217" t="s">
        <v>3418</v>
      </c>
      <c r="D12" s="1217" t="s">
        <v>3500</v>
      </c>
      <c r="E12" s="1347">
        <v>20703.23</v>
      </c>
      <c r="F12" s="1220">
        <v>0</v>
      </c>
      <c r="G12" s="1217" t="s">
        <v>3419</v>
      </c>
      <c r="H12" s="1221">
        <v>42</v>
      </c>
    </row>
    <row r="13" spans="1:13">
      <c r="A13" s="1218" t="s">
        <v>3501</v>
      </c>
      <c r="B13" s="1218" t="s">
        <v>2935</v>
      </c>
      <c r="C13" s="1217" t="s">
        <v>3502</v>
      </c>
      <c r="D13" s="1217" t="s">
        <v>3503</v>
      </c>
      <c r="E13" s="1347">
        <v>12765</v>
      </c>
      <c r="F13" s="1220">
        <v>0</v>
      </c>
      <c r="G13" s="1217" t="s">
        <v>3504</v>
      </c>
      <c r="H13" s="1221">
        <v>11</v>
      </c>
    </row>
    <row r="14" spans="1:13">
      <c r="A14" s="1218" t="s">
        <v>3505</v>
      </c>
      <c r="B14" s="1218" t="s">
        <v>2935</v>
      </c>
      <c r="C14" s="1217" t="s">
        <v>3506</v>
      </c>
      <c r="D14" s="1217" t="s">
        <v>3299</v>
      </c>
      <c r="E14" s="1347">
        <v>36175</v>
      </c>
      <c r="F14" s="1220">
        <v>-31950</v>
      </c>
      <c r="G14" s="1217" t="s">
        <v>3507</v>
      </c>
      <c r="H14" s="1221">
        <v>37</v>
      </c>
    </row>
    <row r="15" spans="1:13">
      <c r="A15" s="1218" t="s">
        <v>3298</v>
      </c>
      <c r="B15" s="1218" t="s">
        <v>2938</v>
      </c>
      <c r="C15" s="1217" t="s">
        <v>3506</v>
      </c>
      <c r="D15" s="1217" t="s">
        <v>3299</v>
      </c>
      <c r="E15" s="1347">
        <v>42444.1</v>
      </c>
      <c r="F15" s="1220">
        <v>-37125</v>
      </c>
      <c r="G15" s="1217" t="s">
        <v>3300</v>
      </c>
      <c r="H15" s="1221">
        <v>80</v>
      </c>
    </row>
    <row r="16" spans="1:13">
      <c r="A16" s="1218" t="s">
        <v>3301</v>
      </c>
      <c r="B16" s="1218" t="s">
        <v>2934</v>
      </c>
      <c r="C16" s="1217" t="s">
        <v>3506</v>
      </c>
      <c r="D16" s="1217" t="s">
        <v>2901</v>
      </c>
      <c r="E16" s="1347">
        <v>31425.01</v>
      </c>
      <c r="F16" s="1220">
        <v>-22340</v>
      </c>
      <c r="G16" s="1217" t="s">
        <v>3302</v>
      </c>
      <c r="H16" s="1221">
        <v>86</v>
      </c>
    </row>
    <row r="17" spans="1:8">
      <c r="A17" s="1218" t="s">
        <v>3508</v>
      </c>
      <c r="B17" s="1218" t="s">
        <v>2934</v>
      </c>
      <c r="C17" s="1217" t="s">
        <v>3506</v>
      </c>
      <c r="D17" s="1217" t="s">
        <v>2901</v>
      </c>
      <c r="E17" s="1347">
        <v>37165</v>
      </c>
      <c r="F17" s="1220">
        <v>-33075</v>
      </c>
      <c r="G17" s="1217" t="s">
        <v>3509</v>
      </c>
      <c r="H17" s="1221">
        <v>9</v>
      </c>
    </row>
    <row r="18" spans="1:8">
      <c r="A18" s="1218" t="s">
        <v>3284</v>
      </c>
      <c r="B18" s="1218" t="s">
        <v>2934</v>
      </c>
      <c r="C18" s="1217" t="s">
        <v>3506</v>
      </c>
      <c r="D18" s="1217" t="s">
        <v>2901</v>
      </c>
      <c r="E18" s="1347">
        <v>38017.550000000003</v>
      </c>
      <c r="F18" s="1220">
        <v>0</v>
      </c>
      <c r="G18" s="1217" t="s">
        <v>3285</v>
      </c>
      <c r="H18" s="1221">
        <v>71</v>
      </c>
    </row>
    <row r="19" spans="1:8">
      <c r="A19" s="1218" t="s">
        <v>3369</v>
      </c>
      <c r="B19" s="1218" t="s">
        <v>2934</v>
      </c>
      <c r="C19" s="1217" t="s">
        <v>3506</v>
      </c>
      <c r="D19" s="1217" t="s">
        <v>2901</v>
      </c>
      <c r="E19" s="1347">
        <v>38359.620000000003</v>
      </c>
      <c r="F19" s="1220">
        <v>-35719.269999999997</v>
      </c>
      <c r="G19" s="1217" t="s">
        <v>3370</v>
      </c>
      <c r="H19" s="1221">
        <v>70</v>
      </c>
    </row>
    <row r="20" spans="1:8">
      <c r="A20" s="1218" t="s">
        <v>3406</v>
      </c>
      <c r="B20" s="1218" t="s">
        <v>2934</v>
      </c>
      <c r="C20" s="1217" t="s">
        <v>3506</v>
      </c>
      <c r="D20" s="1217" t="s">
        <v>2901</v>
      </c>
      <c r="E20" s="1347">
        <v>42109.05</v>
      </c>
      <c r="F20" s="1220">
        <v>-35100</v>
      </c>
      <c r="G20" s="1217" t="s">
        <v>3407</v>
      </c>
      <c r="H20" s="1221">
        <v>45</v>
      </c>
    </row>
    <row r="21" spans="1:8">
      <c r="A21" s="1218" t="s">
        <v>3262</v>
      </c>
      <c r="B21" s="1218" t="s">
        <v>2935</v>
      </c>
      <c r="C21" s="1217" t="s">
        <v>3506</v>
      </c>
      <c r="D21" s="1217" t="s">
        <v>2901</v>
      </c>
      <c r="E21" s="1347">
        <v>39067.93</v>
      </c>
      <c r="F21" s="1220">
        <v>-28243.18</v>
      </c>
      <c r="G21" s="1217" t="s">
        <v>3263</v>
      </c>
      <c r="H21" s="1221">
        <v>106</v>
      </c>
    </row>
    <row r="22" spans="1:8">
      <c r="A22" s="1218" t="s">
        <v>3510</v>
      </c>
      <c r="B22" s="1218" t="s">
        <v>2935</v>
      </c>
      <c r="C22" s="1217" t="s">
        <v>3506</v>
      </c>
      <c r="D22" s="1217" t="s">
        <v>2901</v>
      </c>
      <c r="E22" s="1347">
        <v>44415</v>
      </c>
      <c r="F22" s="1347">
        <v>-36984.92</v>
      </c>
      <c r="G22" s="1217" t="s">
        <v>3511</v>
      </c>
      <c r="H22" s="1221">
        <v>29</v>
      </c>
    </row>
    <row r="23" spans="1:8">
      <c r="A23" s="1218" t="s">
        <v>3286</v>
      </c>
      <c r="B23" s="1218" t="s">
        <v>2935</v>
      </c>
      <c r="C23" s="1217" t="s">
        <v>3506</v>
      </c>
      <c r="D23" s="1217" t="s">
        <v>2901</v>
      </c>
      <c r="E23" s="1347">
        <v>46066.37</v>
      </c>
      <c r="F23" s="1347">
        <v>-32985.120000000003</v>
      </c>
      <c r="G23" s="1217" t="s">
        <v>3287</v>
      </c>
      <c r="H23" s="1221">
        <v>71</v>
      </c>
    </row>
    <row r="24" spans="1:8">
      <c r="A24" s="1218" t="s">
        <v>3410</v>
      </c>
      <c r="B24" s="1218" t="s">
        <v>2927</v>
      </c>
      <c r="C24" s="1217" t="s">
        <v>3506</v>
      </c>
      <c r="D24" s="1217" t="s">
        <v>2901</v>
      </c>
      <c r="E24" s="1347">
        <v>35591.1</v>
      </c>
      <c r="F24" s="1220">
        <v>0</v>
      </c>
      <c r="G24" s="1217" t="s">
        <v>3411</v>
      </c>
      <c r="H24" s="1221">
        <v>38</v>
      </c>
    </row>
    <row r="25" spans="1:8">
      <c r="A25" s="1218" t="s">
        <v>3512</v>
      </c>
      <c r="B25" s="1218" t="s">
        <v>2938</v>
      </c>
      <c r="C25" s="1217" t="s">
        <v>3506</v>
      </c>
      <c r="D25" s="1217" t="s">
        <v>3389</v>
      </c>
      <c r="E25" s="1347">
        <v>51105.45</v>
      </c>
      <c r="F25" s="1220">
        <v>-51139.96</v>
      </c>
      <c r="G25" s="1217" t="s">
        <v>3513</v>
      </c>
      <c r="H25" s="1221">
        <v>154</v>
      </c>
    </row>
    <row r="26" spans="1:8">
      <c r="A26" s="1218" t="s">
        <v>3388</v>
      </c>
      <c r="B26" s="1218" t="s">
        <v>2927</v>
      </c>
      <c r="C26" s="1217" t="s">
        <v>3506</v>
      </c>
      <c r="D26" s="1217" t="s">
        <v>3389</v>
      </c>
      <c r="E26" s="1347">
        <v>51390</v>
      </c>
      <c r="F26" s="1220">
        <v>-45450</v>
      </c>
      <c r="G26" s="1217" t="s">
        <v>3390</v>
      </c>
      <c r="H26" s="1221">
        <v>56</v>
      </c>
    </row>
    <row r="27" spans="1:8">
      <c r="A27" s="1218" t="s">
        <v>3514</v>
      </c>
      <c r="B27" s="1218" t="s">
        <v>2935</v>
      </c>
      <c r="C27" s="1217" t="s">
        <v>3506</v>
      </c>
      <c r="D27" s="1217" t="s">
        <v>3515</v>
      </c>
      <c r="E27" s="1347">
        <v>35415</v>
      </c>
      <c r="F27" s="1220">
        <v>0</v>
      </c>
      <c r="G27" s="1217" t="s">
        <v>3516</v>
      </c>
      <c r="H27" s="1221">
        <v>3</v>
      </c>
    </row>
    <row r="28" spans="1:8">
      <c r="A28" s="1218" t="s">
        <v>3517</v>
      </c>
      <c r="B28" s="1218" t="s">
        <v>2936</v>
      </c>
      <c r="C28" s="1217" t="s">
        <v>3506</v>
      </c>
      <c r="D28" s="1217" t="s">
        <v>3518</v>
      </c>
      <c r="E28" s="1347">
        <v>19070</v>
      </c>
      <c r="F28" s="1220">
        <v>-16560</v>
      </c>
      <c r="G28" s="1217" t="s">
        <v>3519</v>
      </c>
      <c r="H28" s="1221">
        <v>15</v>
      </c>
    </row>
    <row r="29" spans="1:8">
      <c r="A29" s="1218" t="s">
        <v>3371</v>
      </c>
      <c r="B29" s="1218" t="s">
        <v>2937</v>
      </c>
      <c r="C29" s="1217" t="s">
        <v>3506</v>
      </c>
      <c r="D29" s="1217" t="s">
        <v>2919</v>
      </c>
      <c r="E29" s="1347">
        <v>12468.02</v>
      </c>
      <c r="F29" s="1347">
        <v>-10125</v>
      </c>
      <c r="G29" s="1217" t="s">
        <v>3372</v>
      </c>
      <c r="H29" s="1221">
        <v>66</v>
      </c>
    </row>
    <row r="30" spans="1:8">
      <c r="A30" s="1218" t="s">
        <v>3520</v>
      </c>
      <c r="B30" s="1218" t="s">
        <v>2937</v>
      </c>
      <c r="C30" s="1217" t="s">
        <v>3506</v>
      </c>
      <c r="D30" s="1217" t="s">
        <v>2919</v>
      </c>
      <c r="E30" s="1347">
        <v>14170</v>
      </c>
      <c r="F30" s="1220">
        <v>-12320.39</v>
      </c>
      <c r="G30" s="1217" t="s">
        <v>3521</v>
      </c>
      <c r="H30" s="1221">
        <v>9</v>
      </c>
    </row>
    <row r="31" spans="1:8">
      <c r="A31" s="1218" t="s">
        <v>3522</v>
      </c>
      <c r="B31" s="1218" t="s">
        <v>2934</v>
      </c>
      <c r="C31" s="1217" t="s">
        <v>3506</v>
      </c>
      <c r="D31" s="1217" t="s">
        <v>2919</v>
      </c>
      <c r="E31" s="1347">
        <v>14250</v>
      </c>
      <c r="F31" s="1220">
        <v>0</v>
      </c>
      <c r="G31" s="1217" t="s">
        <v>3523</v>
      </c>
      <c r="H31" s="1221">
        <v>2</v>
      </c>
    </row>
    <row r="32" spans="1:8">
      <c r="A32" s="1218" t="s">
        <v>3524</v>
      </c>
      <c r="B32" s="1218" t="s">
        <v>2934</v>
      </c>
      <c r="C32" s="1217" t="s">
        <v>3506</v>
      </c>
      <c r="D32" s="1217" t="s">
        <v>2919</v>
      </c>
      <c r="E32" s="1347">
        <v>14665</v>
      </c>
      <c r="F32" s="1220">
        <v>-11373</v>
      </c>
      <c r="G32" s="1217" t="s">
        <v>3525</v>
      </c>
      <c r="H32" s="1221">
        <v>11</v>
      </c>
    </row>
    <row r="33" spans="1:8">
      <c r="A33" s="1218" t="s">
        <v>3526</v>
      </c>
      <c r="B33" s="1218" t="s">
        <v>2934</v>
      </c>
      <c r="C33" s="1217" t="s">
        <v>3506</v>
      </c>
      <c r="D33" s="1217" t="s">
        <v>2919</v>
      </c>
      <c r="E33" s="1347">
        <v>17658.7</v>
      </c>
      <c r="F33" s="1220">
        <v>-10926</v>
      </c>
      <c r="G33" s="1217" t="s">
        <v>3527</v>
      </c>
      <c r="H33" s="1221">
        <v>25</v>
      </c>
    </row>
    <row r="34" spans="1:8">
      <c r="A34" s="1218" t="s">
        <v>3528</v>
      </c>
      <c r="B34" s="1218" t="s">
        <v>2935</v>
      </c>
      <c r="C34" s="1217" t="s">
        <v>3506</v>
      </c>
      <c r="D34" s="1217" t="s">
        <v>2919</v>
      </c>
      <c r="E34" s="1347">
        <v>21670</v>
      </c>
      <c r="F34" s="1220">
        <v>-14978.8</v>
      </c>
      <c r="G34" s="1217" t="s">
        <v>3529</v>
      </c>
      <c r="H34" s="1221">
        <v>17</v>
      </c>
    </row>
    <row r="35" spans="1:8">
      <c r="A35" s="1218" t="s">
        <v>3530</v>
      </c>
      <c r="B35" s="1218" t="s">
        <v>2927</v>
      </c>
      <c r="C35" s="1217" t="s">
        <v>3506</v>
      </c>
      <c r="D35" s="1217" t="s">
        <v>2919</v>
      </c>
      <c r="E35" s="1347">
        <v>25915</v>
      </c>
      <c r="F35" s="1220">
        <v>0</v>
      </c>
      <c r="G35" s="1217" t="s">
        <v>3531</v>
      </c>
      <c r="H35" s="1221">
        <v>3</v>
      </c>
    </row>
    <row r="36" spans="1:8">
      <c r="A36" s="1218" t="s">
        <v>3377</v>
      </c>
      <c r="B36" s="1218" t="s">
        <v>2941</v>
      </c>
      <c r="C36" s="1217" t="s">
        <v>3506</v>
      </c>
      <c r="D36" s="1217" t="s">
        <v>3378</v>
      </c>
      <c r="E36" s="1347">
        <v>12669.53</v>
      </c>
      <c r="F36" s="1347">
        <v>0</v>
      </c>
      <c r="G36" s="1217" t="s">
        <v>3379</v>
      </c>
      <c r="H36" s="1221">
        <v>60</v>
      </c>
    </row>
    <row r="37" spans="1:8">
      <c r="A37" s="1218" t="s">
        <v>2939</v>
      </c>
      <c r="B37" s="1218" t="s">
        <v>2934</v>
      </c>
      <c r="C37" s="1217" t="s">
        <v>3506</v>
      </c>
      <c r="D37" s="1217" t="s">
        <v>2926</v>
      </c>
      <c r="E37" s="1347">
        <v>22793.59</v>
      </c>
      <c r="F37" s="1347">
        <v>0</v>
      </c>
      <c r="G37" s="1217" t="s">
        <v>2940</v>
      </c>
      <c r="H37" s="1221">
        <v>238</v>
      </c>
    </row>
    <row r="38" spans="1:8">
      <c r="A38" s="1218" t="s">
        <v>3532</v>
      </c>
      <c r="B38" s="1218" t="s">
        <v>2935</v>
      </c>
      <c r="C38" s="1217" t="s">
        <v>3506</v>
      </c>
      <c r="D38" s="1217" t="s">
        <v>2926</v>
      </c>
      <c r="E38" s="1347">
        <v>18735.53</v>
      </c>
      <c r="F38" s="1347">
        <v>-17601</v>
      </c>
      <c r="G38" s="1217" t="s">
        <v>3533</v>
      </c>
      <c r="H38" s="1221">
        <v>10</v>
      </c>
    </row>
    <row r="39" spans="1:8">
      <c r="A39" s="1218" t="s">
        <v>3267</v>
      </c>
      <c r="B39" s="1218" t="s">
        <v>2935</v>
      </c>
      <c r="C39" s="1217" t="s">
        <v>3506</v>
      </c>
      <c r="D39" s="1217" t="s">
        <v>2926</v>
      </c>
      <c r="E39" s="1347">
        <v>31675.93</v>
      </c>
      <c r="F39" s="1220">
        <v>-27450</v>
      </c>
      <c r="G39" s="1217" t="s">
        <v>3268</v>
      </c>
      <c r="H39" s="1221">
        <v>127</v>
      </c>
    </row>
    <row r="40" spans="1:8">
      <c r="A40" s="1218" t="s">
        <v>3534</v>
      </c>
      <c r="B40" s="1218" t="s">
        <v>2941</v>
      </c>
      <c r="C40" s="1217" t="s">
        <v>3506</v>
      </c>
      <c r="D40" s="1217" t="s">
        <v>2924</v>
      </c>
      <c r="E40" s="1347">
        <v>17170</v>
      </c>
      <c r="F40" s="1220">
        <v>-14850</v>
      </c>
      <c r="G40" s="1217" t="s">
        <v>3535</v>
      </c>
      <c r="H40" s="1221">
        <v>7</v>
      </c>
    </row>
    <row r="41" spans="1:8">
      <c r="A41" s="1218" t="s">
        <v>3536</v>
      </c>
      <c r="B41" s="1218" t="s">
        <v>2941</v>
      </c>
      <c r="C41" s="1217" t="s">
        <v>3506</v>
      </c>
      <c r="D41" s="1217" t="s">
        <v>2924</v>
      </c>
      <c r="E41" s="1347">
        <v>21239.53</v>
      </c>
      <c r="F41" s="1220">
        <v>0</v>
      </c>
      <c r="G41" s="1217" t="s">
        <v>3537</v>
      </c>
      <c r="H41" s="1221">
        <v>15</v>
      </c>
    </row>
    <row r="42" spans="1:8">
      <c r="A42" s="1218" t="s">
        <v>3420</v>
      </c>
      <c r="B42" s="1218" t="s">
        <v>2936</v>
      </c>
      <c r="C42" s="1217" t="s">
        <v>3506</v>
      </c>
      <c r="D42" s="1217" t="s">
        <v>2924</v>
      </c>
      <c r="E42" s="1347">
        <v>22637.73</v>
      </c>
      <c r="F42" s="1220">
        <v>-19575</v>
      </c>
      <c r="G42" s="1217" t="s">
        <v>3421</v>
      </c>
      <c r="H42" s="1221">
        <v>42</v>
      </c>
    </row>
    <row r="43" spans="1:8">
      <c r="A43" s="1218" t="s">
        <v>3538</v>
      </c>
      <c r="B43" s="1218" t="s">
        <v>2935</v>
      </c>
      <c r="C43" s="1217" t="s">
        <v>3506</v>
      </c>
      <c r="D43" s="1217" t="s">
        <v>2924</v>
      </c>
      <c r="E43" s="1347">
        <v>30139.83</v>
      </c>
      <c r="F43" s="1220">
        <v>-26100</v>
      </c>
      <c r="G43" s="1217" t="s">
        <v>3539</v>
      </c>
      <c r="H43" s="1221">
        <v>14</v>
      </c>
    </row>
    <row r="44" spans="1:8">
      <c r="A44" s="1218" t="s">
        <v>3540</v>
      </c>
      <c r="B44" s="1218" t="s">
        <v>2935</v>
      </c>
      <c r="C44" s="1217" t="s">
        <v>3506</v>
      </c>
      <c r="D44" s="1217" t="s">
        <v>2924</v>
      </c>
      <c r="E44" s="1347">
        <v>32170</v>
      </c>
      <c r="F44" s="1220">
        <v>-28350</v>
      </c>
      <c r="G44" s="1217" t="s">
        <v>3541</v>
      </c>
      <c r="H44" s="1221">
        <v>7</v>
      </c>
    </row>
    <row r="45" spans="1:8">
      <c r="A45" s="1218" t="s">
        <v>3542</v>
      </c>
      <c r="B45" s="1218" t="s">
        <v>2927</v>
      </c>
      <c r="C45" s="1217" t="s">
        <v>3506</v>
      </c>
      <c r="D45" s="1217" t="s">
        <v>2924</v>
      </c>
      <c r="E45" s="1347">
        <v>38636.11</v>
      </c>
      <c r="F45" s="1220">
        <v>-33525</v>
      </c>
      <c r="G45" s="1217" t="s">
        <v>3543</v>
      </c>
      <c r="H45" s="1221">
        <v>37</v>
      </c>
    </row>
    <row r="46" spans="1:8">
      <c r="A46" s="1218" t="s">
        <v>3544</v>
      </c>
      <c r="B46" s="1218" t="s">
        <v>2934</v>
      </c>
      <c r="C46" s="1217" t="s">
        <v>3506</v>
      </c>
      <c r="D46" s="1217" t="s">
        <v>2952</v>
      </c>
      <c r="E46" s="1347">
        <v>35670</v>
      </c>
      <c r="F46" s="1347">
        <v>-21456</v>
      </c>
      <c r="G46" s="1217" t="s">
        <v>3545</v>
      </c>
      <c r="H46" s="1221">
        <v>15</v>
      </c>
    </row>
    <row r="47" spans="1:8">
      <c r="A47" s="1218" t="s">
        <v>3303</v>
      </c>
      <c r="B47" s="1218" t="s">
        <v>2934</v>
      </c>
      <c r="C47" s="1217" t="s">
        <v>3506</v>
      </c>
      <c r="D47" s="1217" t="s">
        <v>2952</v>
      </c>
      <c r="E47" s="1347">
        <v>38040.32</v>
      </c>
      <c r="F47" s="1220">
        <v>-32617.9</v>
      </c>
      <c r="G47" s="1217" t="s">
        <v>3304</v>
      </c>
      <c r="H47" s="1221">
        <v>87</v>
      </c>
    </row>
    <row r="48" spans="1:8">
      <c r="A48" s="1218" t="s">
        <v>3400</v>
      </c>
      <c r="B48" s="1218" t="s">
        <v>2934</v>
      </c>
      <c r="C48" s="1217" t="s">
        <v>3506</v>
      </c>
      <c r="D48" s="1217" t="s">
        <v>2952</v>
      </c>
      <c r="E48" s="1347">
        <v>38398.94</v>
      </c>
      <c r="F48" s="1220">
        <v>-20191</v>
      </c>
      <c r="G48" s="1217" t="s">
        <v>3401</v>
      </c>
      <c r="H48" s="1221">
        <v>49</v>
      </c>
    </row>
    <row r="49" spans="1:8">
      <c r="A49" s="1218" t="s">
        <v>3382</v>
      </c>
      <c r="B49" s="1218" t="s">
        <v>2934</v>
      </c>
      <c r="C49" s="1217" t="s">
        <v>3506</v>
      </c>
      <c r="D49" s="1217" t="s">
        <v>2952</v>
      </c>
      <c r="E49" s="1347">
        <v>40700</v>
      </c>
      <c r="F49" s="1220">
        <v>-35550</v>
      </c>
      <c r="G49" s="1217" t="s">
        <v>3383</v>
      </c>
      <c r="H49" s="1221">
        <v>58</v>
      </c>
    </row>
    <row r="50" spans="1:8">
      <c r="A50" s="1218" t="s">
        <v>3546</v>
      </c>
      <c r="B50" s="1218" t="s">
        <v>2928</v>
      </c>
      <c r="C50" s="1217" t="s">
        <v>3506</v>
      </c>
      <c r="D50" s="1217" t="s">
        <v>2952</v>
      </c>
      <c r="E50" s="1347">
        <v>56043.95</v>
      </c>
      <c r="F50" s="1220">
        <v>0</v>
      </c>
      <c r="G50" s="1217" t="s">
        <v>3547</v>
      </c>
      <c r="H50" s="1221">
        <v>3</v>
      </c>
    </row>
    <row r="51" spans="1:8">
      <c r="A51" s="1218" t="s">
        <v>3548</v>
      </c>
      <c r="B51" s="1218" t="s">
        <v>2934</v>
      </c>
      <c r="C51" s="1217" t="s">
        <v>3506</v>
      </c>
      <c r="D51" s="1217" t="s">
        <v>3396</v>
      </c>
      <c r="E51" s="1347">
        <v>21175</v>
      </c>
      <c r="F51" s="1220">
        <v>-13460</v>
      </c>
      <c r="G51" s="1217" t="s">
        <v>3549</v>
      </c>
      <c r="H51" s="1221">
        <v>14</v>
      </c>
    </row>
    <row r="52" spans="1:8">
      <c r="A52" s="1218" t="s">
        <v>3395</v>
      </c>
      <c r="B52" s="1218" t="s">
        <v>2935</v>
      </c>
      <c r="C52" s="1217" t="s">
        <v>3506</v>
      </c>
      <c r="D52" s="1217" t="s">
        <v>3396</v>
      </c>
      <c r="E52" s="1347">
        <v>26499.58</v>
      </c>
      <c r="F52" s="1220">
        <v>-18565.099999999999</v>
      </c>
      <c r="G52" s="1217" t="s">
        <v>3397</v>
      </c>
      <c r="H52" s="1221">
        <v>50</v>
      </c>
    </row>
    <row r="53" spans="1:8">
      <c r="A53" s="1218" t="s">
        <v>3295</v>
      </c>
      <c r="B53" s="1218" t="s">
        <v>3264</v>
      </c>
      <c r="C53" s="1217" t="s">
        <v>3506</v>
      </c>
      <c r="D53" s="1217" t="s">
        <v>3296</v>
      </c>
      <c r="E53" s="1347">
        <v>10455.65</v>
      </c>
      <c r="F53" s="1220">
        <v>0</v>
      </c>
      <c r="G53" s="1217" t="s">
        <v>3297</v>
      </c>
      <c r="H53" s="1221">
        <v>80</v>
      </c>
    </row>
    <row r="54" spans="1:8">
      <c r="A54" s="1218" t="s">
        <v>3550</v>
      </c>
      <c r="B54" s="1218" t="s">
        <v>2935</v>
      </c>
      <c r="C54" s="1217" t="s">
        <v>3506</v>
      </c>
      <c r="D54" s="1217" t="s">
        <v>2920</v>
      </c>
      <c r="E54" s="1347">
        <v>18316.03</v>
      </c>
      <c r="F54" s="1347">
        <v>-15564.51</v>
      </c>
      <c r="G54" s="1217" t="s">
        <v>3551</v>
      </c>
      <c r="H54" s="1221">
        <v>28</v>
      </c>
    </row>
    <row r="55" spans="1:8">
      <c r="A55" s="1218" t="s">
        <v>3552</v>
      </c>
      <c r="B55" s="1218" t="s">
        <v>2935</v>
      </c>
      <c r="C55" s="1217" t="s">
        <v>3506</v>
      </c>
      <c r="D55" s="1217" t="s">
        <v>2920</v>
      </c>
      <c r="E55" s="1347">
        <v>19670</v>
      </c>
      <c r="F55" s="1220">
        <v>-17100</v>
      </c>
      <c r="G55" s="1217" t="s">
        <v>3553</v>
      </c>
      <c r="H55" s="1221">
        <v>7</v>
      </c>
    </row>
    <row r="56" spans="1:8">
      <c r="A56" s="1218" t="s">
        <v>3554</v>
      </c>
      <c r="B56" s="1218" t="s">
        <v>2935</v>
      </c>
      <c r="C56" s="1217" t="s">
        <v>3506</v>
      </c>
      <c r="D56" s="1217" t="s">
        <v>2920</v>
      </c>
      <c r="E56" s="1347">
        <v>21675</v>
      </c>
      <c r="F56" s="1347">
        <v>-16843.55</v>
      </c>
      <c r="G56" s="1217" t="s">
        <v>3555</v>
      </c>
      <c r="H56" s="1221">
        <v>14</v>
      </c>
    </row>
    <row r="57" spans="1:8">
      <c r="A57" s="1218" t="s">
        <v>3556</v>
      </c>
      <c r="B57" s="1218" t="s">
        <v>2935</v>
      </c>
      <c r="C57" s="1217" t="s">
        <v>3506</v>
      </c>
      <c r="D57" s="1217" t="s">
        <v>2920</v>
      </c>
      <c r="E57" s="1347">
        <v>22170</v>
      </c>
      <c r="F57" s="1347">
        <v>-14120.56</v>
      </c>
      <c r="G57" s="1217" t="s">
        <v>3557</v>
      </c>
      <c r="H57" s="1221">
        <v>15</v>
      </c>
    </row>
    <row r="58" spans="1:8">
      <c r="A58" s="1218" t="s">
        <v>3558</v>
      </c>
      <c r="B58" s="1218" t="s">
        <v>2935</v>
      </c>
      <c r="C58" s="1217" t="s">
        <v>3506</v>
      </c>
      <c r="D58" s="1217" t="s">
        <v>2920</v>
      </c>
      <c r="E58" s="1347">
        <v>22670</v>
      </c>
      <c r="F58" s="1220">
        <v>-19070.88</v>
      </c>
      <c r="G58" s="1217" t="s">
        <v>3559</v>
      </c>
      <c r="H58" s="1221">
        <v>14</v>
      </c>
    </row>
    <row r="59" spans="1:8">
      <c r="A59" s="1218" t="s">
        <v>3560</v>
      </c>
      <c r="B59" s="1218" t="s">
        <v>2935</v>
      </c>
      <c r="C59" s="1217" t="s">
        <v>3506</v>
      </c>
      <c r="D59" s="1217" t="s">
        <v>2920</v>
      </c>
      <c r="E59" s="1347">
        <v>23475</v>
      </c>
      <c r="F59" s="1220">
        <v>-14612</v>
      </c>
      <c r="G59" s="1217" t="s">
        <v>3561</v>
      </c>
      <c r="H59" s="1221">
        <v>14</v>
      </c>
    </row>
    <row r="60" spans="1:8">
      <c r="A60" s="1218" t="s">
        <v>3402</v>
      </c>
      <c r="B60" s="1218" t="s">
        <v>2935</v>
      </c>
      <c r="C60" s="1217" t="s">
        <v>3506</v>
      </c>
      <c r="D60" s="1217" t="s">
        <v>2920</v>
      </c>
      <c r="E60" s="1347">
        <v>24825.27</v>
      </c>
      <c r="F60" s="1347">
        <v>-19620</v>
      </c>
      <c r="G60" s="1217" t="s">
        <v>3403</v>
      </c>
      <c r="H60" s="1221">
        <v>49</v>
      </c>
    </row>
    <row r="61" spans="1:8">
      <c r="A61" s="1218" t="s">
        <v>3562</v>
      </c>
      <c r="B61" s="1218" t="s">
        <v>2938</v>
      </c>
      <c r="C61" s="1217" t="s">
        <v>3506</v>
      </c>
      <c r="D61" s="1217" t="s">
        <v>3563</v>
      </c>
      <c r="E61" s="1347">
        <v>24220.58</v>
      </c>
      <c r="F61" s="1347">
        <v>-25533.11</v>
      </c>
      <c r="G61" s="1217" t="s">
        <v>3564</v>
      </c>
      <c r="H61" s="1221">
        <v>15</v>
      </c>
    </row>
    <row r="62" spans="1:8">
      <c r="A62" s="1218" t="s">
        <v>3565</v>
      </c>
      <c r="B62" s="1218" t="s">
        <v>3289</v>
      </c>
      <c r="C62" s="1217" t="s">
        <v>3506</v>
      </c>
      <c r="D62" s="1217" t="s">
        <v>2925</v>
      </c>
      <c r="E62" s="1347">
        <v>2165</v>
      </c>
      <c r="F62" s="1220">
        <v>0</v>
      </c>
      <c r="G62" s="1217" t="s">
        <v>3566</v>
      </c>
      <c r="H62" s="1221">
        <v>16</v>
      </c>
    </row>
    <row r="63" spans="1:8">
      <c r="A63" s="1218" t="s">
        <v>3567</v>
      </c>
      <c r="B63" s="1218" t="s">
        <v>3264</v>
      </c>
      <c r="C63" s="1217" t="s">
        <v>3506</v>
      </c>
      <c r="D63" s="1217" t="s">
        <v>2925</v>
      </c>
      <c r="E63" s="1347">
        <v>8990.8799999999992</v>
      </c>
      <c r="F63" s="1347">
        <v>0</v>
      </c>
      <c r="G63" s="1217" t="s">
        <v>3568</v>
      </c>
      <c r="H63" s="1221">
        <v>39</v>
      </c>
    </row>
    <row r="64" spans="1:8">
      <c r="A64" s="1218" t="s">
        <v>3569</v>
      </c>
      <c r="B64" s="1218" t="s">
        <v>2937</v>
      </c>
      <c r="C64" s="1217" t="s">
        <v>3506</v>
      </c>
      <c r="D64" s="1217" t="s">
        <v>2925</v>
      </c>
      <c r="E64" s="1347">
        <v>10675</v>
      </c>
      <c r="F64" s="1347">
        <v>0</v>
      </c>
      <c r="G64" s="1217" t="s">
        <v>3570</v>
      </c>
      <c r="H64" s="1221">
        <v>16</v>
      </c>
    </row>
    <row r="65" spans="1:13">
      <c r="A65" s="1218" t="s">
        <v>3391</v>
      </c>
      <c r="B65" s="1218" t="s">
        <v>2937</v>
      </c>
      <c r="C65" s="1217" t="s">
        <v>3506</v>
      </c>
      <c r="D65" s="1217" t="s">
        <v>2925</v>
      </c>
      <c r="E65" s="1347">
        <v>14127.93</v>
      </c>
      <c r="F65" s="1347">
        <v>0</v>
      </c>
      <c r="G65" s="1217" t="s">
        <v>3392</v>
      </c>
      <c r="H65" s="1221">
        <v>53</v>
      </c>
    </row>
    <row r="66" spans="1:13" s="1231" customFormat="1">
      <c r="A66" s="1218" t="s">
        <v>3404</v>
      </c>
      <c r="B66" s="1218" t="s">
        <v>2936</v>
      </c>
      <c r="C66" s="1217" t="s">
        <v>3506</v>
      </c>
      <c r="D66" s="1217" t="s">
        <v>2925</v>
      </c>
      <c r="E66" s="1347">
        <v>13261.68</v>
      </c>
      <c r="F66" s="1347">
        <v>0</v>
      </c>
      <c r="G66" s="1217" t="s">
        <v>3405</v>
      </c>
      <c r="H66" s="1221">
        <v>46</v>
      </c>
      <c r="I66" s="1230"/>
      <c r="J66" s="1230"/>
      <c r="K66" s="1230"/>
      <c r="L66" s="1230"/>
      <c r="M66" s="1230"/>
    </row>
    <row r="67" spans="1:13" s="1231" customFormat="1">
      <c r="A67" s="1218" t="s">
        <v>3386</v>
      </c>
      <c r="B67" s="1218" t="s">
        <v>2941</v>
      </c>
      <c r="C67" s="1217" t="s">
        <v>3506</v>
      </c>
      <c r="D67" s="1217" t="s">
        <v>3004</v>
      </c>
      <c r="E67" s="1347">
        <v>13661.56</v>
      </c>
      <c r="F67" s="1347">
        <v>-10800</v>
      </c>
      <c r="G67" s="1217" t="s">
        <v>3387</v>
      </c>
      <c r="H67" s="1221">
        <v>56</v>
      </c>
      <c r="I67" s="1230"/>
      <c r="J67" s="1230"/>
      <c r="K67" s="1230"/>
      <c r="L67" s="1230"/>
      <c r="M67" s="1230"/>
    </row>
    <row r="68" spans="1:13" s="1231" customFormat="1">
      <c r="A68" s="1218" t="s">
        <v>3380</v>
      </c>
      <c r="B68" s="1218" t="s">
        <v>2937</v>
      </c>
      <c r="C68" s="1217" t="s">
        <v>3506</v>
      </c>
      <c r="D68" s="1217" t="s">
        <v>3004</v>
      </c>
      <c r="E68" s="1347">
        <v>20382.919999999998</v>
      </c>
      <c r="F68" s="1347">
        <v>0</v>
      </c>
      <c r="G68" s="1217" t="s">
        <v>3381</v>
      </c>
      <c r="H68" s="1221">
        <v>59</v>
      </c>
      <c r="I68" s="1230"/>
      <c r="J68" s="1230"/>
      <c r="K68" s="1230"/>
      <c r="L68" s="1230"/>
      <c r="M68" s="1230"/>
    </row>
    <row r="69" spans="1:13" s="1231" customFormat="1">
      <c r="A69" s="1218" t="s">
        <v>3265</v>
      </c>
      <c r="B69" s="1218" t="s">
        <v>2937</v>
      </c>
      <c r="C69" s="1217" t="s">
        <v>3506</v>
      </c>
      <c r="D69" s="1217" t="s">
        <v>3004</v>
      </c>
      <c r="E69" s="1347">
        <v>20634.580000000002</v>
      </c>
      <c r="F69" s="1220">
        <v>-17550</v>
      </c>
      <c r="G69" s="1217" t="s">
        <v>3266</v>
      </c>
      <c r="H69" s="1221">
        <v>127</v>
      </c>
      <c r="I69" s="1230"/>
      <c r="J69" s="1230"/>
      <c r="K69" s="1230"/>
      <c r="L69" s="1230"/>
      <c r="M69" s="1230"/>
    </row>
    <row r="70" spans="1:13" s="1231" customFormat="1">
      <c r="A70" s="1218" t="s">
        <v>3571</v>
      </c>
      <c r="B70" s="1218" t="s">
        <v>3264</v>
      </c>
      <c r="C70" s="1217" t="s">
        <v>3506</v>
      </c>
      <c r="D70" s="1217" t="s">
        <v>2902</v>
      </c>
      <c r="E70" s="1347">
        <v>12670</v>
      </c>
      <c r="F70" s="1220">
        <v>0</v>
      </c>
      <c r="G70" s="1217" t="s">
        <v>3572</v>
      </c>
      <c r="H70" s="1221">
        <v>18</v>
      </c>
      <c r="I70" s="1230"/>
      <c r="J70" s="1230"/>
      <c r="K70" s="1230"/>
      <c r="L70" s="1230"/>
      <c r="M70" s="1230"/>
    </row>
    <row r="71" spans="1:13" s="1231" customFormat="1">
      <c r="A71" s="1218" t="s">
        <v>3573</v>
      </c>
      <c r="B71" s="1218" t="s">
        <v>3264</v>
      </c>
      <c r="C71" s="1217" t="s">
        <v>3506</v>
      </c>
      <c r="D71" s="1217" t="s">
        <v>2902</v>
      </c>
      <c r="E71" s="1347">
        <v>13420</v>
      </c>
      <c r="F71" s="1347">
        <v>0</v>
      </c>
      <c r="G71" s="1217" t="s">
        <v>3574</v>
      </c>
      <c r="H71" s="1221">
        <v>37</v>
      </c>
      <c r="I71" s="1230"/>
      <c r="J71" s="1230"/>
      <c r="K71" s="1230"/>
      <c r="L71" s="1230"/>
      <c r="M71" s="1230"/>
    </row>
    <row r="72" spans="1:13" s="1231" customFormat="1">
      <c r="A72" s="1218" t="s">
        <v>3293</v>
      </c>
      <c r="B72" s="1218" t="s">
        <v>3264</v>
      </c>
      <c r="C72" s="1217" t="s">
        <v>3506</v>
      </c>
      <c r="D72" s="1217" t="s">
        <v>2902</v>
      </c>
      <c r="E72" s="1347">
        <v>16069.07</v>
      </c>
      <c r="F72" s="1220">
        <v>0</v>
      </c>
      <c r="G72" s="1217" t="s">
        <v>3294</v>
      </c>
      <c r="H72" s="1221">
        <v>79</v>
      </c>
      <c r="I72" s="1230"/>
      <c r="J72" s="1230"/>
      <c r="K72" s="1230"/>
      <c r="L72" s="1230"/>
      <c r="M72" s="1230"/>
    </row>
    <row r="73" spans="1:13" s="1231" customFormat="1">
      <c r="A73" s="1218" t="s">
        <v>3575</v>
      </c>
      <c r="B73" s="1218" t="s">
        <v>2937</v>
      </c>
      <c r="C73" s="1217" t="s">
        <v>3506</v>
      </c>
      <c r="D73" s="1217" t="s">
        <v>2902</v>
      </c>
      <c r="E73" s="1347">
        <v>14915</v>
      </c>
      <c r="F73" s="1220">
        <v>-13050</v>
      </c>
      <c r="G73" s="1217" t="s">
        <v>3576</v>
      </c>
      <c r="H73" s="1221">
        <v>4</v>
      </c>
      <c r="I73" s="1230"/>
      <c r="J73" s="1230"/>
      <c r="K73" s="1230"/>
      <c r="L73" s="1230"/>
      <c r="M73" s="1230"/>
    </row>
    <row r="74" spans="1:13">
      <c r="A74" s="1218" t="s">
        <v>3577</v>
      </c>
      <c r="B74" s="1218" t="s">
        <v>2936</v>
      </c>
      <c r="C74" s="1217" t="s">
        <v>3506</v>
      </c>
      <c r="D74" s="1217" t="s">
        <v>2902</v>
      </c>
      <c r="E74" s="1219">
        <v>18915</v>
      </c>
      <c r="F74" s="1220">
        <v>-16650</v>
      </c>
      <c r="G74" s="1217" t="s">
        <v>3578</v>
      </c>
      <c r="H74" s="1221">
        <v>17</v>
      </c>
    </row>
    <row r="75" spans="1:13">
      <c r="A75" s="1218" t="s">
        <v>3005</v>
      </c>
      <c r="B75" s="1218" t="s">
        <v>2934</v>
      </c>
      <c r="C75" s="1217" t="s">
        <v>3506</v>
      </c>
      <c r="D75" s="1217" t="s">
        <v>2902</v>
      </c>
      <c r="E75" s="1219">
        <v>19079.93</v>
      </c>
      <c r="F75" s="1220">
        <v>-17234.669999999998</v>
      </c>
      <c r="G75" s="1217" t="s">
        <v>3006</v>
      </c>
      <c r="H75" s="1221">
        <v>127</v>
      </c>
    </row>
    <row r="76" spans="1:13">
      <c r="A76" s="1218" t="s">
        <v>3579</v>
      </c>
      <c r="B76" s="1218" t="s">
        <v>2934</v>
      </c>
      <c r="C76" s="1217" t="s">
        <v>3506</v>
      </c>
      <c r="D76" s="1217" t="s">
        <v>2902</v>
      </c>
      <c r="E76" s="1219">
        <v>20070</v>
      </c>
      <c r="F76" s="1220">
        <v>0</v>
      </c>
      <c r="G76" s="1217" t="s">
        <v>3580</v>
      </c>
      <c r="H76" s="1221">
        <v>21</v>
      </c>
    </row>
    <row r="77" spans="1:13">
      <c r="A77" s="1218" t="s">
        <v>3581</v>
      </c>
      <c r="B77" s="1218" t="s">
        <v>2934</v>
      </c>
      <c r="C77" s="1217" t="s">
        <v>3506</v>
      </c>
      <c r="D77" s="1217" t="s">
        <v>2902</v>
      </c>
      <c r="E77" s="1219">
        <v>21506.04</v>
      </c>
      <c r="F77" s="1222">
        <v>-19629.02</v>
      </c>
      <c r="G77" s="1217" t="s">
        <v>3582</v>
      </c>
      <c r="H77" s="1221">
        <v>35</v>
      </c>
    </row>
    <row r="78" spans="1:13">
      <c r="A78" s="1218" t="s">
        <v>2945</v>
      </c>
      <c r="B78" s="1218" t="s">
        <v>2934</v>
      </c>
      <c r="C78" s="1217" t="s">
        <v>3506</v>
      </c>
      <c r="D78" s="1217" t="s">
        <v>2902</v>
      </c>
      <c r="E78" s="1219">
        <v>21880.55</v>
      </c>
      <c r="F78" s="1222">
        <v>-16872.72</v>
      </c>
      <c r="G78" s="1217" t="s">
        <v>2946</v>
      </c>
      <c r="H78" s="1221">
        <v>199</v>
      </c>
    </row>
    <row r="79" spans="1:13">
      <c r="A79" s="1218" t="s">
        <v>3583</v>
      </c>
      <c r="B79" s="1218" t="s">
        <v>2934</v>
      </c>
      <c r="C79" s="1217" t="s">
        <v>3506</v>
      </c>
      <c r="D79" s="1217" t="s">
        <v>2902</v>
      </c>
      <c r="E79" s="1219">
        <v>22915</v>
      </c>
      <c r="F79" s="1220">
        <v>-17779</v>
      </c>
      <c r="G79" s="1217" t="s">
        <v>3584</v>
      </c>
      <c r="H79" s="1221">
        <v>24</v>
      </c>
    </row>
    <row r="80" spans="1:13">
      <c r="A80" s="1218" t="s">
        <v>2943</v>
      </c>
      <c r="B80" s="1218" t="s">
        <v>2934</v>
      </c>
      <c r="C80" s="1217" t="s">
        <v>3506</v>
      </c>
      <c r="D80" s="1217" t="s">
        <v>2902</v>
      </c>
      <c r="E80" s="1219">
        <v>22981.75</v>
      </c>
      <c r="F80" s="1222">
        <v>0</v>
      </c>
      <c r="G80" s="1217" t="s">
        <v>2944</v>
      </c>
      <c r="H80" s="1221">
        <v>214</v>
      </c>
    </row>
    <row r="81" spans="1:8">
      <c r="A81" s="1218" t="s">
        <v>3585</v>
      </c>
      <c r="B81" s="1218" t="s">
        <v>2934</v>
      </c>
      <c r="C81" s="1217" t="s">
        <v>3506</v>
      </c>
      <c r="D81" s="1217" t="s">
        <v>2902</v>
      </c>
      <c r="E81" s="1219">
        <v>24071</v>
      </c>
      <c r="F81" s="1220">
        <v>-16180</v>
      </c>
      <c r="G81" s="1217" t="s">
        <v>3586</v>
      </c>
      <c r="H81" s="1221">
        <v>35</v>
      </c>
    </row>
    <row r="82" spans="1:8">
      <c r="A82" s="1218" t="s">
        <v>3375</v>
      </c>
      <c r="B82" s="1218" t="s">
        <v>2934</v>
      </c>
      <c r="C82" s="1217" t="s">
        <v>3506</v>
      </c>
      <c r="D82" s="1217" t="s">
        <v>2902</v>
      </c>
      <c r="E82" s="1219">
        <v>24422.22</v>
      </c>
      <c r="F82" s="1220">
        <v>0</v>
      </c>
      <c r="G82" s="1217" t="s">
        <v>3376</v>
      </c>
      <c r="H82" s="1221">
        <v>64</v>
      </c>
    </row>
    <row r="83" spans="1:8">
      <c r="A83" s="1218" t="s">
        <v>3587</v>
      </c>
      <c r="B83" s="1218" t="s">
        <v>2934</v>
      </c>
      <c r="C83" s="1217" t="s">
        <v>3506</v>
      </c>
      <c r="D83" s="1217" t="s">
        <v>2902</v>
      </c>
      <c r="E83" s="1219">
        <v>25170</v>
      </c>
      <c r="F83" s="1220">
        <v>-17827.669999999998</v>
      </c>
      <c r="G83" s="1217" t="s">
        <v>3588</v>
      </c>
      <c r="H83" s="1221">
        <v>28</v>
      </c>
    </row>
    <row r="84" spans="1:8">
      <c r="A84" s="1218" t="s">
        <v>3398</v>
      </c>
      <c r="B84" s="1218" t="s">
        <v>2934</v>
      </c>
      <c r="C84" s="1217" t="s">
        <v>3506</v>
      </c>
      <c r="D84" s="1217" t="s">
        <v>2902</v>
      </c>
      <c r="E84" s="1219">
        <v>25397.62</v>
      </c>
      <c r="F84" s="1220">
        <v>0</v>
      </c>
      <c r="G84" s="1217" t="s">
        <v>3399</v>
      </c>
      <c r="H84" s="1221">
        <v>49</v>
      </c>
    </row>
    <row r="85" spans="1:8">
      <c r="A85" s="1218" t="s">
        <v>3412</v>
      </c>
      <c r="B85" s="1218" t="s">
        <v>2934</v>
      </c>
      <c r="C85" s="1217" t="s">
        <v>3506</v>
      </c>
      <c r="D85" s="1217" t="s">
        <v>2902</v>
      </c>
      <c r="E85" s="1219">
        <v>25732.61</v>
      </c>
      <c r="F85" s="1220">
        <v>-17910.09</v>
      </c>
      <c r="G85" s="1217" t="s">
        <v>3413</v>
      </c>
      <c r="H85" s="1221">
        <v>43</v>
      </c>
    </row>
    <row r="86" spans="1:8">
      <c r="A86" s="1218" t="s">
        <v>3373</v>
      </c>
      <c r="B86" s="1218" t="s">
        <v>2934</v>
      </c>
      <c r="C86" s="1217" t="s">
        <v>3506</v>
      </c>
      <c r="D86" s="1217" t="s">
        <v>2902</v>
      </c>
      <c r="E86" s="1219">
        <v>26130.59</v>
      </c>
      <c r="F86" s="1220">
        <v>-21600</v>
      </c>
      <c r="G86" s="1217" t="s">
        <v>3374</v>
      </c>
      <c r="H86" s="1221">
        <v>66</v>
      </c>
    </row>
    <row r="87" spans="1:8">
      <c r="A87" s="1218" t="s">
        <v>3589</v>
      </c>
      <c r="B87" s="1218" t="s">
        <v>2934</v>
      </c>
      <c r="C87" s="1217" t="s">
        <v>3506</v>
      </c>
      <c r="D87" s="1217" t="s">
        <v>2902</v>
      </c>
      <c r="E87" s="1219">
        <v>26915</v>
      </c>
      <c r="F87" s="1223">
        <v>-23850</v>
      </c>
      <c r="G87" s="1217" t="s">
        <v>3590</v>
      </c>
      <c r="H87" s="1221">
        <v>29</v>
      </c>
    </row>
    <row r="88" spans="1:8">
      <c r="A88" s="1218" t="s">
        <v>3282</v>
      </c>
      <c r="B88" s="1218" t="s">
        <v>2934</v>
      </c>
      <c r="C88" s="1217" t="s">
        <v>3506</v>
      </c>
      <c r="D88" s="1217" t="s">
        <v>2902</v>
      </c>
      <c r="E88" s="1219">
        <v>27967.29</v>
      </c>
      <c r="F88" s="1222">
        <v>-18124.310000000001</v>
      </c>
      <c r="G88" s="1217" t="s">
        <v>3283</v>
      </c>
      <c r="H88" s="1221">
        <v>71</v>
      </c>
    </row>
    <row r="89" spans="1:8">
      <c r="A89" s="1218" t="s">
        <v>3591</v>
      </c>
      <c r="B89" s="1218" t="s">
        <v>2934</v>
      </c>
      <c r="C89" s="1217" t="s">
        <v>3506</v>
      </c>
      <c r="D89" s="1217" t="s">
        <v>2902</v>
      </c>
      <c r="E89" s="1219">
        <v>28670</v>
      </c>
      <c r="F89" s="1222">
        <v>-25200</v>
      </c>
      <c r="G89" s="1217" t="s">
        <v>3592</v>
      </c>
      <c r="H89" s="1221">
        <v>10</v>
      </c>
    </row>
    <row r="90" spans="1:8">
      <c r="A90" s="1218" t="s">
        <v>3593</v>
      </c>
      <c r="B90" s="1218" t="s">
        <v>2934</v>
      </c>
      <c r="C90" s="1217" t="s">
        <v>3506</v>
      </c>
      <c r="D90" s="1217" t="s">
        <v>2902</v>
      </c>
      <c r="E90" s="1219">
        <v>28729.95</v>
      </c>
      <c r="F90" s="1220">
        <v>-21265</v>
      </c>
      <c r="G90" s="1217" t="s">
        <v>3594</v>
      </c>
      <c r="H90" s="1221">
        <v>9</v>
      </c>
    </row>
    <row r="91" spans="1:8">
      <c r="A91" s="1218" t="s">
        <v>3595</v>
      </c>
      <c r="B91" s="1218" t="s">
        <v>2934</v>
      </c>
      <c r="C91" s="1217" t="s">
        <v>3506</v>
      </c>
      <c r="D91" s="1217" t="s">
        <v>2902</v>
      </c>
      <c r="E91" s="1219">
        <v>29525</v>
      </c>
      <c r="F91" s="1220">
        <v>-19787.23</v>
      </c>
      <c r="G91" s="1217" t="s">
        <v>3596</v>
      </c>
      <c r="H91" s="1221">
        <v>14</v>
      </c>
    </row>
    <row r="92" spans="1:8">
      <c r="A92" s="1218" t="s">
        <v>3393</v>
      </c>
      <c r="B92" s="1218" t="s">
        <v>2934</v>
      </c>
      <c r="C92" s="1217" t="s">
        <v>3506</v>
      </c>
      <c r="D92" s="1217" t="s">
        <v>2902</v>
      </c>
      <c r="E92" s="1219">
        <v>30675</v>
      </c>
      <c r="F92" s="1220">
        <v>-27000</v>
      </c>
      <c r="G92" s="1217" t="s">
        <v>3394</v>
      </c>
      <c r="H92" s="1221">
        <v>52</v>
      </c>
    </row>
    <row r="93" spans="1:8">
      <c r="A93" s="1218" t="s">
        <v>3597</v>
      </c>
      <c r="B93" s="1218" t="s">
        <v>2934</v>
      </c>
      <c r="C93" s="1217" t="s">
        <v>3506</v>
      </c>
      <c r="D93" s="1217" t="s">
        <v>2902</v>
      </c>
      <c r="E93" s="1219">
        <v>32920.68</v>
      </c>
      <c r="F93" s="1220">
        <v>-19195</v>
      </c>
      <c r="G93" s="1217" t="s">
        <v>3598</v>
      </c>
      <c r="H93" s="1221">
        <v>31</v>
      </c>
    </row>
    <row r="94" spans="1:8">
      <c r="A94" s="1224" t="s">
        <v>3408</v>
      </c>
      <c r="B94" s="1224" t="s">
        <v>2935</v>
      </c>
      <c r="C94" s="1403" t="s">
        <v>3506</v>
      </c>
      <c r="D94" s="1403" t="s">
        <v>2902</v>
      </c>
      <c r="E94" s="1225">
        <v>27800</v>
      </c>
      <c r="F94" s="1225">
        <v>-24300</v>
      </c>
      <c r="G94" s="1224" t="s">
        <v>3409</v>
      </c>
      <c r="H94" s="1224">
        <v>45</v>
      </c>
    </row>
    <row r="95" spans="1:8">
      <c r="A95" s="1224" t="s">
        <v>3599</v>
      </c>
      <c r="B95" s="1224" t="s">
        <v>2935</v>
      </c>
      <c r="C95" s="1403" t="s">
        <v>3506</v>
      </c>
      <c r="D95" s="1403" t="s">
        <v>2902</v>
      </c>
      <c r="E95" s="1225">
        <v>29282.18</v>
      </c>
      <c r="F95" s="1225">
        <v>-23985</v>
      </c>
      <c r="G95" s="1224" t="s">
        <v>3600</v>
      </c>
      <c r="H95" s="1224">
        <v>37</v>
      </c>
    </row>
    <row r="96" spans="1:8">
      <c r="A96" s="1224" t="s">
        <v>3601</v>
      </c>
      <c r="B96" s="1224" t="s">
        <v>2935</v>
      </c>
      <c r="C96" s="1403" t="s">
        <v>3506</v>
      </c>
      <c r="D96" s="1403" t="s">
        <v>2902</v>
      </c>
      <c r="E96" s="1225">
        <v>30456.31</v>
      </c>
      <c r="F96" s="1225">
        <v>-24553.24</v>
      </c>
      <c r="G96" s="1224" t="s">
        <v>3602</v>
      </c>
      <c r="H96" s="1224">
        <v>42</v>
      </c>
    </row>
    <row r="97" spans="1:8">
      <c r="A97" s="1224" t="s">
        <v>3422</v>
      </c>
      <c r="B97" s="1224" t="s">
        <v>2935</v>
      </c>
      <c r="C97" s="1403" t="s">
        <v>3506</v>
      </c>
      <c r="D97" s="1403" t="s">
        <v>2902</v>
      </c>
      <c r="E97" s="1225">
        <v>33915</v>
      </c>
      <c r="F97" s="1225">
        <v>-26327.41</v>
      </c>
      <c r="G97" s="1224" t="s">
        <v>3423</v>
      </c>
      <c r="H97" s="1224">
        <v>41</v>
      </c>
    </row>
    <row r="98" spans="1:8">
      <c r="A98" s="1224" t="s">
        <v>3603</v>
      </c>
      <c r="B98" s="1224" t="s">
        <v>2938</v>
      </c>
      <c r="C98" s="1403" t="s">
        <v>3506</v>
      </c>
      <c r="D98" s="1403" t="s">
        <v>2902</v>
      </c>
      <c r="E98" s="1225">
        <v>32165</v>
      </c>
      <c r="F98" s="1225">
        <v>0</v>
      </c>
      <c r="G98" s="1224" t="s">
        <v>3604</v>
      </c>
      <c r="H98" s="1224">
        <v>2</v>
      </c>
    </row>
    <row r="99" spans="1:8">
      <c r="A99" s="1224" t="s">
        <v>3605</v>
      </c>
      <c r="B99" s="1224" t="s">
        <v>2938</v>
      </c>
      <c r="C99" s="1403" t="s">
        <v>3506</v>
      </c>
      <c r="D99" s="1403" t="s">
        <v>2902</v>
      </c>
      <c r="E99" s="1225">
        <v>35670</v>
      </c>
      <c r="F99" s="1225">
        <v>-31500</v>
      </c>
      <c r="G99" s="1224" t="s">
        <v>3606</v>
      </c>
      <c r="H99" s="1224">
        <v>15</v>
      </c>
    </row>
    <row r="100" spans="1:8">
      <c r="A100" s="1224" t="s">
        <v>3607</v>
      </c>
      <c r="B100" s="1224" t="s">
        <v>2938</v>
      </c>
      <c r="C100" s="1403" t="s">
        <v>3506</v>
      </c>
      <c r="D100" s="1403" t="s">
        <v>2902</v>
      </c>
      <c r="E100" s="1225">
        <v>37970</v>
      </c>
      <c r="F100" s="1225">
        <v>-33570</v>
      </c>
      <c r="G100" s="1224" t="s">
        <v>3608</v>
      </c>
      <c r="H100" s="1224">
        <v>17</v>
      </c>
    </row>
    <row r="101" spans="1:8">
      <c r="A101" s="1224" t="s">
        <v>3609</v>
      </c>
      <c r="B101" s="1224" t="s">
        <v>2938</v>
      </c>
      <c r="C101" s="1403" t="s">
        <v>3506</v>
      </c>
      <c r="D101" s="1403" t="s">
        <v>2902</v>
      </c>
      <c r="E101" s="1225">
        <v>38257.980000000003</v>
      </c>
      <c r="F101" s="1225">
        <v>-33300</v>
      </c>
      <c r="G101" s="1224" t="s">
        <v>3610</v>
      </c>
      <c r="H101" s="1224">
        <v>39</v>
      </c>
    </row>
    <row r="102" spans="1:8">
      <c r="A102" s="1224" t="s">
        <v>3611</v>
      </c>
      <c r="B102" s="1224" t="s">
        <v>2938</v>
      </c>
      <c r="C102" s="1403" t="s">
        <v>3506</v>
      </c>
      <c r="D102" s="1403" t="s">
        <v>2902</v>
      </c>
      <c r="E102" s="1225">
        <v>38997.07</v>
      </c>
      <c r="F102" s="1225">
        <v>-33750</v>
      </c>
      <c r="G102" s="1224" t="s">
        <v>3612</v>
      </c>
      <c r="H102" s="1224">
        <v>29</v>
      </c>
    </row>
    <row r="103" spans="1:8">
      <c r="A103" s="1224" t="s">
        <v>3613</v>
      </c>
      <c r="B103" s="1224" t="s">
        <v>2927</v>
      </c>
      <c r="C103" s="1403" t="s">
        <v>3506</v>
      </c>
      <c r="D103" s="1403" t="s">
        <v>2902</v>
      </c>
      <c r="E103" s="1225">
        <v>41972.12</v>
      </c>
      <c r="F103" s="1225">
        <v>-40709.589999999997</v>
      </c>
      <c r="G103" s="1224" t="s">
        <v>3614</v>
      </c>
      <c r="H103" s="1224">
        <v>16</v>
      </c>
    </row>
    <row r="104" spans="1:8">
      <c r="A104" s="1224" t="s">
        <v>3615</v>
      </c>
      <c r="B104" s="1224" t="s">
        <v>2937</v>
      </c>
      <c r="C104" s="1403" t="s">
        <v>3506</v>
      </c>
      <c r="D104" s="1403" t="s">
        <v>3616</v>
      </c>
      <c r="E104" s="1225">
        <v>36152.03</v>
      </c>
      <c r="F104" s="1225">
        <v>0</v>
      </c>
      <c r="G104" s="1224" t="s">
        <v>3617</v>
      </c>
      <c r="H104" s="1224">
        <v>25</v>
      </c>
    </row>
  </sheetData>
  <autoFilter ref="A1:H90" xr:uid="{00000000-0009-0000-0000-000009000000}">
    <sortState xmlns:xlrd2="http://schemas.microsoft.com/office/spreadsheetml/2017/richdata2" ref="A2:H90">
      <sortCondition descending="1" ref="H1:H90"/>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83"/>
  <sheetViews>
    <sheetView topLeftCell="A40" workbookViewId="0">
      <selection activeCell="C64" sqref="C64"/>
    </sheetView>
  </sheetViews>
  <sheetFormatPr baseColWidth="10" defaultColWidth="11" defaultRowHeight="14.4"/>
  <cols>
    <col min="1" max="1" width="1.69921875" style="631" customWidth="1"/>
    <col min="2" max="2" width="23.19921875" style="631" customWidth="1"/>
    <col min="3" max="12" width="11.69921875" style="631" customWidth="1"/>
    <col min="13" max="13" width="58.59765625" style="631" customWidth="1"/>
    <col min="14" max="16" width="3.09765625" style="631" customWidth="1"/>
    <col min="17" max="16384" width="11" style="631"/>
  </cols>
  <sheetData>
    <row r="1" spans="2:13" ht="15.6">
      <c r="B1" s="1422" t="str">
        <f>Parametres!$B$1&amp;" "&amp;"2 pager"&amp;" "&amp;Parametres!$B$3&amp;" "&amp;Parametres!$B$4</f>
        <v>Volks 2 pager Mai 2022</v>
      </c>
      <c r="C1" s="1422"/>
      <c r="D1" s="1422"/>
      <c r="E1" s="1422"/>
      <c r="F1" s="1422"/>
      <c r="G1" s="1422"/>
      <c r="H1" s="1422"/>
      <c r="I1" s="1422"/>
      <c r="J1" s="1422"/>
      <c r="K1" s="1422"/>
      <c r="L1" s="1422"/>
      <c r="M1" s="1422"/>
    </row>
    <row r="2" spans="2:13">
      <c r="B2" s="647"/>
    </row>
    <row r="3" spans="2:13">
      <c r="B3" s="641" t="s">
        <v>1946</v>
      </c>
      <c r="C3" s="642" t="s">
        <v>1947</v>
      </c>
      <c r="D3" s="643" t="s">
        <v>1968</v>
      </c>
      <c r="E3" s="643" t="s">
        <v>6</v>
      </c>
      <c r="F3" s="644">
        <v>2021</v>
      </c>
      <c r="G3" s="645" t="s">
        <v>1971</v>
      </c>
      <c r="H3" s="643" t="s">
        <v>1969</v>
      </c>
      <c r="I3" s="646" t="s">
        <v>3249</v>
      </c>
      <c r="J3" s="645" t="s">
        <v>1972</v>
      </c>
      <c r="K3" s="643" t="s">
        <v>1970</v>
      </c>
      <c r="L3" s="646" t="s">
        <v>3250</v>
      </c>
      <c r="M3" s="641" t="s">
        <v>1965</v>
      </c>
    </row>
    <row r="4" spans="2:13">
      <c r="B4" s="632" t="s">
        <v>1948</v>
      </c>
      <c r="C4" s="653">
        <f>+Print_Mois!$J$13+Print_Mois!$J$15</f>
        <v>46</v>
      </c>
      <c r="D4" s="653">
        <f>+Print_Mois!$G$13+Print_Mois!$G$15</f>
        <v>94.612048192771084</v>
      </c>
      <c r="E4" s="653">
        <f>+Print_Mois!$D$13+Print_Mois!$D$15</f>
        <v>94.612048192771084</v>
      </c>
      <c r="F4" s="653">
        <f>+Print_Mois!$O$13+Print_Mois!$O$15</f>
        <v>87</v>
      </c>
      <c r="G4" s="655">
        <f>+IFERROR($C4-D4,"")</f>
        <v>-48.612048192771084</v>
      </c>
      <c r="H4" s="654">
        <f>+IFERROR($C4-E4,"")</f>
        <v>-48.612048192771084</v>
      </c>
      <c r="I4" s="656">
        <f>+IFERROR($C4-F4,"")</f>
        <v>-41</v>
      </c>
      <c r="J4" s="668">
        <f t="shared" ref="J4:J15" si="0">+IFERROR(G4/ABS($D4),"")</f>
        <v>-0.51380399348003258</v>
      </c>
      <c r="K4" s="669">
        <f t="shared" ref="K4:K15" si="1">+IFERROR(H4/ABS($E4),"")</f>
        <v>-0.51380399348003258</v>
      </c>
      <c r="L4" s="670">
        <f t="shared" ref="L4:L15" si="2">+IFERROR(I4/ABS($F4),"")</f>
        <v>-0.47126436781609193</v>
      </c>
      <c r="M4" s="1419" t="s">
        <v>3618</v>
      </c>
    </row>
    <row r="5" spans="2:13">
      <c r="B5" s="633" t="s">
        <v>1949</v>
      </c>
      <c r="C5" s="1011">
        <f>+Print_Mois!$L$13+Print_Mois!$L$15</f>
        <v>176182.08999999994</v>
      </c>
      <c r="D5" s="1011">
        <f>+Print_Mois!$I$13+Print_Mois!$I$15</f>
        <v>179068.09599743818</v>
      </c>
      <c r="E5" s="1011">
        <f>+Print_Mois!$F$13+Print_Mois!$F$15</f>
        <v>179068.09599743818</v>
      </c>
      <c r="F5" s="1011">
        <f>+Print_Mois!$Q$13+Print_Mois!$Q$15</f>
        <v>158566.14000000004</v>
      </c>
      <c r="G5" s="1012">
        <f>+IFERROR($C5-D5,"")</f>
        <v>-2886.0059974382457</v>
      </c>
      <c r="H5" s="1013">
        <f t="shared" ref="G5:I15" si="3">+IFERROR($C5-E5,"")</f>
        <v>-2886.0059974382457</v>
      </c>
      <c r="I5" s="1014">
        <f t="shared" si="3"/>
        <v>17615.949999999895</v>
      </c>
      <c r="J5" s="1015">
        <f t="shared" si="0"/>
        <v>-1.6116807303739544E-2</v>
      </c>
      <c r="K5" s="1016">
        <f t="shared" si="1"/>
        <v>-1.6116807303739544E-2</v>
      </c>
      <c r="L5" s="1017">
        <f t="shared" si="2"/>
        <v>0.11109528175435116</v>
      </c>
      <c r="M5" s="1420"/>
    </row>
    <row r="6" spans="2:13">
      <c r="B6" s="633" t="s">
        <v>1950</v>
      </c>
      <c r="C6" s="1011">
        <f>+C5/C4</f>
        <v>3830.0454347826076</v>
      </c>
      <c r="D6" s="1011">
        <f t="shared" ref="D6:F6" si="4">+D5/D4</f>
        <v>1892.6563732410566</v>
      </c>
      <c r="E6" s="1011">
        <f t="shared" si="4"/>
        <v>1892.6563732410566</v>
      </c>
      <c r="F6" s="1011">
        <f t="shared" si="4"/>
        <v>1822.5993103448282</v>
      </c>
      <c r="G6" s="1012">
        <f t="shared" si="3"/>
        <v>1937.389061541551</v>
      </c>
      <c r="H6" s="1013">
        <f t="shared" si="3"/>
        <v>1937.389061541551</v>
      </c>
      <c r="I6" s="1014">
        <f t="shared" si="3"/>
        <v>2007.4461244377794</v>
      </c>
      <c r="J6" s="1015">
        <f t="shared" si="0"/>
        <v>1.02363487050948</v>
      </c>
      <c r="K6" s="1016">
        <f t="shared" si="1"/>
        <v>1.02363487050948</v>
      </c>
      <c r="L6" s="1017">
        <f t="shared" si="2"/>
        <v>1.1014193372310555</v>
      </c>
      <c r="M6" s="1420"/>
    </row>
    <row r="7" spans="2:13">
      <c r="B7" s="633" t="s">
        <v>1951</v>
      </c>
      <c r="C7" s="1011">
        <f>+Print_Mois!$L$31</f>
        <v>50247.99</v>
      </c>
      <c r="D7" s="1011">
        <f>+Print_Mois!$I$31</f>
        <v>56024.4570789891</v>
      </c>
      <c r="E7" s="1011">
        <f>+Print_Mois!$F$31</f>
        <v>56024.4570789891</v>
      </c>
      <c r="F7" s="1011">
        <f>+Print_Mois!$Q$31</f>
        <v>53186.03</v>
      </c>
      <c r="G7" s="1012">
        <f t="shared" si="3"/>
        <v>-5776.4670789891024</v>
      </c>
      <c r="H7" s="1013">
        <f t="shared" si="3"/>
        <v>-5776.4670789891024</v>
      </c>
      <c r="I7" s="1014">
        <f t="shared" si="3"/>
        <v>-2938.0400000000009</v>
      </c>
      <c r="J7" s="1015">
        <f t="shared" si="0"/>
        <v>-0.10310616791600209</v>
      </c>
      <c r="K7" s="1016">
        <f t="shared" si="1"/>
        <v>-0.10310616791600209</v>
      </c>
      <c r="L7" s="1017">
        <f t="shared" si="2"/>
        <v>-5.5240821696975709E-2</v>
      </c>
      <c r="M7" s="1420"/>
    </row>
    <row r="8" spans="2:13">
      <c r="B8" s="633" t="s">
        <v>1952</v>
      </c>
      <c r="C8" s="1018">
        <f>+C7/C5</f>
        <v>0.28520486957556251</v>
      </c>
      <c r="D8" s="1018">
        <f t="shared" ref="D8:F8" si="5">+D7/D5</f>
        <v>0.3128667715313766</v>
      </c>
      <c r="E8" s="1018">
        <f t="shared" si="5"/>
        <v>0.3128667715313766</v>
      </c>
      <c r="F8" s="1018">
        <f t="shared" si="5"/>
        <v>0.33541858305940969</v>
      </c>
      <c r="G8" s="1019">
        <f t="shared" si="3"/>
        <v>-2.7661901955814083E-2</v>
      </c>
      <c r="H8" s="1020">
        <f t="shared" si="3"/>
        <v>-2.7661901955814083E-2</v>
      </c>
      <c r="I8" s="1021">
        <f t="shared" si="3"/>
        <v>-5.0213713483847178E-2</v>
      </c>
      <c r="J8" s="1015">
        <f t="shared" si="0"/>
        <v>-8.8414317124245786E-2</v>
      </c>
      <c r="K8" s="1016">
        <f t="shared" si="1"/>
        <v>-8.8414317124245786E-2</v>
      </c>
      <c r="L8" s="1017">
        <f t="shared" si="2"/>
        <v>-0.1497046258613324</v>
      </c>
      <c r="M8" s="1420"/>
    </row>
    <row r="9" spans="2:13">
      <c r="B9" s="633" t="s">
        <v>1953</v>
      </c>
      <c r="C9" s="1011">
        <f>+Print_Mois!$L$24</f>
        <v>57567.54</v>
      </c>
      <c r="D9" s="1011">
        <f>+Print_Mois!$I$24</f>
        <v>80420.240963855409</v>
      </c>
      <c r="E9" s="1011">
        <f>+Print_Mois!$F$24</f>
        <v>80420.240963855409</v>
      </c>
      <c r="F9" s="1011">
        <f>+Print_Mois!$Q$24</f>
        <v>68148.59</v>
      </c>
      <c r="G9" s="1012">
        <f t="shared" si="3"/>
        <v>-22852.700963855408</v>
      </c>
      <c r="H9" s="1013">
        <f t="shared" si="3"/>
        <v>-22852.700963855408</v>
      </c>
      <c r="I9" s="1014">
        <f t="shared" si="3"/>
        <v>-10581.049999999996</v>
      </c>
      <c r="J9" s="1015">
        <f t="shared" si="0"/>
        <v>-0.28416603444556293</v>
      </c>
      <c r="K9" s="1016">
        <f t="shared" si="1"/>
        <v>-0.28416603444556293</v>
      </c>
      <c r="L9" s="1017">
        <f t="shared" si="2"/>
        <v>-0.1552644009215744</v>
      </c>
      <c r="M9" s="1420"/>
    </row>
    <row r="10" spans="2:13">
      <c r="B10" s="633" t="s">
        <v>1954</v>
      </c>
      <c r="C10" s="1011">
        <f>+C9/C4</f>
        <v>1251.4682608695653</v>
      </c>
      <c r="D10" s="1011">
        <f t="shared" ref="D10:F10" si="6">+D9/D4</f>
        <v>849.99999999999989</v>
      </c>
      <c r="E10" s="1011">
        <f t="shared" si="6"/>
        <v>849.99999999999989</v>
      </c>
      <c r="F10" s="1011">
        <f t="shared" si="6"/>
        <v>783.31712643678156</v>
      </c>
      <c r="G10" s="1012">
        <f t="shared" si="3"/>
        <v>401.46826086956537</v>
      </c>
      <c r="H10" s="1013">
        <f t="shared" si="3"/>
        <v>401.46826086956537</v>
      </c>
      <c r="I10" s="1014">
        <f t="shared" si="3"/>
        <v>468.15113443278369</v>
      </c>
      <c r="J10" s="1015">
        <f t="shared" si="0"/>
        <v>0.47231560102301817</v>
      </c>
      <c r="K10" s="1016">
        <f t="shared" si="1"/>
        <v>0.47231560102301817</v>
      </c>
      <c r="L10" s="1017">
        <f t="shared" si="2"/>
        <v>0.59765211130050067</v>
      </c>
      <c r="M10" s="1420"/>
    </row>
    <row r="11" spans="2:13">
      <c r="B11" s="633" t="s">
        <v>1955</v>
      </c>
      <c r="C11" s="1011">
        <f>+Print_Mois!$L$32</f>
        <v>20885.45</v>
      </c>
      <c r="D11" s="1011">
        <f>+Print_Mois!$I$32</f>
        <v>24126.072289156622</v>
      </c>
      <c r="E11" s="1011">
        <f>+Print_Mois!$F$32</f>
        <v>24126.072289156622</v>
      </c>
      <c r="F11" s="1011">
        <f>+Print_Mois!$Q$32</f>
        <v>20948.72</v>
      </c>
      <c r="G11" s="1012">
        <f t="shared" si="3"/>
        <v>-3240.6222891566213</v>
      </c>
      <c r="H11" s="1013">
        <f t="shared" si="3"/>
        <v>-3240.6222891566213</v>
      </c>
      <c r="I11" s="1014">
        <f t="shared" si="3"/>
        <v>-63.270000000000437</v>
      </c>
      <c r="J11" s="1015">
        <f t="shared" si="0"/>
        <v>-0.13432034233823908</v>
      </c>
      <c r="K11" s="1016">
        <f t="shared" si="1"/>
        <v>-0.13432034233823908</v>
      </c>
      <c r="L11" s="1017">
        <f t="shared" si="2"/>
        <v>-3.0202322624007785E-3</v>
      </c>
      <c r="M11" s="1420"/>
    </row>
    <row r="12" spans="2:13">
      <c r="B12" s="633" t="s">
        <v>1956</v>
      </c>
      <c r="C12" s="1018">
        <f>+C11/C9</f>
        <v>0.36279907044838117</v>
      </c>
      <c r="D12" s="1018">
        <f t="shared" ref="D12:F12" si="7">+D11/D9</f>
        <v>0.3</v>
      </c>
      <c r="E12" s="1018">
        <f t="shared" si="7"/>
        <v>0.3</v>
      </c>
      <c r="F12" s="1018">
        <f t="shared" si="7"/>
        <v>0.30739770257902627</v>
      </c>
      <c r="G12" s="1022">
        <f t="shared" si="3"/>
        <v>6.2799070448381178E-2</v>
      </c>
      <c r="H12" s="1016">
        <f t="shared" si="3"/>
        <v>6.2799070448381178E-2</v>
      </c>
      <c r="I12" s="1023">
        <f t="shared" si="3"/>
        <v>5.5401367869354901E-2</v>
      </c>
      <c r="J12" s="1015">
        <f t="shared" si="0"/>
        <v>0.20933023482793728</v>
      </c>
      <c r="K12" s="1016">
        <f t="shared" si="1"/>
        <v>0.20933023482793728</v>
      </c>
      <c r="L12" s="1017">
        <f t="shared" si="2"/>
        <v>0.18022700691821936</v>
      </c>
      <c r="M12" s="1420"/>
    </row>
    <row r="13" spans="2:13">
      <c r="B13" s="633" t="s">
        <v>1957</v>
      </c>
      <c r="C13" s="1011">
        <f>+Print_Mois!$L$41-C7-C11</f>
        <v>27329.760000000013</v>
      </c>
      <c r="D13" s="1011">
        <f>+Print_Mois!$I$41-D7-D11</f>
        <v>44726.066606912907</v>
      </c>
      <c r="E13" s="1011">
        <f>+Print_Mois!$F$41-E7-E11</f>
        <v>44726.066606912907</v>
      </c>
      <c r="F13" s="1011">
        <f>+Print_Mois!$Q$41-F7-F11</f>
        <v>32717.33</v>
      </c>
      <c r="G13" s="1012">
        <f t="shared" si="3"/>
        <v>-17396.306606912894</v>
      </c>
      <c r="H13" s="1013">
        <f t="shared" si="3"/>
        <v>-17396.306606912894</v>
      </c>
      <c r="I13" s="1014">
        <f t="shared" si="3"/>
        <v>-5387.5699999999888</v>
      </c>
      <c r="J13" s="1015">
        <f t="shared" si="0"/>
        <v>-0.38895230291107474</v>
      </c>
      <c r="K13" s="1016">
        <f t="shared" si="1"/>
        <v>-0.38895230291107474</v>
      </c>
      <c r="L13" s="1017">
        <f t="shared" si="2"/>
        <v>-0.16467022217277474</v>
      </c>
      <c r="M13" s="1420"/>
    </row>
    <row r="14" spans="2:13">
      <c r="B14" s="633" t="s">
        <v>1958</v>
      </c>
      <c r="C14" s="1011">
        <f>+C13/C4</f>
        <v>594.12521739130466</v>
      </c>
      <c r="D14" s="1011">
        <f t="shared" ref="D14:F14" si="8">+D13/D4</f>
        <v>472.73119503537225</v>
      </c>
      <c r="E14" s="1011">
        <f t="shared" si="8"/>
        <v>472.73119503537225</v>
      </c>
      <c r="F14" s="1011">
        <f t="shared" si="8"/>
        <v>376.06126436781614</v>
      </c>
      <c r="G14" s="1012">
        <f t="shared" si="3"/>
        <v>121.39402235593241</v>
      </c>
      <c r="H14" s="1013">
        <f t="shared" si="3"/>
        <v>121.39402235593241</v>
      </c>
      <c r="I14" s="1014">
        <f t="shared" si="3"/>
        <v>218.06395302348852</v>
      </c>
      <c r="J14" s="1015">
        <f t="shared" si="0"/>
        <v>0.25679291663172149</v>
      </c>
      <c r="K14" s="1016">
        <f t="shared" si="1"/>
        <v>0.25679291663172149</v>
      </c>
      <c r="L14" s="1017">
        <f t="shared" si="2"/>
        <v>0.57986284067323035</v>
      </c>
      <c r="M14" s="1420"/>
    </row>
    <row r="15" spans="2:13">
      <c r="B15" s="633" t="s">
        <v>1959</v>
      </c>
      <c r="C15" s="1011">
        <f>+Print_Mois!$L$83</f>
        <v>70701</v>
      </c>
      <c r="D15" s="1011">
        <f>+Print_Mois!$I$83</f>
        <v>134918.70288772788</v>
      </c>
      <c r="E15" s="1011">
        <f>+Print_Mois!$F$83</f>
        <v>134918.70288772788</v>
      </c>
      <c r="F15" s="1011">
        <f>+Print_Mois!$Q$83</f>
        <v>128055</v>
      </c>
      <c r="G15" s="1012">
        <f t="shared" si="3"/>
        <v>-64217.702887727879</v>
      </c>
      <c r="H15" s="1013">
        <f t="shared" si="3"/>
        <v>-64217.702887727879</v>
      </c>
      <c r="I15" s="1014">
        <f t="shared" si="3"/>
        <v>-57354</v>
      </c>
      <c r="J15" s="1015">
        <f t="shared" si="0"/>
        <v>-0.47597331958613931</v>
      </c>
      <c r="K15" s="1016">
        <f t="shared" si="1"/>
        <v>-0.47597331958613931</v>
      </c>
      <c r="L15" s="1017">
        <f t="shared" si="2"/>
        <v>-0.44788567412439967</v>
      </c>
      <c r="M15" s="1420"/>
    </row>
    <row r="16" spans="2:13">
      <c r="B16" s="635" t="s">
        <v>1960</v>
      </c>
      <c r="C16" s="1024"/>
      <c r="D16" s="1024"/>
      <c r="E16" s="1024"/>
      <c r="F16" s="1024"/>
      <c r="G16" s="1025"/>
      <c r="H16" s="1026"/>
      <c r="I16" s="1027"/>
      <c r="J16" s="1028"/>
      <c r="K16" s="1029"/>
      <c r="L16" s="1030"/>
      <c r="M16" s="1420"/>
    </row>
    <row r="17" spans="2:13">
      <c r="B17" s="1371" t="s">
        <v>1948</v>
      </c>
      <c r="C17" s="1375">
        <f>Inventaire_Neuf!L3</f>
        <v>29</v>
      </c>
      <c r="D17" s="1375">
        <v>61</v>
      </c>
      <c r="E17" s="1375">
        <v>61</v>
      </c>
      <c r="F17" s="1375">
        <v>164</v>
      </c>
      <c r="G17" s="1012">
        <f t="shared" ref="G17:I18" si="9">+IFERROR($C17-D17,"")</f>
        <v>-32</v>
      </c>
      <c r="H17" s="1013">
        <f t="shared" si="9"/>
        <v>-32</v>
      </c>
      <c r="I17" s="1014">
        <f t="shared" si="9"/>
        <v>-135</v>
      </c>
      <c r="J17" s="1015">
        <f>+IFERROR(G17/ABS($D17),"")</f>
        <v>-0.52459016393442626</v>
      </c>
      <c r="K17" s="1016">
        <f>+IFERROR(H17/ABS($E17),"")</f>
        <v>-0.52459016393442626</v>
      </c>
      <c r="L17" s="1017">
        <f>+IFERROR(I17/ABS($F17),"")</f>
        <v>-0.82317073170731703</v>
      </c>
      <c r="M17" s="1420"/>
    </row>
    <row r="18" spans="2:13">
      <c r="B18" s="1373" t="s">
        <v>1913</v>
      </c>
      <c r="C18" s="1376">
        <f>Inventaire_Neuf!L2</f>
        <v>1188579.01</v>
      </c>
      <c r="D18" s="1377">
        <v>2233570</v>
      </c>
      <c r="E18" s="1377">
        <v>2233570</v>
      </c>
      <c r="F18" s="1376">
        <v>5689693.1799999997</v>
      </c>
      <c r="G18" s="1031">
        <f t="shared" si="9"/>
        <v>-1044990.99</v>
      </c>
      <c r="H18" s="1032">
        <f t="shared" si="9"/>
        <v>-1044990.99</v>
      </c>
      <c r="I18" s="1033">
        <f t="shared" si="9"/>
        <v>-4501114.17</v>
      </c>
      <c r="J18" s="1034">
        <f>+IFERROR(G18/ABS($D18),"")</f>
        <v>-0.46785683457424659</v>
      </c>
      <c r="K18" s="1035">
        <f>+IFERROR(H18/ABS($E18),"")</f>
        <v>-0.46785683457424659</v>
      </c>
      <c r="L18" s="1036">
        <f>+IFERROR(I18/ABS($F18),"")</f>
        <v>-0.79109963008585293</v>
      </c>
      <c r="M18" s="1421"/>
    </row>
    <row r="19" spans="2:13">
      <c r="C19" s="1090">
        <f>C18/C17</f>
        <v>40985.483103448278</v>
      </c>
      <c r="D19" s="1090">
        <f>D18/D17</f>
        <v>36615.901639344265</v>
      </c>
      <c r="E19" s="1090">
        <f>E18/E17</f>
        <v>36615.901639344265</v>
      </c>
      <c r="F19" s="1090">
        <f>F18/F17</f>
        <v>34693.251097560977</v>
      </c>
      <c r="G19" s="1037"/>
      <c r="H19" s="1037"/>
      <c r="I19" s="1037"/>
      <c r="J19" s="1037"/>
      <c r="K19" s="1037"/>
      <c r="L19" s="1037"/>
      <c r="M19" s="159"/>
    </row>
    <row r="20" spans="2:13">
      <c r="B20" s="636" t="s">
        <v>1944</v>
      </c>
      <c r="C20" s="637" t="s">
        <v>1947</v>
      </c>
      <c r="D20" s="637" t="s">
        <v>1968</v>
      </c>
      <c r="E20" s="637" t="s">
        <v>6</v>
      </c>
      <c r="F20" s="637">
        <v>2021</v>
      </c>
      <c r="G20" s="639" t="s">
        <v>1971</v>
      </c>
      <c r="H20" s="638" t="s">
        <v>1969</v>
      </c>
      <c r="I20" s="640" t="s">
        <v>3249</v>
      </c>
      <c r="J20" s="639" t="s">
        <v>1972</v>
      </c>
      <c r="K20" s="638" t="s">
        <v>1970</v>
      </c>
      <c r="L20" s="640" t="s">
        <v>3250</v>
      </c>
      <c r="M20" s="1055" t="s">
        <v>1965</v>
      </c>
    </row>
    <row r="21" spans="2:13">
      <c r="B21" s="632" t="s">
        <v>1948</v>
      </c>
      <c r="C21" s="653">
        <f>+Print_Mois!$J$96</f>
        <v>32</v>
      </c>
      <c r="D21" s="653">
        <f>+Print_Mois!$G$96</f>
        <v>45.631067961165051</v>
      </c>
      <c r="E21" s="653">
        <f>+Print_Mois!$D$96</f>
        <v>45.631067961165051</v>
      </c>
      <c r="F21" s="653">
        <f>+Print_Mois!$O$96</f>
        <v>39</v>
      </c>
      <c r="G21" s="655">
        <f t="shared" ref="G21:I32" si="10">+IFERROR($C21-D21,"")</f>
        <v>-13.631067961165051</v>
      </c>
      <c r="H21" s="654">
        <f t="shared" si="10"/>
        <v>-13.631067961165051</v>
      </c>
      <c r="I21" s="656">
        <f t="shared" si="10"/>
        <v>-7</v>
      </c>
      <c r="J21" s="668">
        <f t="shared" ref="J21:J32" si="11">+IFERROR(G21/ABS($D21),"")</f>
        <v>-0.29872340425531918</v>
      </c>
      <c r="K21" s="669">
        <f t="shared" ref="K21:K32" si="12">+IFERROR(H21/ABS($E21),"")</f>
        <v>-0.29872340425531918</v>
      </c>
      <c r="L21" s="670">
        <f t="shared" ref="L21:L32" si="13">+IFERROR(I21/ABS($F21),"")</f>
        <v>-0.17948717948717949</v>
      </c>
      <c r="M21" s="1419" t="s">
        <v>3619</v>
      </c>
    </row>
    <row r="22" spans="2:13">
      <c r="B22" s="633" t="s">
        <v>1949</v>
      </c>
      <c r="C22" s="1011">
        <f>+Print_Mois!$L$96</f>
        <v>65718.059999999969</v>
      </c>
      <c r="D22" s="1011">
        <f>+Print_Mois!$I$96</f>
        <v>58349.514563106801</v>
      </c>
      <c r="E22" s="1011">
        <f>+Print_Mois!$F$96</f>
        <v>58349.514563106801</v>
      </c>
      <c r="F22" s="1011">
        <f>+Print_Mois!$Q$96</f>
        <v>49609.780000000072</v>
      </c>
      <c r="G22" s="1012">
        <f t="shared" si="10"/>
        <v>7368.5454368931678</v>
      </c>
      <c r="H22" s="1013">
        <f t="shared" si="10"/>
        <v>7368.5454368931678</v>
      </c>
      <c r="I22" s="1014">
        <f t="shared" si="10"/>
        <v>16108.279999999897</v>
      </c>
      <c r="J22" s="1015">
        <f t="shared" si="11"/>
        <v>0.12628289184692118</v>
      </c>
      <c r="K22" s="1016">
        <f t="shared" si="12"/>
        <v>0.12628289184692118</v>
      </c>
      <c r="L22" s="1017">
        <f t="shared" si="13"/>
        <v>0.32469968623122042</v>
      </c>
      <c r="M22" s="1420"/>
    </row>
    <row r="23" spans="2:13">
      <c r="B23" s="633" t="s">
        <v>1950</v>
      </c>
      <c r="C23" s="1011">
        <f>+C22/C21</f>
        <v>2053.689374999999</v>
      </c>
      <c r="D23" s="1011">
        <f t="shared" ref="D23:F23" si="14">+D22/D21</f>
        <v>1278.7234042553191</v>
      </c>
      <c r="E23" s="1011">
        <f t="shared" si="14"/>
        <v>1278.7234042553191</v>
      </c>
      <c r="F23" s="1011">
        <f t="shared" si="14"/>
        <v>1272.0456410256429</v>
      </c>
      <c r="G23" s="1012">
        <f t="shared" si="10"/>
        <v>774.96597074467991</v>
      </c>
      <c r="H23" s="1013">
        <f t="shared" si="10"/>
        <v>774.96597074467991</v>
      </c>
      <c r="I23" s="1014">
        <f t="shared" si="10"/>
        <v>781.64373397435611</v>
      </c>
      <c r="J23" s="1015">
        <f t="shared" si="11"/>
        <v>0.6060465994176365</v>
      </c>
      <c r="K23" s="1016">
        <f t="shared" si="12"/>
        <v>0.6060465994176365</v>
      </c>
      <c r="L23" s="1017">
        <f t="shared" si="13"/>
        <v>0.61447774259429977</v>
      </c>
      <c r="M23" s="1420"/>
    </row>
    <row r="24" spans="2:13">
      <c r="B24" s="633" t="s">
        <v>1951</v>
      </c>
      <c r="C24" s="1011">
        <f>+Print_Mois!$L$111</f>
        <v>27153.34</v>
      </c>
      <c r="D24" s="1011">
        <f>+Print_Mois!$I$111</f>
        <v>22233.252427184467</v>
      </c>
      <c r="E24" s="1011">
        <f>+Print_Mois!$F$111</f>
        <v>22233.252427184467</v>
      </c>
      <c r="F24" s="1011">
        <f>+Print_Mois!$Q$111</f>
        <v>18860.02</v>
      </c>
      <c r="G24" s="1012">
        <f t="shared" si="10"/>
        <v>4920.0875728155333</v>
      </c>
      <c r="H24" s="1013">
        <f t="shared" si="10"/>
        <v>4920.0875728155333</v>
      </c>
      <c r="I24" s="1014">
        <f t="shared" si="10"/>
        <v>8293.32</v>
      </c>
      <c r="J24" s="1015">
        <f t="shared" si="11"/>
        <v>0.22129409940939507</v>
      </c>
      <c r="K24" s="1016">
        <f t="shared" si="12"/>
        <v>0.22129409940939507</v>
      </c>
      <c r="L24" s="1017">
        <f t="shared" si="13"/>
        <v>0.43973018056184454</v>
      </c>
      <c r="M24" s="1420"/>
    </row>
    <row r="25" spans="2:13">
      <c r="B25" s="633" t="s">
        <v>1952</v>
      </c>
      <c r="C25" s="1018">
        <f>+C24/C22</f>
        <v>0.41317926913849878</v>
      </c>
      <c r="D25" s="1018">
        <f t="shared" ref="D25:E25" si="15">+D24/D22</f>
        <v>0.38103577371048253</v>
      </c>
      <c r="E25" s="1018">
        <f t="shared" si="15"/>
        <v>0.38103577371048253</v>
      </c>
      <c r="F25" s="1018">
        <f>+F24/F22</f>
        <v>0.38016737828710334</v>
      </c>
      <c r="G25" s="1019">
        <f t="shared" si="10"/>
        <v>3.2143495428016255E-2</v>
      </c>
      <c r="H25" s="1020">
        <f t="shared" si="10"/>
        <v>3.2143495428016255E-2</v>
      </c>
      <c r="I25" s="1021">
        <f t="shared" si="10"/>
        <v>3.3011890851395442E-2</v>
      </c>
      <c r="J25" s="1015">
        <f t="shared" si="11"/>
        <v>8.4358208981289595E-2</v>
      </c>
      <c r="K25" s="1016">
        <f t="shared" si="12"/>
        <v>8.4358208981289595E-2</v>
      </c>
      <c r="L25" s="1017">
        <f t="shared" si="13"/>
        <v>8.6835148770878445E-2</v>
      </c>
      <c r="M25" s="1420"/>
    </row>
    <row r="26" spans="2:13">
      <c r="B26" s="633" t="s">
        <v>1953</v>
      </c>
      <c r="C26" s="1011">
        <f>+Print_Mois!$L$104</f>
        <v>96011.69</v>
      </c>
      <c r="D26" s="1011">
        <f>+Print_Mois!$I$104</f>
        <v>84588.993766352185</v>
      </c>
      <c r="E26" s="1011">
        <f>+Print_Mois!$F$104</f>
        <v>84588.993766352185</v>
      </c>
      <c r="F26" s="1011">
        <f>+Print_Mois!$Q$104</f>
        <v>82955.14</v>
      </c>
      <c r="G26" s="1012">
        <f t="shared" si="10"/>
        <v>11422.696233647817</v>
      </c>
      <c r="H26" s="1013">
        <f t="shared" si="10"/>
        <v>11422.696233647817</v>
      </c>
      <c r="I26" s="1014">
        <f t="shared" si="10"/>
        <v>13056.550000000003</v>
      </c>
      <c r="J26" s="1015">
        <f t="shared" si="11"/>
        <v>0.13503761807592915</v>
      </c>
      <c r="K26" s="1016">
        <f t="shared" si="12"/>
        <v>0.13503761807592915</v>
      </c>
      <c r="L26" s="1017">
        <f t="shared" si="13"/>
        <v>0.15739289934294612</v>
      </c>
      <c r="M26" s="1420"/>
    </row>
    <row r="27" spans="2:13">
      <c r="B27" s="633" t="s">
        <v>1954</v>
      </c>
      <c r="C27" s="1011">
        <f>+C26/C21</f>
        <v>3000.3653125000001</v>
      </c>
      <c r="D27" s="1011">
        <f t="shared" ref="D27:F27" si="16">+D26/D21</f>
        <v>1853.758799560484</v>
      </c>
      <c r="E27" s="1011">
        <f t="shared" si="16"/>
        <v>1853.758799560484</v>
      </c>
      <c r="F27" s="1011">
        <f t="shared" si="16"/>
        <v>2127.0548717948718</v>
      </c>
      <c r="G27" s="1012">
        <f t="shared" si="10"/>
        <v>1146.6065129395161</v>
      </c>
      <c r="H27" s="1013">
        <f t="shared" si="10"/>
        <v>1146.6065129395161</v>
      </c>
      <c r="I27" s="1014">
        <f t="shared" si="10"/>
        <v>873.31044070512826</v>
      </c>
      <c r="J27" s="1015">
        <f t="shared" si="11"/>
        <v>0.61853058402817573</v>
      </c>
      <c r="K27" s="1016">
        <f t="shared" si="12"/>
        <v>0.61853058402817573</v>
      </c>
      <c r="L27" s="1017">
        <f t="shared" si="13"/>
        <v>0.41057259607421553</v>
      </c>
      <c r="M27" s="1420"/>
    </row>
    <row r="28" spans="2:13">
      <c r="B28" s="633" t="s">
        <v>1955</v>
      </c>
      <c r="C28" s="1011">
        <f>+Print_Mois!$L$112</f>
        <v>27749.38</v>
      </c>
      <c r="D28" s="1011">
        <f>+Print_Mois!$I$112</f>
        <v>25376.698129905653</v>
      </c>
      <c r="E28" s="1011">
        <f>+Print_Mois!$F$112</f>
        <v>25376.698129905653</v>
      </c>
      <c r="F28" s="1011">
        <f>+Print_Mois!$Q$112</f>
        <v>24245.08</v>
      </c>
      <c r="G28" s="1012">
        <f t="shared" si="10"/>
        <v>2372.6818700943477</v>
      </c>
      <c r="H28" s="1013">
        <f t="shared" si="10"/>
        <v>2372.6818700943477</v>
      </c>
      <c r="I28" s="1014">
        <f t="shared" si="10"/>
        <v>3504.2999999999993</v>
      </c>
      <c r="J28" s="1015">
        <f t="shared" si="11"/>
        <v>9.3498447195469278E-2</v>
      </c>
      <c r="K28" s="1016">
        <f t="shared" si="12"/>
        <v>9.3498447195469278E-2</v>
      </c>
      <c r="L28" s="1017">
        <f t="shared" si="13"/>
        <v>0.144536541021931</v>
      </c>
      <c r="M28" s="1420"/>
    </row>
    <row r="29" spans="2:13">
      <c r="B29" s="633" t="s">
        <v>1956</v>
      </c>
      <c r="C29" s="1018">
        <f>+C28/C26</f>
        <v>0.28902084735723327</v>
      </c>
      <c r="D29" s="1018">
        <f t="shared" ref="D29:F29" si="17">+D28/D26</f>
        <v>0.3</v>
      </c>
      <c r="E29" s="1018">
        <f t="shared" si="17"/>
        <v>0.3</v>
      </c>
      <c r="F29" s="1018">
        <f t="shared" si="17"/>
        <v>0.29226736281802435</v>
      </c>
      <c r="G29" s="1022">
        <f t="shared" si="10"/>
        <v>-1.0979152642766721E-2</v>
      </c>
      <c r="H29" s="1016">
        <f t="shared" si="10"/>
        <v>-1.0979152642766721E-2</v>
      </c>
      <c r="I29" s="1023">
        <f t="shared" si="10"/>
        <v>-3.2465154607910773E-3</v>
      </c>
      <c r="J29" s="1015">
        <f t="shared" si="11"/>
        <v>-3.6597175475889074E-2</v>
      </c>
      <c r="K29" s="1016">
        <f t="shared" si="12"/>
        <v>-3.6597175475889074E-2</v>
      </c>
      <c r="L29" s="1017">
        <f t="shared" si="13"/>
        <v>-1.1108032828189814E-2</v>
      </c>
      <c r="M29" s="1420"/>
    </row>
    <row r="30" spans="2:13">
      <c r="B30" s="633" t="s">
        <v>1957</v>
      </c>
      <c r="C30" s="1011">
        <f>+Print_Mois!$L$121-C24-C28</f>
        <v>18745.970000000019</v>
      </c>
      <c r="D30" s="1011">
        <f>+Print_Mois!$I$121-D24-D28</f>
        <v>11638.554205786048</v>
      </c>
      <c r="E30" s="1011">
        <f>+Print_Mois!$F$121-E24-E28</f>
        <v>11638.554205786048</v>
      </c>
      <c r="F30" s="1011">
        <f>+Print_Mois!$Q$121-F24-F28</f>
        <v>8282.8700000000063</v>
      </c>
      <c r="G30" s="1012">
        <f t="shared" si="10"/>
        <v>7107.4157942139718</v>
      </c>
      <c r="H30" s="1013">
        <f t="shared" si="10"/>
        <v>7107.4157942139718</v>
      </c>
      <c r="I30" s="1014">
        <f t="shared" si="10"/>
        <v>10463.100000000013</v>
      </c>
      <c r="J30" s="1015">
        <f t="shared" si="11"/>
        <v>0.61067858331411617</v>
      </c>
      <c r="K30" s="1016">
        <f t="shared" si="12"/>
        <v>0.61067858331411617</v>
      </c>
      <c r="L30" s="1017">
        <f t="shared" si="13"/>
        <v>1.2632215645060234</v>
      </c>
      <c r="M30" s="1420"/>
    </row>
    <row r="31" spans="2:13">
      <c r="B31" s="633" t="s">
        <v>1958</v>
      </c>
      <c r="C31" s="1011">
        <f>+C30/C21</f>
        <v>585.8115625000006</v>
      </c>
      <c r="D31" s="1011">
        <f t="shared" ref="D31:F31" si="18">+D30/D21</f>
        <v>255.05767727573678</v>
      </c>
      <c r="E31" s="1011">
        <f t="shared" si="18"/>
        <v>255.05767727573678</v>
      </c>
      <c r="F31" s="1011">
        <f t="shared" si="18"/>
        <v>212.3812820512822</v>
      </c>
      <c r="G31" s="1012">
        <f t="shared" si="10"/>
        <v>330.75388522426385</v>
      </c>
      <c r="H31" s="1013">
        <f t="shared" si="10"/>
        <v>330.75388522426385</v>
      </c>
      <c r="I31" s="1014">
        <f t="shared" si="10"/>
        <v>373.43028044871841</v>
      </c>
      <c r="J31" s="1015">
        <f t="shared" si="11"/>
        <v>1.2967807468374837</v>
      </c>
      <c r="K31" s="1016">
        <f t="shared" si="12"/>
        <v>1.2967807468374837</v>
      </c>
      <c r="L31" s="1017">
        <f t="shared" si="13"/>
        <v>1.7583012817417161</v>
      </c>
      <c r="M31" s="1420"/>
    </row>
    <row r="32" spans="2:13">
      <c r="B32" s="633" t="s">
        <v>1959</v>
      </c>
      <c r="C32" s="1011">
        <f>+Print_Mois!$L$162</f>
        <v>11168</v>
      </c>
      <c r="D32" s="1011">
        <f>+Print_Mois!$I$162</f>
        <v>16386.11650485437</v>
      </c>
      <c r="E32" s="1011">
        <f>+Print_Mois!$F$162</f>
        <v>16386.11650485437</v>
      </c>
      <c r="F32" s="1011">
        <f>+Print_Mois!$Q$162</f>
        <v>13611</v>
      </c>
      <c r="G32" s="1012">
        <f t="shared" si="10"/>
        <v>-5218.1165048543699</v>
      </c>
      <c r="H32" s="1013">
        <f t="shared" si="10"/>
        <v>-5218.1165048543699</v>
      </c>
      <c r="I32" s="1014">
        <f t="shared" si="10"/>
        <v>-2443</v>
      </c>
      <c r="J32" s="1015">
        <f t="shared" si="11"/>
        <v>-0.31844741878336508</v>
      </c>
      <c r="K32" s="1016">
        <f t="shared" si="12"/>
        <v>-0.31844741878336508</v>
      </c>
      <c r="L32" s="1017">
        <f t="shared" si="13"/>
        <v>-0.17948717948717949</v>
      </c>
      <c r="M32" s="1420"/>
    </row>
    <row r="33" spans="2:13">
      <c r="B33" s="635" t="s">
        <v>1960</v>
      </c>
      <c r="C33" s="1024"/>
      <c r="D33" s="1024"/>
      <c r="E33" s="1024"/>
      <c r="F33" s="1024"/>
      <c r="G33" s="1025"/>
      <c r="H33" s="1026"/>
      <c r="I33" s="1027"/>
      <c r="J33" s="1028"/>
      <c r="K33" s="1029"/>
      <c r="L33" s="1030"/>
      <c r="M33" s="1420"/>
    </row>
    <row r="34" spans="2:13">
      <c r="B34" s="1371" t="s">
        <v>1948</v>
      </c>
      <c r="C34" s="1372">
        <f>Inventaire_Used!L3</f>
        <v>103</v>
      </c>
      <c r="D34" s="1372">
        <v>68</v>
      </c>
      <c r="E34" s="1372">
        <v>68</v>
      </c>
      <c r="F34" s="1372">
        <v>92</v>
      </c>
      <c r="G34" s="1012">
        <f t="shared" ref="G34:I35" si="19">+IFERROR($C34-D34,"")</f>
        <v>35</v>
      </c>
      <c r="H34" s="1013">
        <f>+IFERROR($C34-E34,"")</f>
        <v>35</v>
      </c>
      <c r="I34" s="1014">
        <f t="shared" si="19"/>
        <v>11</v>
      </c>
      <c r="J34" s="1015">
        <f>+IFERROR(G34/ABS($D34),"")</f>
        <v>0.51470588235294112</v>
      </c>
      <c r="K34" s="1016">
        <f>+IFERROR(H34/ABS($E34),"")</f>
        <v>0.51470588235294112</v>
      </c>
      <c r="L34" s="1017">
        <f>+IFERROR(I34/ABS($F34),"")</f>
        <v>0.11956521739130435</v>
      </c>
      <c r="M34" s="1420"/>
    </row>
    <row r="35" spans="2:13">
      <c r="B35" s="1373" t="s">
        <v>1913</v>
      </c>
      <c r="C35" s="1374">
        <f>Inventaire_Used!L2</f>
        <v>2677576.6100000003</v>
      </c>
      <c r="D35" s="1374">
        <v>1072231</v>
      </c>
      <c r="E35" s="1374">
        <v>1072231</v>
      </c>
      <c r="F35" s="1374">
        <v>1510979</v>
      </c>
      <c r="G35" s="1031">
        <f t="shared" si="19"/>
        <v>1605345.6100000003</v>
      </c>
      <c r="H35" s="1032">
        <f t="shared" si="19"/>
        <v>1605345.6100000003</v>
      </c>
      <c r="I35" s="1033">
        <f t="shared" si="19"/>
        <v>1166597.6100000003</v>
      </c>
      <c r="J35" s="1034">
        <f>+IFERROR(G35/ABS($D35),"")</f>
        <v>1.4972012653989675</v>
      </c>
      <c r="K35" s="1035">
        <f>+IFERROR(H35/ABS($E35),"")</f>
        <v>1.4972012653989675</v>
      </c>
      <c r="L35" s="1036">
        <f>+IFERROR(I35/ABS($F35),"")</f>
        <v>0.77208062454871995</v>
      </c>
      <c r="M35" s="1421"/>
    </row>
    <row r="36" spans="2:13">
      <c r="C36" s="1090">
        <f>C35/C34</f>
        <v>25995.88941747573</v>
      </c>
      <c r="D36" s="1090">
        <f>D35/D34</f>
        <v>15768.10294117647</v>
      </c>
      <c r="E36" s="1090">
        <f>E35/E34</f>
        <v>15768.10294117647</v>
      </c>
      <c r="F36" s="1090">
        <f>F35/F34</f>
        <v>16423.684782608696</v>
      </c>
      <c r="G36" s="1037"/>
      <c r="H36" s="1037"/>
      <c r="I36" s="1037"/>
      <c r="J36" s="1037"/>
      <c r="K36" s="1037"/>
      <c r="L36" s="1037"/>
      <c r="M36" s="159"/>
    </row>
    <row r="37" spans="2:13">
      <c r="B37" s="648" t="s">
        <v>155</v>
      </c>
      <c r="C37" s="649" t="s">
        <v>1947</v>
      </c>
      <c r="D37" s="649" t="s">
        <v>1968</v>
      </c>
      <c r="E37" s="649" t="s">
        <v>6</v>
      </c>
      <c r="F37" s="649">
        <v>2021</v>
      </c>
      <c r="G37" s="651" t="s">
        <v>1971</v>
      </c>
      <c r="H37" s="650" t="s">
        <v>1969</v>
      </c>
      <c r="I37" s="652" t="s">
        <v>3249</v>
      </c>
      <c r="J37" s="651" t="s">
        <v>1972</v>
      </c>
      <c r="K37" s="650" t="s">
        <v>1970</v>
      </c>
      <c r="L37" s="652" t="s">
        <v>3250</v>
      </c>
      <c r="M37" s="1056" t="s">
        <v>1965</v>
      </c>
    </row>
    <row r="38" spans="2:13">
      <c r="B38" s="632" t="s">
        <v>1961</v>
      </c>
      <c r="C38" s="657">
        <f>+Print_Mois!$K$193</f>
        <v>285908.70999999996</v>
      </c>
      <c r="D38" s="657">
        <f>+Print_Mois!$H$193</f>
        <v>321390.31660798751</v>
      </c>
      <c r="E38" s="657">
        <f>+Print_Mois!$E$193</f>
        <v>321390.31660798751</v>
      </c>
      <c r="F38" s="657">
        <f>+Print_Mois!$P$193</f>
        <v>262627.93</v>
      </c>
      <c r="G38" s="659">
        <f t="shared" ref="G38:I47" si="20">+IFERROR($C38-D38,"")</f>
        <v>-35481.606607987545</v>
      </c>
      <c r="H38" s="658">
        <f t="shared" si="20"/>
        <v>-35481.606607987545</v>
      </c>
      <c r="I38" s="660">
        <f t="shared" si="20"/>
        <v>23280.77999999997</v>
      </c>
      <c r="J38" s="668">
        <f t="shared" ref="J38:J47" si="21">+IFERROR(G38/ABS($D38),"")</f>
        <v>-0.11040035985672171</v>
      </c>
      <c r="K38" s="669">
        <f t="shared" ref="K38:K47" si="22">+IFERROR(H38/ABS($E38),"")</f>
        <v>-0.11040035985672171</v>
      </c>
      <c r="L38" s="670">
        <f t="shared" ref="L38:L47" si="23">+IFERROR(I38/ABS($F38),"")</f>
        <v>8.8645484126535862E-2</v>
      </c>
      <c r="M38" s="1419" t="s">
        <v>3620</v>
      </c>
    </row>
    <row r="39" spans="2:13">
      <c r="B39" s="632" t="s">
        <v>1973</v>
      </c>
      <c r="C39" s="657">
        <f>+Print_Mois!$L$193</f>
        <v>199493.81</v>
      </c>
      <c r="D39" s="657">
        <f>+Print_Mois!$I$193</f>
        <v>213845.10370482458</v>
      </c>
      <c r="E39" s="657">
        <f>+Print_Mois!$F$193</f>
        <v>213845.10370482458</v>
      </c>
      <c r="F39" s="657">
        <f>+Print_Mois!$Q$193</f>
        <v>174867.03</v>
      </c>
      <c r="G39" s="659">
        <f t="shared" si="20"/>
        <v>-14351.29370482458</v>
      </c>
      <c r="H39" s="658">
        <f t="shared" si="20"/>
        <v>-14351.29370482458</v>
      </c>
      <c r="I39" s="660">
        <f t="shared" si="20"/>
        <v>24626.78</v>
      </c>
      <c r="J39" s="671">
        <f t="shared" si="21"/>
        <v>-6.7110695808280038E-2</v>
      </c>
      <c r="K39" s="672">
        <f t="shared" si="22"/>
        <v>-6.7110695808280038E-2</v>
      </c>
      <c r="L39" s="673">
        <f t="shared" si="23"/>
        <v>0.14083146491365467</v>
      </c>
      <c r="M39" s="1420"/>
    </row>
    <row r="40" spans="2:13">
      <c r="B40" s="633" t="s">
        <v>1974</v>
      </c>
      <c r="C40" s="1011">
        <f>+Print_Mois!$K$171/Print_Mois!$J$171</f>
        <v>276.61797406807131</v>
      </c>
      <c r="D40" s="1011">
        <f>+IFERROR(Print_Mois!$H$171/Print_Mois!$G$171,"")</f>
        <v>248</v>
      </c>
      <c r="E40" s="1011">
        <f>+IFERROR(Print_Mois!$E$171/Print_Mois!$D$171,"")</f>
        <v>248</v>
      </c>
      <c r="F40" s="1011">
        <f>+Print_Mois!$P$171/Print_Mois!$O$171</f>
        <v>216.75472924187724</v>
      </c>
      <c r="G40" s="1012">
        <f t="shared" si="20"/>
        <v>28.617974068071305</v>
      </c>
      <c r="H40" s="1013">
        <f t="shared" si="20"/>
        <v>28.617974068071305</v>
      </c>
      <c r="I40" s="1014">
        <f t="shared" si="20"/>
        <v>59.863244826194062</v>
      </c>
      <c r="J40" s="1015">
        <f t="shared" si="21"/>
        <v>0.11539505672609397</v>
      </c>
      <c r="K40" s="1016">
        <f t="shared" si="22"/>
        <v>0.11539505672609397</v>
      </c>
      <c r="L40" s="1017">
        <f t="shared" si="23"/>
        <v>0.2761796480084755</v>
      </c>
      <c r="M40" s="1420"/>
    </row>
    <row r="41" spans="2:13">
      <c r="B41" s="633" t="s">
        <v>1975</v>
      </c>
      <c r="C41" s="1011">
        <f>+Print_Mois!$K$174/Print_Mois!$J$174</f>
        <v>114.7315804597701</v>
      </c>
      <c r="D41" s="1011">
        <f>+IFERROR(Print_Mois!$H$174/Print_Mois!$G$174,"")</f>
        <v>198.09762771214207</v>
      </c>
      <c r="E41" s="1011">
        <f>+IFERROR(Print_Mois!$E$174/Print_Mois!$D$174,"")</f>
        <v>198.09762771214207</v>
      </c>
      <c r="F41" s="1011">
        <f>+Print_Mois!$P$174/Print_Mois!$O$174</f>
        <v>242.70426829268294</v>
      </c>
      <c r="G41" s="1012">
        <f t="shared" si="20"/>
        <v>-83.36604725237197</v>
      </c>
      <c r="H41" s="1013">
        <f t="shared" si="20"/>
        <v>-83.36604725237197</v>
      </c>
      <c r="I41" s="1014">
        <f t="shared" si="20"/>
        <v>-127.97268783291284</v>
      </c>
      <c r="J41" s="1015">
        <f t="shared" si="21"/>
        <v>-0.4208331428052845</v>
      </c>
      <c r="K41" s="1016">
        <f t="shared" si="22"/>
        <v>-0.4208331428052845</v>
      </c>
      <c r="L41" s="1017">
        <f t="shared" si="23"/>
        <v>-0.52727827463910726</v>
      </c>
      <c r="M41" s="1420"/>
    </row>
    <row r="42" spans="2:13">
      <c r="B42" s="633" t="s">
        <v>1964</v>
      </c>
      <c r="C42" s="1038">
        <f>+Print_Mois!$L$183</f>
        <v>-2987.28</v>
      </c>
      <c r="D42" s="1038">
        <f>+Print_Mois!$I$183</f>
        <v>-4411.4934015380704</v>
      </c>
      <c r="E42" s="1038">
        <f>+Print_Mois!$F$183</f>
        <v>-4411.4934015380704</v>
      </c>
      <c r="F42" s="1038">
        <f>+Print_Mois!$Q$183</f>
        <v>-4646.71</v>
      </c>
      <c r="G42" s="1012">
        <f t="shared" si="20"/>
        <v>1424.2134015380702</v>
      </c>
      <c r="H42" s="1013">
        <f t="shared" si="20"/>
        <v>1424.2134015380702</v>
      </c>
      <c r="I42" s="1014">
        <f t="shared" si="20"/>
        <v>1659.4299999999998</v>
      </c>
      <c r="J42" s="1015">
        <f t="shared" si="21"/>
        <v>0.3228415577005096</v>
      </c>
      <c r="K42" s="1016">
        <f t="shared" si="22"/>
        <v>0.3228415577005096</v>
      </c>
      <c r="L42" s="1017">
        <f t="shared" si="23"/>
        <v>0.35711933819842423</v>
      </c>
      <c r="M42" s="1420"/>
    </row>
    <row r="43" spans="2:13">
      <c r="B43" s="633" t="s">
        <v>1976</v>
      </c>
      <c r="C43" s="1011">
        <f>+Print_Mois!$L$209</f>
        <v>109073.29</v>
      </c>
      <c r="D43" s="1011">
        <f>+Print_Mois!$I$209</f>
        <v>116122.87542588104</v>
      </c>
      <c r="E43" s="1011">
        <f>+Print_Mois!$F$209</f>
        <v>116122.87542588104</v>
      </c>
      <c r="F43" s="1011">
        <f>+Print_Mois!$Q$209</f>
        <v>94324.180000000008</v>
      </c>
      <c r="G43" s="1012">
        <f t="shared" si="20"/>
        <v>-7049.5854258810432</v>
      </c>
      <c r="H43" s="1013">
        <f t="shared" si="20"/>
        <v>-7049.5854258810432</v>
      </c>
      <c r="I43" s="1014">
        <f t="shared" si="20"/>
        <v>14749.109999999986</v>
      </c>
      <c r="J43" s="1015">
        <f t="shared" si="21"/>
        <v>-6.0707981954689502E-2</v>
      </c>
      <c r="K43" s="1016">
        <f t="shared" si="22"/>
        <v>-6.0707981954689502E-2</v>
      </c>
      <c r="L43" s="1017">
        <f t="shared" si="23"/>
        <v>0.1563661618897719</v>
      </c>
      <c r="M43" s="1420"/>
    </row>
    <row r="44" spans="2:13">
      <c r="B44" s="634" t="s">
        <v>1977</v>
      </c>
      <c r="C44" s="1011">
        <f>+SUM(Print_Mois!$L$197:$L$203)</f>
        <v>64949.32</v>
      </c>
      <c r="D44" s="1011">
        <f>+SUM(Print_Mois!$I$197:$I$203)</f>
        <v>68744.6938977674</v>
      </c>
      <c r="E44" s="1011">
        <f>+SUM(Print_Mois!$F$197:$F$203)</f>
        <v>68744.6938977674</v>
      </c>
      <c r="F44" s="1011">
        <f>+SUM(Print_Mois!$Q$197:$Q$203)</f>
        <v>51361.440000000002</v>
      </c>
      <c r="G44" s="1012">
        <f t="shared" si="20"/>
        <v>-3795.3738977674002</v>
      </c>
      <c r="H44" s="1013">
        <f t="shared" si="20"/>
        <v>-3795.3738977674002</v>
      </c>
      <c r="I44" s="1014">
        <f t="shared" si="20"/>
        <v>13587.879999999997</v>
      </c>
      <c r="J44" s="1015">
        <f t="shared" si="21"/>
        <v>-5.5209699579310531E-2</v>
      </c>
      <c r="K44" s="1016">
        <f t="shared" si="22"/>
        <v>-5.5209699579310531E-2</v>
      </c>
      <c r="L44" s="1017">
        <f t="shared" si="23"/>
        <v>0.26455410907482341</v>
      </c>
      <c r="M44" s="1420"/>
    </row>
    <row r="45" spans="2:13" ht="25.5" customHeight="1">
      <c r="B45" s="634" t="s">
        <v>1978</v>
      </c>
      <c r="C45" s="1011">
        <f>+SUM(Print_Mois!$L$204:$L$208)</f>
        <v>44123.97</v>
      </c>
      <c r="D45" s="1011">
        <f>+SUM(Print_Mois!$I$204:$I$208)</f>
        <v>47378.181528113637</v>
      </c>
      <c r="E45" s="1011">
        <f>+SUM(Print_Mois!$F$204:$F$208)</f>
        <v>47378.181528113637</v>
      </c>
      <c r="F45" s="1011">
        <f>+SUM(Print_Mois!$Q$204:$Q$208)</f>
        <v>42962.740000000005</v>
      </c>
      <c r="G45" s="1012">
        <f t="shared" si="20"/>
        <v>-3254.2115281136357</v>
      </c>
      <c r="H45" s="1013">
        <f t="shared" si="20"/>
        <v>-3254.2115281136357</v>
      </c>
      <c r="I45" s="1014">
        <f t="shared" si="20"/>
        <v>1161.2299999999959</v>
      </c>
      <c r="J45" s="1015">
        <f t="shared" si="21"/>
        <v>-6.8685868118062446E-2</v>
      </c>
      <c r="K45" s="1016">
        <f t="shared" si="22"/>
        <v>-6.8685868118062446E-2</v>
      </c>
      <c r="L45" s="1017">
        <f t="shared" si="23"/>
        <v>2.7028769580338587E-2</v>
      </c>
      <c r="M45" s="1420"/>
    </row>
    <row r="46" spans="2:13" ht="25.5" customHeight="1">
      <c r="B46" s="633" t="s">
        <v>1987</v>
      </c>
      <c r="C46" s="1039">
        <f>+C43/C38</f>
        <v>0.3814969120737875</v>
      </c>
      <c r="D46" s="1039">
        <f t="shared" ref="D46:E46" si="24">+D43/D38</f>
        <v>0.36131416979659875</v>
      </c>
      <c r="E46" s="1039">
        <f t="shared" si="24"/>
        <v>0.36131416979659875</v>
      </c>
      <c r="F46" s="1039">
        <f>+F43/F38</f>
        <v>0.35915517439443706</v>
      </c>
      <c r="G46" s="1040">
        <f t="shared" si="20"/>
        <v>2.0182742277188748E-2</v>
      </c>
      <c r="H46" s="1041">
        <f t="shared" si="20"/>
        <v>2.0182742277188748E-2</v>
      </c>
      <c r="I46" s="1042">
        <f t="shared" si="20"/>
        <v>2.2341737679350437E-2</v>
      </c>
      <c r="J46" s="1015">
        <f t="shared" si="21"/>
        <v>5.5859260345506492E-2</v>
      </c>
      <c r="K46" s="1016">
        <f t="shared" si="22"/>
        <v>5.5859260345506492E-2</v>
      </c>
      <c r="L46" s="1017">
        <f t="shared" si="23"/>
        <v>6.220636446911925E-2</v>
      </c>
      <c r="M46" s="1420"/>
    </row>
    <row r="47" spans="2:13" ht="52.5" customHeight="1">
      <c r="B47" s="661" t="s">
        <v>123</v>
      </c>
      <c r="C47" s="1043">
        <f>+Print_Mois!$L$212</f>
        <v>11752.87</v>
      </c>
      <c r="D47" s="1043">
        <f>+Print_Mois!$I$212</f>
        <v>15977.574444444444</v>
      </c>
      <c r="E47" s="1043">
        <f>+Print_Mois!$F$212</f>
        <v>15977.574444444444</v>
      </c>
      <c r="F47" s="1043">
        <f>+Print_Mois!$Q$212</f>
        <v>18069.37</v>
      </c>
      <c r="G47" s="1031">
        <f t="shared" si="20"/>
        <v>-4224.7044444444437</v>
      </c>
      <c r="H47" s="1032">
        <f t="shared" si="20"/>
        <v>-4224.7044444444437</v>
      </c>
      <c r="I47" s="1033">
        <f t="shared" si="20"/>
        <v>-6316.4999999999982</v>
      </c>
      <c r="J47" s="1034">
        <f t="shared" si="21"/>
        <v>-0.26441463058952691</v>
      </c>
      <c r="K47" s="1035">
        <f t="shared" si="22"/>
        <v>-0.26441463058952691</v>
      </c>
      <c r="L47" s="1036">
        <f t="shared" si="23"/>
        <v>-0.34956946479041595</v>
      </c>
      <c r="M47" s="1421"/>
    </row>
    <row r="48" spans="2:13">
      <c r="C48" s="1037"/>
      <c r="D48" s="1037"/>
      <c r="E48" s="1037"/>
      <c r="F48" s="1037"/>
      <c r="G48" s="1037"/>
      <c r="H48" s="1037"/>
      <c r="I48" s="1037"/>
      <c r="J48" s="1037"/>
      <c r="K48" s="1037"/>
      <c r="L48" s="1037"/>
      <c r="M48" s="159"/>
    </row>
    <row r="49" spans="2:13">
      <c r="B49" s="662" t="s">
        <v>1966</v>
      </c>
      <c r="C49" s="663" t="s">
        <v>1947</v>
      </c>
      <c r="D49" s="663" t="s">
        <v>1968</v>
      </c>
      <c r="E49" s="663" t="s">
        <v>6</v>
      </c>
      <c r="F49" s="663">
        <v>2021</v>
      </c>
      <c r="G49" s="665" t="s">
        <v>1971</v>
      </c>
      <c r="H49" s="664" t="s">
        <v>1969</v>
      </c>
      <c r="I49" s="666" t="s">
        <v>3249</v>
      </c>
      <c r="J49" s="665" t="s">
        <v>1972</v>
      </c>
      <c r="K49" s="664" t="s">
        <v>1970</v>
      </c>
      <c r="L49" s="666" t="s">
        <v>3250</v>
      </c>
      <c r="M49" s="1057" t="s">
        <v>1965</v>
      </c>
    </row>
    <row r="50" spans="2:13" ht="15" customHeight="1">
      <c r="B50" s="667" t="s">
        <v>1961</v>
      </c>
      <c r="C50" s="657">
        <f>+Print_Mois!$J$313</f>
        <v>395972.58999999997</v>
      </c>
      <c r="D50" s="657">
        <f>+Print_Mois!$G$313</f>
        <v>395738.32213523862</v>
      </c>
      <c r="E50" s="657">
        <f>+Print_Mois!$D$313</f>
        <v>395738.32213523862</v>
      </c>
      <c r="F50" s="657">
        <f>+Print_Mois!$O$313</f>
        <v>334619.39</v>
      </c>
      <c r="G50" s="659">
        <f t="shared" ref="G50:I59" si="25">+IFERROR($C50-D50,"")</f>
        <v>234.26786476135021</v>
      </c>
      <c r="H50" s="658">
        <f t="shared" si="25"/>
        <v>234.26786476135021</v>
      </c>
      <c r="I50" s="660">
        <f t="shared" si="25"/>
        <v>61353.199999999953</v>
      </c>
      <c r="J50" s="668">
        <f t="shared" ref="J50:J59" si="26">+IFERROR(G50/ABS($D50),"")</f>
        <v>5.9197669686710831E-4</v>
      </c>
      <c r="K50" s="669">
        <f t="shared" ref="K50:K59" si="27">+IFERROR(H50/ABS($E50),"")</f>
        <v>5.9197669686710831E-4</v>
      </c>
      <c r="L50" s="670">
        <f t="shared" ref="L50:L59" si="28">+IFERROR(I50/ABS($F50),"")</f>
        <v>0.18335219605773578</v>
      </c>
      <c r="M50" s="1419" t="s">
        <v>3621</v>
      </c>
    </row>
    <row r="51" spans="2:13">
      <c r="B51" s="1044" t="s">
        <v>1962</v>
      </c>
      <c r="C51" s="1011">
        <f>+Print_Mois!$J$294</f>
        <v>83928.41</v>
      </c>
      <c r="D51" s="1011">
        <f>+Print_Mois!$G$294</f>
        <v>79638.512157463789</v>
      </c>
      <c r="E51" s="1011">
        <f>+Print_Mois!$D$294</f>
        <v>79638.512157463789</v>
      </c>
      <c r="F51" s="1011">
        <f>+Print_Mois!$O$294</f>
        <v>68074.17</v>
      </c>
      <c r="G51" s="1012">
        <f t="shared" si="25"/>
        <v>4289.8978425362147</v>
      </c>
      <c r="H51" s="1013">
        <f t="shared" si="25"/>
        <v>4289.8978425362147</v>
      </c>
      <c r="I51" s="1014">
        <f t="shared" si="25"/>
        <v>15854.240000000005</v>
      </c>
      <c r="J51" s="1015">
        <f t="shared" si="26"/>
        <v>5.3867126925401278E-2</v>
      </c>
      <c r="K51" s="1016">
        <f t="shared" si="27"/>
        <v>5.3867126925401278E-2</v>
      </c>
      <c r="L51" s="1017">
        <f t="shared" si="28"/>
        <v>0.2328965597377097</v>
      </c>
      <c r="M51" s="1420"/>
    </row>
    <row r="52" spans="2:13">
      <c r="B52" s="1044" t="s">
        <v>1963</v>
      </c>
      <c r="C52" s="1011">
        <f>+Print_Mois!$J$296</f>
        <v>33824.31</v>
      </c>
      <c r="D52" s="1011">
        <f>+Print_Mois!$G$296</f>
        <v>92243.89391869164</v>
      </c>
      <c r="E52" s="1011">
        <f>+Print_Mois!$D$296</f>
        <v>92243.89391869164</v>
      </c>
      <c r="F52" s="1011">
        <f>+Print_Mois!$O$296</f>
        <v>79594.67</v>
      </c>
      <c r="G52" s="1012">
        <f t="shared" si="25"/>
        <v>-58419.583918691642</v>
      </c>
      <c r="H52" s="1013">
        <f t="shared" si="25"/>
        <v>-58419.583918691642</v>
      </c>
      <c r="I52" s="1014">
        <f t="shared" si="25"/>
        <v>-45770.36</v>
      </c>
      <c r="J52" s="1015">
        <f t="shared" si="26"/>
        <v>-0.63331654201616394</v>
      </c>
      <c r="K52" s="1016">
        <f t="shared" si="27"/>
        <v>-0.63331654201616394</v>
      </c>
      <c r="L52" s="1017">
        <f t="shared" si="28"/>
        <v>-0.57504302737859203</v>
      </c>
      <c r="M52" s="1420"/>
    </row>
    <row r="53" spans="2:13">
      <c r="B53" s="1044" t="s">
        <v>1979</v>
      </c>
      <c r="C53" s="1011">
        <f>+Print_Mois!$J$299</f>
        <v>77684.11</v>
      </c>
      <c r="D53" s="1011">
        <f>+Print_Mois!$G$299</f>
        <v>47625.131397946105</v>
      </c>
      <c r="E53" s="1011">
        <f>+Print_Mois!$D$299</f>
        <v>47625.131397946105</v>
      </c>
      <c r="F53" s="1011">
        <f>+Print_Mois!$O$299</f>
        <v>33246.97</v>
      </c>
      <c r="G53" s="1012">
        <f t="shared" si="25"/>
        <v>30058.978602053896</v>
      </c>
      <c r="H53" s="1013">
        <f t="shared" si="25"/>
        <v>30058.978602053896</v>
      </c>
      <c r="I53" s="1014">
        <f t="shared" si="25"/>
        <v>44437.14</v>
      </c>
      <c r="J53" s="1015">
        <f t="shared" si="26"/>
        <v>0.63115791431391677</v>
      </c>
      <c r="K53" s="1016">
        <f t="shared" si="27"/>
        <v>0.63115791431391677</v>
      </c>
      <c r="L53" s="1017">
        <f t="shared" si="28"/>
        <v>1.3365771377060827</v>
      </c>
      <c r="M53" s="1420"/>
    </row>
    <row r="54" spans="2:13">
      <c r="B54" s="1044" t="s">
        <v>1980</v>
      </c>
      <c r="C54" s="1011">
        <f>+Print_Mois!$J$306</f>
        <v>38052.43</v>
      </c>
      <c r="D54" s="1011">
        <f>+Print_Mois!$G$306</f>
        <v>40235.745737282341</v>
      </c>
      <c r="E54" s="1011">
        <f>+Print_Mois!$D$306</f>
        <v>40235.745737282341</v>
      </c>
      <c r="F54" s="1011">
        <f>+Print_Mois!$O$306</f>
        <v>41678.730000000003</v>
      </c>
      <c r="G54" s="1012">
        <f t="shared" si="25"/>
        <v>-2183.3157372823407</v>
      </c>
      <c r="H54" s="1013">
        <f t="shared" si="25"/>
        <v>-2183.3157372823407</v>
      </c>
      <c r="I54" s="1014">
        <f t="shared" si="25"/>
        <v>-3626.3000000000029</v>
      </c>
      <c r="J54" s="1015">
        <f t="shared" si="26"/>
        <v>-5.4263086150762849E-2</v>
      </c>
      <c r="K54" s="1016">
        <f t="shared" si="27"/>
        <v>-5.4263086150762849E-2</v>
      </c>
      <c r="L54" s="1017">
        <f t="shared" si="28"/>
        <v>-8.7006010019979083E-2</v>
      </c>
      <c r="M54" s="1420"/>
    </row>
    <row r="55" spans="2:13">
      <c r="B55" s="1044" t="s">
        <v>1981</v>
      </c>
      <c r="C55" s="1011">
        <f>+C50-SUM(C51:C54)</f>
        <v>162483.32999999996</v>
      </c>
      <c r="D55" s="1011">
        <f t="shared" ref="D55:F55" si="29">+D50-SUM(D51:D54)</f>
        <v>135995.03892385477</v>
      </c>
      <c r="E55" s="1011">
        <f t="shared" si="29"/>
        <v>135995.03892385477</v>
      </c>
      <c r="F55" s="1011">
        <f t="shared" si="29"/>
        <v>112024.85</v>
      </c>
      <c r="G55" s="1012">
        <f t="shared" si="25"/>
        <v>26488.291076145193</v>
      </c>
      <c r="H55" s="1013">
        <f t="shared" si="25"/>
        <v>26488.291076145193</v>
      </c>
      <c r="I55" s="1014">
        <f t="shared" si="25"/>
        <v>50458.479999999952</v>
      </c>
      <c r="J55" s="1015">
        <f t="shared" si="26"/>
        <v>0.19477395120991364</v>
      </c>
      <c r="K55" s="1016">
        <f t="shared" si="27"/>
        <v>0.19477395120991364</v>
      </c>
      <c r="L55" s="1017">
        <f t="shared" si="28"/>
        <v>0.45042220543031258</v>
      </c>
      <c r="M55" s="1420"/>
    </row>
    <row r="56" spans="2:13">
      <c r="B56" s="632" t="s">
        <v>1973</v>
      </c>
      <c r="C56" s="657">
        <f>+Print_Mois!$L$313</f>
        <v>116031.79000000001</v>
      </c>
      <c r="D56" s="657">
        <f>+Print_Mois!$I$313</f>
        <v>112335.10938762974</v>
      </c>
      <c r="E56" s="657">
        <f>+Print_Mois!$F$313</f>
        <v>112335.10938762974</v>
      </c>
      <c r="F56" s="657">
        <f>+Print_Mois!$Q$313</f>
        <v>98600.079999999987</v>
      </c>
      <c r="G56" s="659">
        <f t="shared" si="25"/>
        <v>3696.68061237027</v>
      </c>
      <c r="H56" s="658">
        <f t="shared" si="25"/>
        <v>3696.68061237027</v>
      </c>
      <c r="I56" s="660">
        <f t="shared" si="25"/>
        <v>17431.710000000021</v>
      </c>
      <c r="J56" s="671">
        <f t="shared" si="26"/>
        <v>3.2907615726925583E-2</v>
      </c>
      <c r="K56" s="672">
        <f t="shared" si="27"/>
        <v>3.2907615726925583E-2</v>
      </c>
      <c r="L56" s="673">
        <f t="shared" si="28"/>
        <v>0.17679204722754813</v>
      </c>
      <c r="M56" s="1420"/>
    </row>
    <row r="57" spans="2:13">
      <c r="B57" s="633" t="s">
        <v>1974</v>
      </c>
      <c r="C57" s="1011">
        <f>+Print_Mois!$J$294/Print_Mois!$J$171</f>
        <v>136.02659643435982</v>
      </c>
      <c r="D57" s="1011">
        <f>+IFERROR(Print_Mois!$G$294/Print_Mois!$G$171,"")</f>
        <v>131.53563846237861</v>
      </c>
      <c r="E57" s="1011">
        <f>+IFERROR(Print_Mois!$D$294/Print_Mois!$D$171,"")</f>
        <v>131.53563846237861</v>
      </c>
      <c r="F57" s="1011">
        <f>+Print_Mois!$O$294/Print_Mois!$O$171</f>
        <v>122.87756317689531</v>
      </c>
      <c r="G57" s="1012">
        <f t="shared" si="25"/>
        <v>4.4909579719812029</v>
      </c>
      <c r="H57" s="1013">
        <f t="shared" si="25"/>
        <v>4.4909579719812029</v>
      </c>
      <c r="I57" s="1014">
        <f t="shared" si="25"/>
        <v>13.149033257464509</v>
      </c>
      <c r="J57" s="1015">
        <f t="shared" si="26"/>
        <v>3.4142518518018916E-2</v>
      </c>
      <c r="K57" s="1016">
        <f t="shared" si="27"/>
        <v>3.4142518518018916E-2</v>
      </c>
      <c r="L57" s="1017">
        <f t="shared" si="28"/>
        <v>0.10700922867859188</v>
      </c>
      <c r="M57" s="1420"/>
    </row>
    <row r="58" spans="2:13">
      <c r="B58" s="633" t="s">
        <v>1975</v>
      </c>
      <c r="C58" s="1011">
        <f>+Print_Mois!$J$296/Print_Mois!$J$174</f>
        <v>97.196293103448269</v>
      </c>
      <c r="D58" s="1011">
        <f>+IFERROR(Print_Mois!$G$296/Print_Mois!$G$174,"")</f>
        <v>249.52281151669607</v>
      </c>
      <c r="E58" s="1011">
        <f>+IFERROR(Print_Mois!$D$296/Print_Mois!$D$174,"")</f>
        <v>249.52281151669607</v>
      </c>
      <c r="F58" s="1011">
        <f>+Print_Mois!$O$296/Print_Mois!$O$174</f>
        <v>323.55556910569106</v>
      </c>
      <c r="G58" s="1012">
        <f t="shared" si="25"/>
        <v>-152.32651841324781</v>
      </c>
      <c r="H58" s="1013">
        <f t="shared" si="25"/>
        <v>-152.32651841324781</v>
      </c>
      <c r="I58" s="1014">
        <f t="shared" si="25"/>
        <v>-226.35927600224278</v>
      </c>
      <c r="J58" s="1015">
        <f t="shared" si="26"/>
        <v>-0.61047131317312586</v>
      </c>
      <c r="K58" s="1016">
        <f t="shared" si="27"/>
        <v>-0.61047131317312586</v>
      </c>
      <c r="L58" s="1017">
        <f t="shared" si="28"/>
        <v>-0.69959938142279787</v>
      </c>
      <c r="M58" s="1420"/>
    </row>
    <row r="59" spans="2:13">
      <c r="B59" s="661" t="s">
        <v>114</v>
      </c>
      <c r="C59" s="1043">
        <f>+Print_Mois!$L$319</f>
        <v>24682.35</v>
      </c>
      <c r="D59" s="1043">
        <f>+Print_Mois!$I$319</f>
        <v>24550.484569134096</v>
      </c>
      <c r="E59" s="1043">
        <f>+Print_Mois!$F$319</f>
        <v>24550.484569134096</v>
      </c>
      <c r="F59" s="1043">
        <f>+Print_Mois!$Q$319</f>
        <v>23595.43</v>
      </c>
      <c r="G59" s="1031">
        <f t="shared" si="25"/>
        <v>131.86543086590245</v>
      </c>
      <c r="H59" s="1032">
        <f t="shared" si="25"/>
        <v>131.86543086590245</v>
      </c>
      <c r="I59" s="1033">
        <f t="shared" si="25"/>
        <v>1086.9199999999983</v>
      </c>
      <c r="J59" s="1034">
        <f t="shared" si="26"/>
        <v>5.3711946293593417E-3</v>
      </c>
      <c r="K59" s="1035">
        <f t="shared" si="27"/>
        <v>5.3711946293593417E-3</v>
      </c>
      <c r="L59" s="1036">
        <f t="shared" si="28"/>
        <v>4.6064852388788768E-2</v>
      </c>
      <c r="M59" s="1421"/>
    </row>
    <row r="60" spans="2:13">
      <c r="M60" s="159"/>
    </row>
    <row r="61" spans="2:13">
      <c r="B61" s="674" t="s">
        <v>1982</v>
      </c>
      <c r="C61" s="675" t="s">
        <v>1947</v>
      </c>
      <c r="D61" s="675" t="s">
        <v>1968</v>
      </c>
      <c r="E61" s="675" t="s">
        <v>6</v>
      </c>
      <c r="F61" s="675">
        <v>2021</v>
      </c>
      <c r="G61" s="677" t="s">
        <v>1971</v>
      </c>
      <c r="H61" s="676" t="s">
        <v>1969</v>
      </c>
      <c r="I61" s="678" t="s">
        <v>3249</v>
      </c>
      <c r="J61" s="677" t="s">
        <v>1972</v>
      </c>
      <c r="K61" s="676" t="s">
        <v>1970</v>
      </c>
      <c r="L61" s="678" t="s">
        <v>3250</v>
      </c>
      <c r="M61" s="1409" t="s">
        <v>1965</v>
      </c>
    </row>
    <row r="62" spans="2:13" ht="15" customHeight="1">
      <c r="B62" s="1045" t="s">
        <v>1983</v>
      </c>
      <c r="C62" s="1039">
        <f>+Print_Mois!$AF$432/Print_Mois!$AF$406</f>
        <v>0.38217948825822684</v>
      </c>
      <c r="D62" s="1039">
        <f>+Print_Mois!$AC$432/Print_Mois!$AC$406</f>
        <v>0.38857533292794039</v>
      </c>
      <c r="E62" s="1039">
        <f>+Print_Mois!$Z$432/Print_Mois!$Z$406</f>
        <v>0.38857533292794039</v>
      </c>
      <c r="F62" s="1039">
        <f>+Print_Mois!$AL$432/Print_Mois!$AL$406</f>
        <v>0.38078327898848063</v>
      </c>
      <c r="G62" s="1040">
        <f t="shared" ref="G62:I67" si="30">+IFERROR($C62-D62,"")</f>
        <v>-6.3958446697135463E-3</v>
      </c>
      <c r="H62" s="1041">
        <f t="shared" si="30"/>
        <v>-6.3958446697135463E-3</v>
      </c>
      <c r="I62" s="1042">
        <f t="shared" si="30"/>
        <v>1.396209269746207E-3</v>
      </c>
      <c r="J62" s="1015">
        <f t="shared" ref="J62:J67" si="31">+IFERROR(G62/ABS($D62),"")</f>
        <v>-1.6459728983619318E-2</v>
      </c>
      <c r="K62" s="1016">
        <f t="shared" ref="K62:K67" si="32">+IFERROR(H62/ABS($E62),"")</f>
        <v>-1.6459728983619318E-2</v>
      </c>
      <c r="L62" s="1017">
        <f t="shared" ref="L62:L67" si="33">+IFERROR(I62/ABS($F62),"")</f>
        <v>3.6666769440483883E-3</v>
      </c>
      <c r="M62" s="1423" t="s">
        <v>3622</v>
      </c>
    </row>
    <row r="63" spans="2:13">
      <c r="B63" s="1369" t="s">
        <v>1984</v>
      </c>
      <c r="C63" s="1370">
        <v>45</v>
      </c>
      <c r="D63" s="1370">
        <v>52.75</v>
      </c>
      <c r="E63" s="1370">
        <v>52.75</v>
      </c>
      <c r="F63" s="1370">
        <v>36</v>
      </c>
      <c r="G63" s="1046">
        <f t="shared" si="30"/>
        <v>-7.75</v>
      </c>
      <c r="H63" s="1047">
        <f t="shared" si="30"/>
        <v>-7.75</v>
      </c>
      <c r="I63" s="1048">
        <f t="shared" si="30"/>
        <v>9</v>
      </c>
      <c r="J63" s="1015">
        <f t="shared" si="31"/>
        <v>-0.14691943127962084</v>
      </c>
      <c r="K63" s="1016">
        <f t="shared" si="32"/>
        <v>-0.14691943127962084</v>
      </c>
      <c r="L63" s="1017">
        <f t="shared" si="33"/>
        <v>0.25</v>
      </c>
      <c r="M63" s="1424"/>
    </row>
    <row r="64" spans="2:13">
      <c r="B64" s="1045" t="s">
        <v>1967</v>
      </c>
      <c r="C64" s="1011">
        <f>Q17+Print_Mois!$AF$413+Print_Mois!$AF$433</f>
        <v>53987.53</v>
      </c>
      <c r="D64" s="1011">
        <f>+Print_Mois!$AC$413+Print_Mois!$AC$433</f>
        <v>31133.283524388815</v>
      </c>
      <c r="E64" s="1011">
        <f>+Print_Mois!$Z$413+Print_Mois!$Z$433</f>
        <v>31133.283524388815</v>
      </c>
      <c r="F64" s="1011">
        <f>+Print_Mois!$AL$413+Print_Mois!$AL$433</f>
        <v>21937.58</v>
      </c>
      <c r="G64" s="1012">
        <f t="shared" si="30"/>
        <v>22854.246475611184</v>
      </c>
      <c r="H64" s="1013">
        <f t="shared" si="30"/>
        <v>22854.246475611184</v>
      </c>
      <c r="I64" s="1014">
        <f t="shared" si="30"/>
        <v>32049.949999999997</v>
      </c>
      <c r="J64" s="1015">
        <f t="shared" si="31"/>
        <v>0.73407761368016</v>
      </c>
      <c r="K64" s="1016">
        <f t="shared" si="32"/>
        <v>0.73407761368016</v>
      </c>
      <c r="L64" s="1017">
        <f t="shared" si="33"/>
        <v>1.4609610540451587</v>
      </c>
      <c r="M64" s="1424"/>
    </row>
    <row r="65" spans="2:13">
      <c r="B65" s="1045" t="s">
        <v>1986</v>
      </c>
      <c r="C65" s="1011">
        <f>+Print_Mois!$AF$451-Print_Mois!$AF$433</f>
        <v>95042.010000000009</v>
      </c>
      <c r="D65" s="1011">
        <f>+Print_Mois!$AC$451-Print_Mois!$AC$433</f>
        <v>100018.63300746793</v>
      </c>
      <c r="E65" s="1011">
        <f>+Print_Mois!$Z$451-Print_Mois!$Z$433</f>
        <v>100018.63300746793</v>
      </c>
      <c r="F65" s="1011">
        <f>+Print_Mois!$AL$451-Print_Mois!$AL$433</f>
        <v>86465.45</v>
      </c>
      <c r="G65" s="1012">
        <f t="shared" si="30"/>
        <v>-4976.6230074679188</v>
      </c>
      <c r="H65" s="1013">
        <f t="shared" si="30"/>
        <v>-4976.6230074679188</v>
      </c>
      <c r="I65" s="1014">
        <f t="shared" si="30"/>
        <v>8576.5600000000122</v>
      </c>
      <c r="J65" s="1015">
        <f t="shared" si="31"/>
        <v>-4.9756958856819584E-2</v>
      </c>
      <c r="K65" s="1016">
        <f t="shared" si="32"/>
        <v>-4.9756958856819584E-2</v>
      </c>
      <c r="L65" s="1017">
        <f t="shared" si="33"/>
        <v>9.9190601563977437E-2</v>
      </c>
      <c r="M65" s="1424"/>
    </row>
    <row r="66" spans="2:13">
      <c r="B66" s="1045" t="s">
        <v>1985</v>
      </c>
      <c r="C66" s="1011">
        <f>+Print_Mois!$AF$414</f>
        <v>2152.67</v>
      </c>
      <c r="D66" s="1011">
        <f>+Print_Mois!$AC$414</f>
        <v>8866.153302485518</v>
      </c>
      <c r="E66" s="1011">
        <f>+Print_Mois!$Z$414</f>
        <v>8866.153302485518</v>
      </c>
      <c r="F66" s="1011">
        <f>+Print_Mois!$AL$414</f>
        <v>14570.89</v>
      </c>
      <c r="G66" s="1012">
        <f t="shared" si="30"/>
        <v>-6713.4833024855179</v>
      </c>
      <c r="H66" s="1013">
        <f t="shared" si="30"/>
        <v>-6713.4833024855179</v>
      </c>
      <c r="I66" s="1014">
        <f t="shared" si="30"/>
        <v>-12418.22</v>
      </c>
      <c r="J66" s="1015">
        <f t="shared" si="31"/>
        <v>-0.75720361169521788</v>
      </c>
      <c r="K66" s="1016">
        <f t="shared" si="32"/>
        <v>-0.75720361169521788</v>
      </c>
      <c r="L66" s="1017">
        <f t="shared" si="33"/>
        <v>-0.85226228459620512</v>
      </c>
      <c r="M66" s="1424"/>
    </row>
    <row r="67" spans="2:13" ht="33" customHeight="1">
      <c r="B67" s="1049" t="s">
        <v>1988</v>
      </c>
      <c r="C67" s="1043">
        <f>+Print_Mois!$AF$480-C32-C15</f>
        <v>16441.589999999997</v>
      </c>
      <c r="D67" s="1043">
        <f>+Print_Mois!$AC$480-D32-D15</f>
        <v>14968.869999999995</v>
      </c>
      <c r="E67" s="1043">
        <f>+Print_Mois!$Z$480-E32-E15</f>
        <v>14968.869999999995</v>
      </c>
      <c r="F67" s="1043">
        <f>+Print_Mois!$AL$480-F32-F15</f>
        <v>6192.6699999999837</v>
      </c>
      <c r="G67" s="1031">
        <f t="shared" si="30"/>
        <v>1472.7200000000012</v>
      </c>
      <c r="H67" s="1032">
        <f t="shared" si="30"/>
        <v>1472.7200000000012</v>
      </c>
      <c r="I67" s="1033">
        <f t="shared" si="30"/>
        <v>10248.920000000013</v>
      </c>
      <c r="J67" s="1034">
        <f t="shared" si="31"/>
        <v>9.8385516074359761E-2</v>
      </c>
      <c r="K67" s="1035">
        <f t="shared" si="32"/>
        <v>9.8385516074359761E-2</v>
      </c>
      <c r="L67" s="1036">
        <f t="shared" si="33"/>
        <v>1.6550082597651805</v>
      </c>
      <c r="M67" s="1425"/>
    </row>
    <row r="68" spans="2:13">
      <c r="M68" s="159"/>
    </row>
    <row r="69" spans="2:13">
      <c r="B69" s="961" t="s">
        <v>2868</v>
      </c>
      <c r="C69" s="962" t="s">
        <v>1947</v>
      </c>
      <c r="D69" s="962" t="s">
        <v>1968</v>
      </c>
      <c r="E69" s="962" t="s">
        <v>6</v>
      </c>
      <c r="F69" s="962">
        <v>2021</v>
      </c>
      <c r="G69" s="963" t="s">
        <v>1971</v>
      </c>
      <c r="H69" s="964" t="s">
        <v>1969</v>
      </c>
      <c r="I69" s="965" t="s">
        <v>3249</v>
      </c>
      <c r="J69" s="963" t="s">
        <v>1972</v>
      </c>
      <c r="K69" s="964" t="s">
        <v>1970</v>
      </c>
      <c r="L69" s="965" t="s">
        <v>3250</v>
      </c>
      <c r="M69" s="1058" t="s">
        <v>1965</v>
      </c>
    </row>
    <row r="70" spans="2:13">
      <c r="B70" s="966" t="s">
        <v>2869</v>
      </c>
      <c r="C70" s="1050">
        <f>+Print_Mois!$AF$418-Print_Mois!$AF$414+Print_Mois!$AF$433+Print_Mois!$AF$434+Print_Mois!$AF$435</f>
        <v>222990.44</v>
      </c>
      <c r="D70" s="1050">
        <f>+Print_Mois!$AC$418-Print_Mois!$AC$414+Print_Mois!$AC$433+Print_Mois!$AC$434+Print_Mois!$AC$435</f>
        <v>214835.66352219295</v>
      </c>
      <c r="E70" s="1050">
        <f>+Print_Mois!$Z$418-Print_Mois!$Z$414+Print_Mois!$Z$433+Print_Mois!$Z$434+Print_Mois!$Z$435</f>
        <v>214835.66352219295</v>
      </c>
      <c r="F70" s="1050">
        <f>+Print_Mois!$AL$418-Print_Mois!$AL$414+Print_Mois!$AL$433+Print_Mois!$AL$434+Print_Mois!$AL$435</f>
        <v>184412.31999999998</v>
      </c>
      <c r="G70" s="967">
        <f t="shared" ref="G70:I77" si="34">+IFERROR($C70-D70,"")</f>
        <v>8154.7764778070559</v>
      </c>
      <c r="H70" s="968">
        <f t="shared" si="34"/>
        <v>8154.7764778070559</v>
      </c>
      <c r="I70" s="969">
        <f t="shared" si="34"/>
        <v>38578.120000000024</v>
      </c>
      <c r="J70" s="1015">
        <f t="shared" ref="J70:J77" si="35">+IFERROR(G70/ABS($D70),"")</f>
        <v>3.7958206491934016E-2</v>
      </c>
      <c r="K70" s="1016">
        <f t="shared" ref="K70:K77" si="36">+IFERROR(H70/ABS($E70),"")</f>
        <v>3.7958206491934016E-2</v>
      </c>
      <c r="L70" s="1017">
        <f t="shared" ref="L70:L77" si="37">+IFERROR(I70/ABS($F70),"")</f>
        <v>0.20919491712918112</v>
      </c>
      <c r="M70" s="1419" t="s">
        <v>3623</v>
      </c>
    </row>
    <row r="71" spans="2:13">
      <c r="B71" s="966" t="s">
        <v>2870</v>
      </c>
      <c r="C71" s="1039">
        <f>+C70/Print_Mois!$AF$406</f>
        <v>0.29735012741065781</v>
      </c>
      <c r="D71" s="1039">
        <f>+D70/Print_Mois!$AC$406</f>
        <v>0.28038777127432485</v>
      </c>
      <c r="E71" s="1039">
        <f>+E70/Print_Mois!$Z$406</f>
        <v>0.28038777127432485</v>
      </c>
      <c r="F71" s="1039">
        <f>+F70/Print_Mois!$AL$406</f>
        <v>0.26892892139509655</v>
      </c>
      <c r="G71" s="970">
        <f t="shared" si="34"/>
        <v>1.6962356136332957E-2</v>
      </c>
      <c r="H71" s="971">
        <f t="shared" si="34"/>
        <v>1.6962356136332957E-2</v>
      </c>
      <c r="I71" s="972">
        <f t="shared" si="34"/>
        <v>2.8421206015561251E-2</v>
      </c>
      <c r="J71" s="1015">
        <f t="shared" si="35"/>
        <v>6.0496062503872121E-2</v>
      </c>
      <c r="K71" s="1016">
        <f t="shared" si="36"/>
        <v>6.0496062503872121E-2</v>
      </c>
      <c r="L71" s="1017">
        <f t="shared" si="37"/>
        <v>0.10568296584883213</v>
      </c>
      <c r="M71" s="1420"/>
    </row>
    <row r="72" spans="2:13">
      <c r="B72" s="966" t="s">
        <v>2871</v>
      </c>
      <c r="C72" s="1011">
        <f>+Print_Mois!$AF$465+Print_Mois!$AF$432+Print_Mois!$AF$436+Print_Mois!$AF$438+SUM(Print_Mois!$AF$439:$AF$447)+Print_Mois!$AF$437</f>
        <v>404654.78</v>
      </c>
      <c r="D72" s="1011">
        <f>+Print_Mois!$AC$465+Print_Mois!$AC$432+Print_Mois!$AC$436+Print_Mois!$AC$438+SUM(Print_Mois!$AC$439:$AC$447)+Print_Mois!$AC$437</f>
        <v>417677.76328104647</v>
      </c>
      <c r="E72" s="1011">
        <f>+Print_Mois!$Z$465+Print_Mois!$Z$432+Print_Mois!$Z$436+Print_Mois!$Z$438+SUM(Print_Mois!$Z$439:$Z$447)+Print_Mois!$Z$437</f>
        <v>417677.76328104647</v>
      </c>
      <c r="F72" s="1011">
        <f>+Print_Mois!$AL$465+Print_Mois!$AL$432+Print_Mois!$AL$436+Print_Mois!$AL$438+SUM(Print_Mois!$AL$439:$AL$447)+Print_Mois!$AL$437</f>
        <v>366767.99</v>
      </c>
      <c r="G72" s="973">
        <f t="shared" si="34"/>
        <v>-13022.983281046443</v>
      </c>
      <c r="H72" s="974">
        <f t="shared" si="34"/>
        <v>-13022.983281046443</v>
      </c>
      <c r="I72" s="975">
        <f t="shared" si="34"/>
        <v>37886.790000000037</v>
      </c>
      <c r="J72" s="1015">
        <f t="shared" si="35"/>
        <v>-3.117949870911264E-2</v>
      </c>
      <c r="K72" s="1016">
        <f>+IFERROR(H72/ABS($E72),"")</f>
        <v>-3.117949870911264E-2</v>
      </c>
      <c r="L72" s="1017">
        <f t="shared" si="37"/>
        <v>0.10329906380325077</v>
      </c>
      <c r="M72" s="1420"/>
    </row>
    <row r="73" spans="2:13">
      <c r="B73" s="966" t="s">
        <v>2872</v>
      </c>
      <c r="C73" s="1039">
        <f>+C72/Print_Mois!$AF$406</f>
        <v>0.53959331346371497</v>
      </c>
      <c r="D73" s="1039">
        <f>+D72/Print_Mois!$AC$406</f>
        <v>0.54512242165565672</v>
      </c>
      <c r="E73" s="1039">
        <f>+E72/Print_Mois!$Z$406</f>
        <v>0.54512242165565672</v>
      </c>
      <c r="F73" s="1039">
        <f>+F72/Print_Mois!$AL$406</f>
        <v>0.53485862524232419</v>
      </c>
      <c r="G73" s="970">
        <f t="shared" si="34"/>
        <v>-5.5291081919417451E-3</v>
      </c>
      <c r="H73" s="971">
        <f t="shared" si="34"/>
        <v>-5.5291081919417451E-3</v>
      </c>
      <c r="I73" s="972">
        <f t="shared" si="34"/>
        <v>4.7346882213907815E-3</v>
      </c>
      <c r="J73" s="1015">
        <f t="shared" si="35"/>
        <v>-1.0142874283447427E-2</v>
      </c>
      <c r="K73" s="1016">
        <f t="shared" si="36"/>
        <v>-1.0142874283447427E-2</v>
      </c>
      <c r="L73" s="1017">
        <f t="shared" si="37"/>
        <v>8.8522237427613205E-3</v>
      </c>
      <c r="M73" s="1420"/>
    </row>
    <row r="74" spans="2:13" s="980" customFormat="1">
      <c r="B74" s="667" t="s">
        <v>2873</v>
      </c>
      <c r="C74" s="657">
        <f>+Print_Mois!$AF$482+Print_Mois!$AF$414</f>
        <v>220590.86</v>
      </c>
      <c r="D74" s="657">
        <f>+Print_Mois!$AC$482+Print_Mois!$AC$414</f>
        <v>299969.36844939395</v>
      </c>
      <c r="E74" s="657">
        <f>+Print_Mois!$Z$482+Print_Mois!$Z$414</f>
        <v>299969.36844939395</v>
      </c>
      <c r="F74" s="657">
        <f>+Print_Mois!$AL$482+Print_Mois!$AL$414</f>
        <v>282407.21000000014</v>
      </c>
      <c r="G74" s="659">
        <f t="shared" si="34"/>
        <v>-79378.508449393965</v>
      </c>
      <c r="H74" s="658">
        <f t="shared" si="34"/>
        <v>-79378.508449393965</v>
      </c>
      <c r="I74" s="660">
        <f t="shared" si="34"/>
        <v>-61816.350000000151</v>
      </c>
      <c r="J74" s="671">
        <f t="shared" si="35"/>
        <v>-0.26462204744343903</v>
      </c>
      <c r="K74" s="672">
        <f t="shared" si="36"/>
        <v>-0.26462204744343903</v>
      </c>
      <c r="L74" s="673">
        <f t="shared" si="37"/>
        <v>-0.21889083497549558</v>
      </c>
      <c r="M74" s="1420"/>
    </row>
    <row r="75" spans="2:13">
      <c r="B75" s="633" t="s">
        <v>2874</v>
      </c>
      <c r="C75" s="1051">
        <f>+C74/Print_Mois!$AF$405</f>
        <v>4.6720783916926641E-2</v>
      </c>
      <c r="D75" s="1051">
        <f>+D74/Print_Mois!$AC$405</f>
        <v>4.9799053341946405E-2</v>
      </c>
      <c r="E75" s="1051">
        <f>+E74/Print_Mois!$Z$405</f>
        <v>4.9799053341946405E-2</v>
      </c>
      <c r="F75" s="1051">
        <f>+F74/Print_Mois!$AL$405</f>
        <v>4.7859344800469522E-2</v>
      </c>
      <c r="G75" s="970">
        <f t="shared" si="34"/>
        <v>-3.078269425019764E-3</v>
      </c>
      <c r="H75" s="971">
        <f t="shared" si="34"/>
        <v>-3.078269425019764E-3</v>
      </c>
      <c r="I75" s="972">
        <f t="shared" si="34"/>
        <v>-1.1385608835428815E-3</v>
      </c>
      <c r="J75" s="1015">
        <f t="shared" si="35"/>
        <v>-6.1813814087644449E-2</v>
      </c>
      <c r="K75" s="1016">
        <f t="shared" si="36"/>
        <v>-6.1813814087644449E-2</v>
      </c>
      <c r="L75" s="1017">
        <f t="shared" si="37"/>
        <v>-2.3789729848782044E-2</v>
      </c>
      <c r="M75" s="1420"/>
    </row>
    <row r="76" spans="2:13" s="980" customFormat="1">
      <c r="B76" s="667" t="s">
        <v>2875</v>
      </c>
      <c r="C76" s="657">
        <f>Q9+Print_Mois!$AF$497</f>
        <v>213696.89999999997</v>
      </c>
      <c r="D76" s="657">
        <f>+Print_Mois!$AC$497</f>
        <v>283199.84514690842</v>
      </c>
      <c r="E76" s="657">
        <f>+Print_Mois!$Z$497</f>
        <v>283199.84514690842</v>
      </c>
      <c r="F76" s="657">
        <f>+Print_Mois!$AL$497</f>
        <v>281298.69000000012</v>
      </c>
      <c r="G76" s="659">
        <f t="shared" si="34"/>
        <v>-69502.94514690846</v>
      </c>
      <c r="H76" s="658">
        <f t="shared" si="34"/>
        <v>-69502.94514690846</v>
      </c>
      <c r="I76" s="660">
        <f>+IFERROR($C76-F76,"")</f>
        <v>-67601.790000000154</v>
      </c>
      <c r="J76" s="671">
        <f t="shared" si="35"/>
        <v>-0.24542013824497033</v>
      </c>
      <c r="K76" s="672">
        <f t="shared" si="36"/>
        <v>-0.24542013824497033</v>
      </c>
      <c r="L76" s="673">
        <f t="shared" si="37"/>
        <v>-0.24032031574693832</v>
      </c>
      <c r="M76" s="1420"/>
    </row>
    <row r="77" spans="2:13">
      <c r="B77" s="976" t="s">
        <v>2876</v>
      </c>
      <c r="C77" s="1052">
        <f>+C76/Print_Mois!$AF$405</f>
        <v>4.5260654446957045E-2</v>
      </c>
      <c r="D77" s="1052">
        <f>+D76/Print_Mois!$AC$405</f>
        <v>4.7015081132462701E-2</v>
      </c>
      <c r="E77" s="1052">
        <f>+E76/Print_Mois!$Z$405</f>
        <v>4.7015081132462701E-2</v>
      </c>
      <c r="F77" s="1052">
        <f>+F76/Print_Mois!$AL$405</f>
        <v>4.767148472105364E-2</v>
      </c>
      <c r="G77" s="977">
        <f t="shared" si="34"/>
        <v>-1.7544266855056556E-3</v>
      </c>
      <c r="H77" s="978">
        <f t="shared" si="34"/>
        <v>-1.7544266855056556E-3</v>
      </c>
      <c r="I77" s="979">
        <f t="shared" si="34"/>
        <v>-2.4108302740965953E-3</v>
      </c>
      <c r="J77" s="1034">
        <f t="shared" si="35"/>
        <v>-3.7316253492419675E-2</v>
      </c>
      <c r="K77" s="1035">
        <f t="shared" si="36"/>
        <v>-3.7316253492419675E-2</v>
      </c>
      <c r="L77" s="1036">
        <f t="shared" si="37"/>
        <v>-5.0571747202827859E-2</v>
      </c>
      <c r="M77" s="1421"/>
    </row>
    <row r="79" spans="2:13">
      <c r="B79" s="1105"/>
      <c r="C79" s="1185"/>
    </row>
    <row r="80" spans="2:13">
      <c r="B80" s="980"/>
      <c r="C80" s="1185"/>
    </row>
    <row r="82" spans="2:3">
      <c r="B82" s="1105"/>
      <c r="C82" s="1107"/>
    </row>
    <row r="83" spans="2:3">
      <c r="C83" s="1106"/>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r:id="rId1"/>
  <rowBreaks count="1" manualBreakCount="1">
    <brk id="35" max="1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BJ692"/>
  <sheetViews>
    <sheetView tabSelected="1" topLeftCell="C1" zoomScale="70" zoomScaleNormal="70" workbookViewId="0">
      <pane xSplit="1" topLeftCell="D1" activePane="topRight" state="frozen"/>
      <selection activeCell="C1" sqref="C1"/>
      <selection pane="topRight" activeCell="I1" sqref="I1"/>
    </sheetView>
  </sheetViews>
  <sheetFormatPr baseColWidth="10" defaultColWidth="12.59765625" defaultRowHeight="15" customHeight="1"/>
  <cols>
    <col min="1" max="1" width="37.5" style="564" hidden="1" customWidth="1"/>
    <col min="2" max="2" width="21.8984375" hidden="1" customWidth="1"/>
    <col min="3" max="3" width="36.3984375" bestFit="1" customWidth="1"/>
    <col min="4" max="4" width="17.8984375" bestFit="1" customWidth="1"/>
    <col min="5" max="5" width="14.59765625" bestFit="1" customWidth="1"/>
    <col min="6" max="6" width="14" bestFit="1" customWidth="1"/>
    <col min="7" max="7" width="17.69921875" customWidth="1"/>
    <col min="8" max="8" width="15.09765625" bestFit="1" customWidth="1"/>
    <col min="9" max="9" width="14" bestFit="1" customWidth="1"/>
    <col min="10" max="10" width="17.3984375" customWidth="1"/>
    <col min="11" max="11" width="15.5" customWidth="1"/>
    <col min="12" max="12" width="14.8984375" bestFit="1" customWidth="1"/>
    <col min="13" max="13" width="13.5" bestFit="1" customWidth="1"/>
    <col min="14" max="14" width="14" bestFit="1" customWidth="1"/>
    <col min="15" max="15" width="15.5" customWidth="1"/>
    <col min="16" max="16" width="14.59765625" bestFit="1" customWidth="1"/>
    <col min="17" max="17" width="14" bestFit="1" customWidth="1"/>
    <col min="18" max="18" width="11.5" bestFit="1" customWidth="1"/>
    <col min="19" max="19" width="16.3984375" customWidth="1"/>
    <col min="20" max="20" width="4.59765625" customWidth="1"/>
    <col min="21" max="21" width="23.3984375" customWidth="1"/>
    <col min="22" max="22" width="34" customWidth="1"/>
    <col min="23" max="23" width="12.19921875" customWidth="1"/>
    <col min="24" max="24" width="13.69921875" customWidth="1"/>
    <col min="25" max="25" width="15.09765625" customWidth="1"/>
    <col min="26" max="26" width="15" bestFit="1" customWidth="1"/>
    <col min="27" max="27" width="11.09765625" bestFit="1" customWidth="1"/>
    <col min="28" max="28" width="9.3984375" bestFit="1" customWidth="1"/>
    <col min="29" max="29" width="14.5" customWidth="1"/>
    <col min="30" max="30" width="13.5" bestFit="1" customWidth="1"/>
    <col min="31" max="31" width="14.19921875" customWidth="1"/>
    <col min="32" max="32" width="14.09765625" customWidth="1"/>
    <col min="33" max="33" width="9" bestFit="1" customWidth="1"/>
    <col min="34" max="34" width="13.5" customWidth="1"/>
    <col min="35" max="35" width="10.09765625" bestFit="1" customWidth="1"/>
    <col min="36" max="36" width="10.8984375" customWidth="1"/>
    <col min="37" max="37" width="9.3984375" bestFit="1" customWidth="1"/>
    <col min="38" max="38" width="12.69921875" bestFit="1" customWidth="1"/>
    <col min="39" max="39" width="9" bestFit="1" customWidth="1"/>
    <col min="40" max="40" width="11" customWidth="1"/>
    <col min="41" max="41" width="14.69921875" customWidth="1"/>
    <col min="42" max="42" width="11" customWidth="1"/>
    <col min="43" max="43" width="48.3984375" bestFit="1" customWidth="1"/>
    <col min="44" max="62" width="11" customWidth="1"/>
  </cols>
  <sheetData>
    <row r="1" spans="1:54" ht="36" thickBot="1">
      <c r="B1" s="18"/>
      <c r="C1" s="1192" t="str">
        <f>Parametres!B1</f>
        <v>Volks</v>
      </c>
      <c r="D1" s="19"/>
      <c r="E1" s="1208"/>
      <c r="F1" s="19"/>
      <c r="G1" s="19"/>
      <c r="H1" s="18"/>
      <c r="I1" s="19"/>
      <c r="J1" s="18"/>
      <c r="K1" s="5" t="s">
        <v>75</v>
      </c>
      <c r="L1" s="19"/>
      <c r="M1" s="19"/>
      <c r="N1" s="20"/>
      <c r="O1" s="18"/>
      <c r="P1" s="19"/>
      <c r="Q1" s="18"/>
      <c r="R1" s="19"/>
      <c r="S1" s="6" t="str">
        <f>CONCATENATE("Réalisé,"," ",Parametres!B3," ",Parametres!B4)</f>
        <v>Réalisé, Mai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Top="1" thickBot="1">
      <c r="B2" s="2"/>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V2" s="1345" t="s">
        <v>3364</v>
      </c>
      <c r="W2" s="1340"/>
    </row>
    <row r="3" spans="1:54" ht="21.6" thickTop="1">
      <c r="B3" s="24"/>
      <c r="C3" s="257"/>
      <c r="D3" s="1426" t="s">
        <v>77</v>
      </c>
      <c r="E3" s="1427"/>
      <c r="F3" s="1428"/>
      <c r="G3" s="1429" t="s">
        <v>78</v>
      </c>
      <c r="H3" s="1427"/>
      <c r="I3" s="1428"/>
      <c r="J3" s="1429" t="s">
        <v>79</v>
      </c>
      <c r="K3" s="1427"/>
      <c r="L3" s="1428"/>
      <c r="M3" s="1429" t="s">
        <v>80</v>
      </c>
      <c r="N3" s="1428"/>
      <c r="O3" s="1426" t="s">
        <v>81</v>
      </c>
      <c r="P3" s="1427"/>
      <c r="Q3" s="1428"/>
      <c r="R3" s="1429" t="s">
        <v>82</v>
      </c>
      <c r="S3" s="1430"/>
      <c r="T3" s="25"/>
      <c r="U3" s="25"/>
      <c r="V3" s="1341" t="s">
        <v>2863</v>
      </c>
      <c r="W3" s="1342">
        <v>0.45</v>
      </c>
      <c r="X3" s="24"/>
      <c r="Y3" s="24"/>
      <c r="Z3" s="24"/>
      <c r="AA3" s="24"/>
      <c r="AB3" s="24"/>
      <c r="AC3" s="24"/>
      <c r="AD3" s="24"/>
      <c r="AE3" s="24"/>
      <c r="AF3" s="24"/>
      <c r="AG3" s="24"/>
      <c r="AH3" s="24"/>
      <c r="AI3" s="24"/>
      <c r="AJ3" s="24"/>
      <c r="AK3" s="24"/>
      <c r="AL3" s="24"/>
      <c r="AM3" s="24"/>
      <c r="AN3" s="24"/>
    </row>
    <row r="4" spans="1:54" ht="20.399999999999999">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1341" t="s">
        <v>2864</v>
      </c>
      <c r="W4" s="1342">
        <v>0.1</v>
      </c>
      <c r="X4" s="24"/>
      <c r="Y4" s="24"/>
      <c r="Z4" s="24"/>
      <c r="AA4" s="24"/>
      <c r="AB4" s="24"/>
      <c r="AC4" s="24"/>
      <c r="AD4" s="24"/>
      <c r="AE4" s="24"/>
      <c r="AF4" s="24"/>
      <c r="AG4" s="24"/>
      <c r="AH4" s="24"/>
      <c r="AI4" s="24"/>
      <c r="AJ4" s="24"/>
      <c r="AK4" s="24"/>
      <c r="AL4" s="24"/>
      <c r="AM4" s="24"/>
      <c r="AN4" s="24"/>
    </row>
    <row r="5" spans="1:54" ht="20.399999999999999">
      <c r="A5" s="564" t="s">
        <v>3007</v>
      </c>
      <c r="B5" s="24" t="s">
        <v>75</v>
      </c>
      <c r="C5" s="541" t="s">
        <v>88</v>
      </c>
      <c r="D5" s="416"/>
      <c r="E5" s="416"/>
      <c r="F5" s="171">
        <f>+INDEX('Budget original'!$A$2:$AO$500,MATCH($A5,'Budget original'!$A$2:$A$500,0),MATCH(F$2,'Budget original'!$A$2:$AO$2,0))</f>
        <v>3809901.4647436189</v>
      </c>
      <c r="G5" s="416"/>
      <c r="H5" s="416"/>
      <c r="I5" s="620">
        <f>+INDEX('Budget révisé'!$A$2:$AO$500,MATCH($A5,'Budget révisé'!$A$2:$A$500,0),MATCH(I$2,'Budget révisé'!$A$2:$AO$2,0))</f>
        <v>3809901.4647436189</v>
      </c>
      <c r="J5" s="304"/>
      <c r="K5" s="178"/>
      <c r="L5" s="171">
        <f>-SUMIFS(BV_Data_An_Cour!$O:$O,BV_Data_An_Cour!$X:$X,"Oui",BV_Data_An_Cour!$U:$U,$B5)</f>
        <v>2400932.7400000002</v>
      </c>
      <c r="M5" s="417"/>
      <c r="N5" s="418"/>
      <c r="O5" s="304"/>
      <c r="P5" s="178"/>
      <c r="Q5" s="171">
        <f>-SUMIFS(BV_Data_An_Prec!$O:$O,BV_Data_An_Prec!$X:$X,"Oui",BV_Data_An_Prec!$U:$U,$B5)</f>
        <v>3829078.5799999996</v>
      </c>
      <c r="R5" s="417"/>
      <c r="S5" s="419"/>
      <c r="T5" s="216"/>
      <c r="U5" s="216"/>
      <c r="V5" s="1341" t="s">
        <v>2865</v>
      </c>
      <c r="W5" s="1342">
        <v>0.22500000000000001</v>
      </c>
      <c r="X5" s="24"/>
      <c r="Y5" s="24"/>
      <c r="Z5" s="24"/>
      <c r="AA5" s="24"/>
      <c r="AB5" s="24"/>
      <c r="AC5" s="24"/>
      <c r="AD5" s="24"/>
      <c r="AE5" s="24"/>
      <c r="AF5" s="24"/>
      <c r="AG5" s="24"/>
      <c r="AH5" s="24"/>
      <c r="AI5" s="24"/>
      <c r="AJ5" s="24"/>
      <c r="AK5" s="24"/>
      <c r="AL5" s="24"/>
      <c r="AM5" s="24"/>
      <c r="AN5" s="24"/>
    </row>
    <row r="6" spans="1:54" ht="20.399999999999999">
      <c r="A6" s="564" t="s">
        <v>3008</v>
      </c>
      <c r="B6" s="24" t="s">
        <v>75</v>
      </c>
      <c r="C6" s="258" t="s">
        <v>89</v>
      </c>
      <c r="D6" s="173">
        <f>+INDEX('Budget original'!$A$2:$AO$500,MATCH($A6,'Budget original'!$A$2:$A$500,0),MATCH(D$2,'Budget original'!$A$2:$AO$2,0))</f>
        <v>19.431325301204819</v>
      </c>
      <c r="E6" s="173">
        <f>IF(D6=0,0,F6/D6)</f>
        <v>1450.6297619047618</v>
      </c>
      <c r="F6" s="173">
        <f>+INDEX('Budget original'!$A$2:$AO$500,MATCH($A6,'Budget original'!$A$2:$A$500,0),MATCH(F$2,'Budget original'!$A$2:$AO$2,0))</f>
        <v>28187.65879518072</v>
      </c>
      <c r="G6" s="176">
        <f>+INDEX('Budget original'!$A$2:$AO$500,MATCH($A6,'Budget original'!$A$2:$A$500,0),MATCH(G$2,'Budget original'!$A$2:$AO$2,0))</f>
        <v>19.431325301204819</v>
      </c>
      <c r="H6" s="173">
        <f>IF(G6=0,0,I6/G6)</f>
        <v>1450.6297619047618</v>
      </c>
      <c r="I6" s="173">
        <f>+INDEX('Budget révisé'!$A$2:$AO$500,MATCH($A6,'Budget révisé'!$A$2:$A$500,0),MATCH(I$2,'Budget révisé'!$A$2:$AO$2,0))</f>
        <v>28187.65879518072</v>
      </c>
      <c r="J6" s="176">
        <f>-SUMIFS(BV_Data_An_Cour!$O:$O,BV_Data_An_Cour!$U:$U,$B6,BV_Data_An_Cour!$V:$V,$C6,BV_Data_An_Cour!$W:$W,J$2)</f>
        <v>7</v>
      </c>
      <c r="K6" s="173">
        <f>IF(J6=0,0,L6/J6)</f>
        <v>3196.7428571428609</v>
      </c>
      <c r="L6" s="548">
        <f>-SUMIFS(BV_Data_An_Cour!$O:$O,BV_Data_An_Cour!$U:$U,$B6,BV_Data_An_Cour!$V:$V,$C6,BV_Data_An_Cour!$W:$W,L$2)</f>
        <v>22377.200000000026</v>
      </c>
      <c r="M6" s="176">
        <f t="shared" ref="M6" si="0">J6-G6</f>
        <v>-12.431325301204819</v>
      </c>
      <c r="N6" s="174">
        <f>L6-I6</f>
        <v>-5810.4587951806934</v>
      </c>
      <c r="O6" s="1010">
        <f>-SUMIFS(BV_Data_An_Prec!$O:$O,BV_Data_An_Prec!$U:$U,$B6,BV_Data_An_Prec!$V:$V,$C6,BV_Data_An_Prec!$W:$W,O$2)</f>
        <v>25</v>
      </c>
      <c r="P6" s="173">
        <f>IF(O6=0,0,Q6/O6)</f>
        <v>1020.8359999999963</v>
      </c>
      <c r="Q6" s="548">
        <f>-SUMIFS(BV_Data_An_Prec!$O:$O,BV_Data_An_Prec!$U:$U,$B6,BV_Data_An_Prec!$V:$V,$C6,BV_Data_An_Prec!$W:$W,Q$2)</f>
        <v>25520.899999999907</v>
      </c>
      <c r="R6" s="176">
        <f t="shared" ref="R6" si="1">J6-O6</f>
        <v>-18</v>
      </c>
      <c r="S6" s="393">
        <f t="shared" ref="S6" si="2">L6-Q6</f>
        <v>-3143.6999999998807</v>
      </c>
      <c r="T6" s="216"/>
      <c r="U6" s="216"/>
      <c r="V6" s="1341" t="s">
        <v>2866</v>
      </c>
      <c r="W6" s="1342">
        <v>2.5000000000000001E-2</v>
      </c>
      <c r="X6" s="24"/>
      <c r="Y6" s="24"/>
      <c r="Z6" s="24"/>
      <c r="AA6" s="24"/>
      <c r="AB6" s="24"/>
      <c r="AC6" s="24"/>
      <c r="AD6" s="24"/>
      <c r="AE6" s="24"/>
      <c r="AF6" s="24"/>
      <c r="AG6" s="24"/>
      <c r="AH6" s="24"/>
      <c r="AI6" s="24"/>
      <c r="AJ6" s="24"/>
      <c r="AK6" s="24"/>
      <c r="AL6" s="24"/>
      <c r="AM6" s="24"/>
      <c r="AN6" s="24"/>
    </row>
    <row r="7" spans="1:54" s="564" customFormat="1" ht="20.399999999999999">
      <c r="A7" s="564" t="s">
        <v>3009</v>
      </c>
      <c r="B7" s="24" t="s">
        <v>75</v>
      </c>
      <c r="C7" s="258" t="s">
        <v>90</v>
      </c>
      <c r="D7" s="173">
        <f>+INDEX('Budget original'!$A$2:$AO$500,MATCH($A7,'Budget original'!$A$2:$A$500,0),MATCH(D$2,'Budget original'!$A$2:$AO$2,0))</f>
        <v>67.084337349397586</v>
      </c>
      <c r="E7" s="173">
        <f t="shared" ref="E7:E12" si="3">IF(D7=0,0,F7/D7)</f>
        <v>2081.8275862068967</v>
      </c>
      <c r="F7" s="173">
        <f>+INDEX('Budget original'!$A$2:$AO$500,MATCH($A7,'Budget original'!$A$2:$A$500,0),MATCH(F$2,'Budget original'!$A$2:$AO$2,0))</f>
        <v>139658.02409638555</v>
      </c>
      <c r="G7" s="176">
        <f>+INDEX('Budget original'!$A$2:$AO$500,MATCH($A7,'Budget original'!$A$2:$A$500,0),MATCH(G$2,'Budget original'!$A$2:$AO$2,0))</f>
        <v>67.084337349397586</v>
      </c>
      <c r="H7" s="173">
        <f t="shared" ref="H7:H12" si="4">IF(G7=0,0,I7/G7)</f>
        <v>2081.8275862068967</v>
      </c>
      <c r="I7" s="173">
        <f>+INDEX('Budget révisé'!$A$2:$AO$500,MATCH($A7,'Budget révisé'!$A$2:$A$500,0),MATCH(I$2,'Budget révisé'!$A$2:$AO$2,0))</f>
        <v>139658.02409638555</v>
      </c>
      <c r="J7" s="176">
        <f>-SUMIFS(BV_Data_An_Cour!$O:$O,BV_Data_An_Cour!$U:$U,$B7,BV_Data_An_Cour!$V:$V,$C7,BV_Data_An_Cour!$W:$W,J$2)</f>
        <v>36</v>
      </c>
      <c r="K7" s="173">
        <f t="shared" ref="K7:K12" si="5">IF(J7=0,0,L7/J7)</f>
        <v>3783.5983333333311</v>
      </c>
      <c r="L7" s="958">
        <f>-SUMIFS(BV_Data_An_Cour!$O:$O,BV_Data_An_Cour!$U:$U,$B7,BV_Data_An_Cour!$V:$V,$C7,BV_Data_An_Cour!$W:$W,L$2)</f>
        <v>136209.53999999992</v>
      </c>
      <c r="M7" s="176">
        <f t="shared" ref="M7:M12" si="6">J7-G7</f>
        <v>-31.084337349397586</v>
      </c>
      <c r="N7" s="174">
        <f t="shared" ref="N7:N12" si="7">L7-I7</f>
        <v>-3448.4840963856259</v>
      </c>
      <c r="O7" s="176">
        <f>-SUMIFS(BV_Data_An_Prec!$O:$O,BV_Data_An_Prec!$U:$U,$B7,BV_Data_An_Prec!$V:$V,$C7,BV_Data_An_Prec!$W:$W,O$2)</f>
        <v>58</v>
      </c>
      <c r="P7" s="173">
        <f t="shared" ref="P7:P12" si="8">IF(O7=0,0,Q7/O7)</f>
        <v>2126.4851724137952</v>
      </c>
      <c r="Q7" s="548">
        <f>-SUMIFS(BV_Data_An_Prec!$O:$O,BV_Data_An_Prec!$U:$U,$B7,BV_Data_An_Prec!$V:$V,$C7,BV_Data_An_Prec!$W:$W,Q$2)</f>
        <v>123336.14000000013</v>
      </c>
      <c r="R7" s="176">
        <f t="shared" ref="R7:R12" si="9">J7-O7</f>
        <v>-22</v>
      </c>
      <c r="S7" s="393">
        <f t="shared" ref="S7:S12" si="10">L7-Q7</f>
        <v>12873.39999999979</v>
      </c>
      <c r="T7" s="216"/>
      <c r="U7" s="216"/>
      <c r="V7" s="1341" t="s">
        <v>2867</v>
      </c>
      <c r="W7" s="1342">
        <v>0.2</v>
      </c>
      <c r="X7" s="24"/>
      <c r="Y7" s="24"/>
      <c r="Z7" s="24"/>
      <c r="AA7" s="24"/>
      <c r="AB7" s="24"/>
      <c r="AC7" s="24"/>
      <c r="AD7" s="24"/>
      <c r="AE7" s="24"/>
      <c r="AF7" s="24"/>
      <c r="AG7" s="24"/>
      <c r="AH7" s="24"/>
      <c r="AI7" s="24"/>
      <c r="AJ7" s="24"/>
      <c r="AK7" s="24"/>
      <c r="AL7" s="24"/>
      <c r="AM7" s="24"/>
      <c r="AN7" s="24"/>
    </row>
    <row r="8" spans="1:54" s="564" customFormat="1" ht="21" thickBot="1">
      <c r="A8" s="564" t="s">
        <v>3010</v>
      </c>
      <c r="B8" s="24" t="s">
        <v>75</v>
      </c>
      <c r="C8" s="258" t="s">
        <v>91</v>
      </c>
      <c r="D8" s="173">
        <f>+INDEX('Budget original'!$A$2:$AO$500,MATCH($A8,'Budget original'!$A$2:$A$500,0),MATCH(D$2,'Budget original'!$A$2:$AO$2,0))</f>
        <v>0</v>
      </c>
      <c r="E8" s="173">
        <f t="shared" si="3"/>
        <v>0</v>
      </c>
      <c r="F8" s="173">
        <f>+INDEX('Budget original'!$A$2:$AO$500,MATCH($A8,'Budget original'!$A$2:$A$500,0),MATCH(F$2,'Budget original'!$A$2:$AO$2,0))</f>
        <v>0</v>
      </c>
      <c r="G8" s="176">
        <f>+INDEX('Budget original'!$A$2:$AO$500,MATCH($A8,'Budget original'!$A$2:$A$500,0),MATCH(G$2,'Budget original'!$A$2:$AO$2,0))</f>
        <v>0</v>
      </c>
      <c r="H8" s="173">
        <f t="shared" si="4"/>
        <v>0</v>
      </c>
      <c r="I8" s="173">
        <f>+INDEX('Budget révisé'!$A$2:$AO$500,MATCH($A8,'Budget révisé'!$A$2:$A$500,0),MATCH(I$2,'Budget révisé'!$A$2:$AO$2,0))</f>
        <v>0</v>
      </c>
      <c r="J8" s="176">
        <f>-SUMIFS(BV_Data_An_Cour!$O:$O,BV_Data_An_Cour!$U:$U,$B8,BV_Data_An_Cour!$V:$V,$C8,BV_Data_An_Cour!$W:$W,J$2)</f>
        <v>0</v>
      </c>
      <c r="K8" s="173">
        <f t="shared" si="5"/>
        <v>0</v>
      </c>
      <c r="L8" s="548">
        <f>-SUMIFS(BV_Data_An_Cour!$O:$O,BV_Data_An_Cour!$U:$U,$B8,BV_Data_An_Cour!$V:$V,$C8,BV_Data_An_Cour!$W:$W,L$2)</f>
        <v>0</v>
      </c>
      <c r="M8" s="176">
        <f t="shared" si="6"/>
        <v>0</v>
      </c>
      <c r="N8" s="174">
        <f t="shared" si="7"/>
        <v>0</v>
      </c>
      <c r="O8" s="176">
        <f>-SUMIFS(BV_Data_An_Prec!$O:$O,BV_Data_An_Prec!$U:$U,$B8,BV_Data_An_Prec!$V:$V,$C8,BV_Data_An_Prec!$W:$W,O$2)</f>
        <v>0</v>
      </c>
      <c r="P8" s="173">
        <f t="shared" si="8"/>
        <v>0</v>
      </c>
      <c r="Q8" s="548">
        <f>-SUMIFS(BV_Data_An_Prec!$O:$O,BV_Data_An_Prec!$U:$U,$B8,BV_Data_An_Prec!$V:$V,$C8,BV_Data_An_Prec!$W:$W,Q$2)</f>
        <v>0</v>
      </c>
      <c r="R8" s="176">
        <f t="shared" si="9"/>
        <v>0</v>
      </c>
      <c r="S8" s="393">
        <f t="shared" si="10"/>
        <v>0</v>
      </c>
      <c r="T8" s="216"/>
      <c r="U8" s="216"/>
      <c r="V8" s="1343"/>
      <c r="W8" s="1344">
        <f t="shared" ref="W8" si="11">SUM(W3:W7)</f>
        <v>1</v>
      </c>
      <c r="X8" s="24"/>
      <c r="Y8" s="24"/>
      <c r="Z8" s="24"/>
      <c r="AA8" s="24"/>
      <c r="AB8" s="24"/>
      <c r="AC8" s="24"/>
      <c r="AD8" s="24"/>
      <c r="AE8" s="24"/>
      <c r="AF8" s="24"/>
      <c r="AG8" s="24"/>
      <c r="AH8" s="24"/>
      <c r="AI8" s="24"/>
      <c r="AJ8" s="24"/>
      <c r="AK8" s="24"/>
      <c r="AL8" s="24"/>
      <c r="AM8" s="24"/>
      <c r="AN8" s="24"/>
    </row>
    <row r="9" spans="1:54" s="564" customFormat="1" ht="21" thickTop="1">
      <c r="A9" s="564" t="s">
        <v>3011</v>
      </c>
      <c r="B9" s="24" t="s">
        <v>75</v>
      </c>
      <c r="C9" s="258" t="s">
        <v>92</v>
      </c>
      <c r="D9" s="173">
        <f>+INDEX('Budget original'!$A$2:$AO$500,MATCH($A9,'Budget original'!$A$2:$A$500,0),MATCH(D$2,'Budget original'!$A$2:$AO$2,0))</f>
        <v>0</v>
      </c>
      <c r="E9" s="173">
        <f t="shared" si="3"/>
        <v>0</v>
      </c>
      <c r="F9" s="173">
        <f>+INDEX('Budget original'!$A$2:$AO$500,MATCH($A9,'Budget original'!$A$2:$A$500,0),MATCH(F$2,'Budget original'!$A$2:$AO$2,0))</f>
        <v>0</v>
      </c>
      <c r="G9" s="176">
        <f>+INDEX('Budget original'!$A$2:$AO$500,MATCH($A9,'Budget original'!$A$2:$A$500,0),MATCH(G$2,'Budget original'!$A$2:$AO$2,0))</f>
        <v>0</v>
      </c>
      <c r="H9" s="173">
        <f t="shared" si="4"/>
        <v>0</v>
      </c>
      <c r="I9" s="173">
        <f>+INDEX('Budget révisé'!$A$2:$AO$500,MATCH($A9,'Budget révisé'!$A$2:$A$500,0),MATCH(I$2,'Budget révisé'!$A$2:$AO$2,0))</f>
        <v>0</v>
      </c>
      <c r="J9" s="176">
        <f>-SUMIFS(BV_Data_An_Cour!$O:$O,BV_Data_An_Cour!$U:$U,$B9,BV_Data_An_Cour!$V:$V,$C9,BV_Data_An_Cour!$W:$W,J$2)</f>
        <v>0</v>
      </c>
      <c r="K9" s="173">
        <f t="shared" si="5"/>
        <v>0</v>
      </c>
      <c r="L9" s="548">
        <f>-SUMIFS(BV_Data_An_Cour!$O:$O,BV_Data_An_Cour!$U:$U,$B9,BV_Data_An_Cour!$V:$V,$C9,BV_Data_An_Cour!$W:$W,L$2)</f>
        <v>0</v>
      </c>
      <c r="M9" s="176">
        <f t="shared" si="6"/>
        <v>0</v>
      </c>
      <c r="N9" s="174">
        <f t="shared" si="7"/>
        <v>0</v>
      </c>
      <c r="O9" s="176">
        <f>-SUMIFS(BV_Data_An_Prec!$O:$O,BV_Data_An_Prec!$U:$U,$B9,BV_Data_An_Prec!$V:$V,$C9,BV_Data_An_Prec!$W:$W,O$2)</f>
        <v>0</v>
      </c>
      <c r="P9" s="173">
        <f t="shared" si="8"/>
        <v>0</v>
      </c>
      <c r="Q9" s="548">
        <f>-SUMIFS(BV_Data_An_Prec!$O:$O,BV_Data_An_Prec!$U:$U,$B9,BV_Data_An_Prec!$V:$V,$C9,BV_Data_An_Prec!$W:$W,Q$2)</f>
        <v>0</v>
      </c>
      <c r="R9" s="176">
        <f t="shared" si="9"/>
        <v>0</v>
      </c>
      <c r="S9" s="393">
        <f t="shared" si="10"/>
        <v>0</v>
      </c>
      <c r="T9" s="216"/>
      <c r="U9" s="216"/>
      <c r="V9" s="508"/>
      <c r="W9" s="24"/>
      <c r="X9" s="24"/>
      <c r="Y9" s="24"/>
      <c r="Z9" s="24"/>
      <c r="AA9" s="24"/>
      <c r="AB9" s="24"/>
      <c r="AC9" s="24"/>
      <c r="AD9" s="24"/>
      <c r="AE9" s="24"/>
      <c r="AF9" s="24"/>
      <c r="AG9" s="24"/>
      <c r="AH9" s="24"/>
      <c r="AI9" s="24"/>
      <c r="AJ9" s="24"/>
      <c r="AK9" s="24"/>
      <c r="AL9" s="24"/>
      <c r="AM9" s="24"/>
      <c r="AN9" s="24"/>
    </row>
    <row r="10" spans="1:54" s="564" customFormat="1" ht="20.25" hidden="1" customHeight="1">
      <c r="A10" s="564" t="s">
        <v>3012</v>
      </c>
      <c r="B10" s="24" t="s">
        <v>75</v>
      </c>
      <c r="C10" s="258" t="s">
        <v>42</v>
      </c>
      <c r="D10" s="173">
        <v>0</v>
      </c>
      <c r="E10" s="173">
        <f t="shared" si="3"/>
        <v>0</v>
      </c>
      <c r="F10" s="173">
        <f>+INDEX('Budget original'!$A$2:$AO$500,MATCH($A10,'Budget original'!$A$2:$A$500,0),MATCH(F$2,'Budget original'!$A$2:$AO$2,0))</f>
        <v>0</v>
      </c>
      <c r="G10" s="176">
        <v>0</v>
      </c>
      <c r="H10" s="173">
        <f t="shared" si="4"/>
        <v>0</v>
      </c>
      <c r="I10" s="173">
        <f>+INDEX('Budget révisé'!$A$2:$AO$500,MATCH($A10,'Budget révisé'!$A$2:$A$500,0),MATCH(I$2,'Budget révisé'!$A$2:$AO$2,0))</f>
        <v>0</v>
      </c>
      <c r="J10" s="176">
        <f>-SUMIFS(BV_Data_An_Cour!$O:$O,BV_Data_An_Cour!$U:$U,$B10,BV_Data_An_Cour!$V:$V,$C10,BV_Data_An_Cour!$W:$W,J$2)</f>
        <v>0</v>
      </c>
      <c r="K10" s="173">
        <f t="shared" si="5"/>
        <v>0</v>
      </c>
      <c r="L10" s="548">
        <f>-SUMIFS(BV_Data_An_Cour!$O:$O,BV_Data_An_Cour!$U:$U,$B10,BV_Data_An_Cour!$V:$V,$C10,BV_Data_An_Cour!$W:$W,L$2)</f>
        <v>0</v>
      </c>
      <c r="M10" s="176">
        <f t="shared" si="6"/>
        <v>0</v>
      </c>
      <c r="N10" s="174">
        <f t="shared" si="7"/>
        <v>0</v>
      </c>
      <c r="O10" s="176">
        <f>-SUMIFS(BV_Data_An_Prec!$O:$O,BV_Data_An_Prec!$U:$U,$B10,BV_Data_An_Prec!$V:$V,$C10,BV_Data_An_Prec!$W:$W,O$2)</f>
        <v>0</v>
      </c>
      <c r="P10" s="173">
        <f t="shared" si="8"/>
        <v>0</v>
      </c>
      <c r="Q10" s="548">
        <f>-SUMIFS(BV_Data_An_Prec!$O:$O,BV_Data_An_Prec!$U:$U,$B10,BV_Data_An_Prec!$V:$V,$C10,BV_Data_An_Prec!$W:$W,Q$2)</f>
        <v>0</v>
      </c>
      <c r="R10" s="176">
        <f t="shared" si="9"/>
        <v>0</v>
      </c>
      <c r="S10" s="393">
        <f t="shared" si="10"/>
        <v>0</v>
      </c>
      <c r="T10" s="216"/>
      <c r="U10" s="216"/>
      <c r="V10" s="508"/>
      <c r="W10" s="24"/>
      <c r="X10" s="24"/>
      <c r="Y10" s="24"/>
      <c r="Z10" s="24"/>
      <c r="AA10" s="24"/>
      <c r="AB10" s="24"/>
      <c r="AC10" s="24"/>
      <c r="AD10" s="24"/>
      <c r="AE10" s="24"/>
      <c r="AF10" s="24"/>
      <c r="AG10" s="24"/>
      <c r="AH10" s="24"/>
      <c r="AI10" s="24"/>
      <c r="AJ10" s="24"/>
      <c r="AK10" s="24"/>
      <c r="AL10" s="24"/>
      <c r="AM10" s="24"/>
      <c r="AN10" s="24"/>
    </row>
    <row r="11" spans="1:54" s="564" customFormat="1" ht="20.25" hidden="1" customHeight="1">
      <c r="A11" s="564" t="s">
        <v>3012</v>
      </c>
      <c r="B11" s="24" t="s">
        <v>75</v>
      </c>
      <c r="C11" s="258" t="s">
        <v>42</v>
      </c>
      <c r="D11" s="173">
        <v>0</v>
      </c>
      <c r="E11" s="173">
        <f t="shared" si="3"/>
        <v>0</v>
      </c>
      <c r="F11" s="173">
        <f>+INDEX('Budget original'!$A$2:$AO$500,MATCH($A11,'Budget original'!$A$2:$A$500,0),MATCH(F$2,'Budget original'!$A$2:$AO$2,0))</f>
        <v>0</v>
      </c>
      <c r="G11" s="176">
        <v>0</v>
      </c>
      <c r="H11" s="173">
        <f t="shared" si="4"/>
        <v>0</v>
      </c>
      <c r="I11" s="173">
        <f>+INDEX('Budget révisé'!$A$2:$AO$500,MATCH($A11,'Budget révisé'!$A$2:$A$500,0),MATCH(I$2,'Budget révisé'!$A$2:$AO$2,0))</f>
        <v>0</v>
      </c>
      <c r="J11" s="176">
        <f>-SUMIFS(BV_Data_An_Cour!$O:$O,BV_Data_An_Cour!$U:$U,$B11,BV_Data_An_Cour!$V:$V,$C11,BV_Data_An_Cour!$W:$W,J$2)</f>
        <v>0</v>
      </c>
      <c r="K11" s="173">
        <f t="shared" si="5"/>
        <v>0</v>
      </c>
      <c r="L11" s="548">
        <f>-SUMIFS(BV_Data_An_Cour!$O:$O,BV_Data_An_Cour!$U:$U,$B11,BV_Data_An_Cour!$V:$V,$C11,BV_Data_An_Cour!$W:$W,L$2)</f>
        <v>0</v>
      </c>
      <c r="M11" s="176">
        <f t="shared" si="6"/>
        <v>0</v>
      </c>
      <c r="N11" s="174">
        <f t="shared" si="7"/>
        <v>0</v>
      </c>
      <c r="O11" s="176">
        <f>-SUMIFS(BV_Data_An_Prec!$O:$O,BV_Data_An_Prec!$U:$U,$B11,BV_Data_An_Prec!$V:$V,$C11,BV_Data_An_Prec!$W:$W,O$2)</f>
        <v>0</v>
      </c>
      <c r="P11" s="173">
        <f t="shared" si="8"/>
        <v>0</v>
      </c>
      <c r="Q11" s="548">
        <f>-SUMIFS(BV_Data_An_Prec!$O:$O,BV_Data_An_Prec!$U:$U,$B11,BV_Data_An_Prec!$V:$V,$C11,BV_Data_An_Prec!$W:$W,Q$2)</f>
        <v>0</v>
      </c>
      <c r="R11" s="176">
        <f t="shared" si="9"/>
        <v>0</v>
      </c>
      <c r="S11" s="393">
        <f t="shared" si="10"/>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ustomHeight="1">
      <c r="A12" s="564" t="s">
        <v>3012</v>
      </c>
      <c r="B12" s="24" t="s">
        <v>75</v>
      </c>
      <c r="C12" s="258" t="s">
        <v>42</v>
      </c>
      <c r="D12" s="173">
        <v>0</v>
      </c>
      <c r="E12" s="173">
        <f t="shared" si="3"/>
        <v>0</v>
      </c>
      <c r="F12" s="173">
        <f>+INDEX('Budget original'!$A$2:$AO$500,MATCH($A12,'Budget original'!$A$2:$A$500,0),MATCH(F$2,'Budget original'!$A$2:$AO$2,0))</f>
        <v>0</v>
      </c>
      <c r="G12" s="176">
        <v>0</v>
      </c>
      <c r="H12" s="173">
        <f t="shared" si="4"/>
        <v>0</v>
      </c>
      <c r="I12" s="173">
        <f>+INDEX('Budget révisé'!$A$2:$AO$500,MATCH($A12,'Budget révisé'!$A$2:$A$500,0),MATCH(I$2,'Budget révisé'!$A$2:$AO$2,0))</f>
        <v>0</v>
      </c>
      <c r="J12" s="176">
        <f>-SUMIFS(BV_Data_An_Cour!$O:$O,BV_Data_An_Cour!$U:$U,$B12,BV_Data_An_Cour!$V:$V,$C12,BV_Data_An_Cour!$W:$W,J$2)</f>
        <v>0</v>
      </c>
      <c r="K12" s="173">
        <f t="shared" si="5"/>
        <v>0</v>
      </c>
      <c r="L12" s="548">
        <f>-SUMIFS(BV_Data_An_Cour!$O:$O,BV_Data_An_Cour!$U:$U,$B12,BV_Data_An_Cour!$V:$V,$C12,BV_Data_An_Cour!$W:$W,L$2)</f>
        <v>0</v>
      </c>
      <c r="M12" s="176">
        <f t="shared" si="6"/>
        <v>0</v>
      </c>
      <c r="N12" s="174">
        <f t="shared" si="7"/>
        <v>0</v>
      </c>
      <c r="O12" s="176">
        <f>-SUMIFS(BV_Data_An_Prec!$O:$O,BV_Data_An_Prec!$U:$U,$B12,BV_Data_An_Prec!$V:$V,$C12,BV_Data_An_Prec!$W:$W,O$2)</f>
        <v>0</v>
      </c>
      <c r="P12" s="173">
        <f t="shared" si="8"/>
        <v>0</v>
      </c>
      <c r="Q12" s="548">
        <f>-SUMIFS(BV_Data_An_Prec!$O:$O,BV_Data_An_Prec!$U:$U,$B12,BV_Data_An_Prec!$V:$V,$C12,BV_Data_An_Prec!$W:$W,Q$2)</f>
        <v>0</v>
      </c>
      <c r="R12" s="176">
        <f t="shared" si="9"/>
        <v>0</v>
      </c>
      <c r="S12" s="393">
        <f t="shared" si="10"/>
        <v>0</v>
      </c>
      <c r="T12" s="216"/>
      <c r="U12" s="216"/>
      <c r="V12" s="508"/>
      <c r="W12" s="24"/>
      <c r="X12" s="24"/>
      <c r="Y12" s="24"/>
      <c r="Z12" s="24"/>
      <c r="AA12" s="24"/>
      <c r="AB12" s="24"/>
      <c r="AC12" s="24"/>
      <c r="AD12" s="24"/>
      <c r="AE12" s="24"/>
      <c r="AF12" s="24"/>
      <c r="AG12" s="24"/>
      <c r="AH12" s="24"/>
      <c r="AI12" s="24"/>
      <c r="AJ12" s="24"/>
      <c r="AK12" s="24"/>
      <c r="AL12" s="24"/>
      <c r="AM12" s="24"/>
      <c r="AN12" s="24"/>
    </row>
    <row r="13" spans="1:54" ht="21">
      <c r="A13" s="564" t="s">
        <v>3013</v>
      </c>
      <c r="B13" s="24" t="s">
        <v>75</v>
      </c>
      <c r="C13" s="394" t="s">
        <v>93</v>
      </c>
      <c r="D13" s="395">
        <f>+SUM(D6:D12)</f>
        <v>86.515662650602408</v>
      </c>
      <c r="E13" s="395">
        <f>IF(D13&lt;=0,0,F13/D13)</f>
        <v>1940.0612299465242</v>
      </c>
      <c r="F13" s="396">
        <f>+SUM(F6:F12)</f>
        <v>167845.68289156628</v>
      </c>
      <c r="G13" s="397">
        <f>+SUM(G6:G12)</f>
        <v>86.515662650602408</v>
      </c>
      <c r="H13" s="395">
        <f>IF(G13&lt;=0,0,I13/G13)</f>
        <v>1940.0612299465242</v>
      </c>
      <c r="I13" s="396">
        <f>+SUM(I6:I12)</f>
        <v>167845.68289156628</v>
      </c>
      <c r="J13" s="1209">
        <f>+SUM(J6:J12)</f>
        <v>43</v>
      </c>
      <c r="K13" s="395">
        <f>IF(J13&lt;=0,0,L13/J13)</f>
        <v>3688.0637209302308</v>
      </c>
      <c r="L13" s="396">
        <f>+SUM(L6:L12)</f>
        <v>158586.73999999993</v>
      </c>
      <c r="M13" s="397">
        <f>+SUM(M6:M12)</f>
        <v>-43.515662650602408</v>
      </c>
      <c r="N13" s="396">
        <f>+SUM(N6:N12)</f>
        <v>-9258.9428915663193</v>
      </c>
      <c r="O13" s="397">
        <f>+SUM(O6:O12)</f>
        <v>83</v>
      </c>
      <c r="P13" s="395">
        <f>IF(O13&lt;=0,0,Q13/O13)</f>
        <v>1793.4583132530124</v>
      </c>
      <c r="Q13" s="396">
        <f>+SUM(Q6:Q12)</f>
        <v>148857.04000000004</v>
      </c>
      <c r="R13" s="397">
        <f>+SUM(R6:R12)</f>
        <v>-40</v>
      </c>
      <c r="S13" s="398">
        <f>+SUM(S6:S12)</f>
        <v>9729.6999999999098</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1">
      <c r="A14" s="564" t="s">
        <v>75</v>
      </c>
      <c r="B14" s="24" t="s">
        <v>75</v>
      </c>
      <c r="C14" s="258"/>
      <c r="D14" s="172"/>
      <c r="E14" s="173"/>
      <c r="F14" s="306"/>
      <c r="G14" s="297"/>
      <c r="H14" s="173"/>
      <c r="I14" s="306"/>
      <c r="J14" s="297"/>
      <c r="K14" s="173"/>
      <c r="L14" s="306"/>
      <c r="M14" s="356"/>
      <c r="N14" s="326"/>
      <c r="O14" s="297"/>
      <c r="P14" s="173"/>
      <c r="Q14" s="306"/>
      <c r="R14" s="356">
        <f>R13/O13</f>
        <v>-0.48192771084337349</v>
      </c>
      <c r="S14" s="327">
        <f>IF(Q13=0,0,(S13/Q13))</f>
        <v>6.5362713110511311E-2</v>
      </c>
      <c r="T14" s="216"/>
      <c r="U14" s="216"/>
      <c r="V14" s="508"/>
      <c r="W14" s="954"/>
      <c r="X14" s="954"/>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1">
      <c r="A15" s="564" t="s">
        <v>3014</v>
      </c>
      <c r="B15" s="24" t="s">
        <v>75</v>
      </c>
      <c r="C15" s="420" t="s">
        <v>94</v>
      </c>
      <c r="D15" s="178">
        <f>+INDEX('Budget original'!$A$2:$AO$500,MATCH($A15,'Budget original'!$A$2:$A$500,0),MATCH(D$2,'Budget original'!$A$2:$AO$2,0))</f>
        <v>8.0963855421686741</v>
      </c>
      <c r="E15" s="178">
        <f t="shared" ref="E15" si="12">IF(D15=0,0,F15/D15)</f>
        <v>1386.1016187312014</v>
      </c>
      <c r="F15" s="171">
        <f>+INDEX('Budget original'!$A$2:$AO$500,MATCH($A15,'Budget original'!$A$2:$A$500,0),MATCH(F$2,'Budget original'!$A$2:$AO$2,0))</f>
        <v>11222.413105871894</v>
      </c>
      <c r="G15" s="177">
        <f>+INDEX('Budget original'!$A$2:$AO$500,MATCH($A15,'Budget original'!$A$2:$A$500,0),MATCH(G$2,'Budget original'!$A$2:$AO$2,0))</f>
        <v>8.0963855421686741</v>
      </c>
      <c r="H15" s="401">
        <f t="shared" ref="H15" si="13">IF(G15=0,0,I15/G15)</f>
        <v>1386.1016187312014</v>
      </c>
      <c r="I15" s="399">
        <f>+INDEX('Budget révisé'!$A$2:$AO$500,MATCH($A15,'Budget révisé'!$A$2:$A$500,0),MATCH(I$2,'Budget révisé'!$A$2:$AO$2,0))</f>
        <v>11222.413105871894</v>
      </c>
      <c r="J15" s="1210">
        <f>-SUMIFS(BV_Data_An_Cour!$O:$O,BV_Data_An_Cour!$U:$U,$B15,BV_Data_An_Cour!$V:$V,$C15,BV_Data_An_Cour!$W:$W,J$2)</f>
        <v>3</v>
      </c>
      <c r="K15" s="543">
        <f>IF(J15=0,0,L15/J15)</f>
        <v>5865.1166666666686</v>
      </c>
      <c r="L15" s="543">
        <f>-SUMIFS(BV_Data_An_Cour!$O:$O,BV_Data_An_Cour!$U:$U,$B15,BV_Data_An_Cour!$V:$V,$C15,BV_Data_An_Cour!$W:$W,L$2)</f>
        <v>17595.350000000006</v>
      </c>
      <c r="M15" s="400">
        <f>J15-G15</f>
        <v>-5.0963855421686741</v>
      </c>
      <c r="N15" s="399">
        <f>L15-I15</f>
        <v>6372.9368941281118</v>
      </c>
      <c r="O15" s="542">
        <f>-SUMIFS(BV_Data_An_Prec!$O:$O,BV_Data_An_Prec!$U:$U,$B15,BV_Data_An_Prec!$V:$V,$C15,BV_Data_An_Prec!$W:$W,O$2)</f>
        <v>4</v>
      </c>
      <c r="P15" s="543">
        <f>IF(O15=0,0,Q15/O15)</f>
        <v>2427.2750000000015</v>
      </c>
      <c r="Q15" s="543">
        <f>-SUMIFS(BV_Data_An_Prec!$O:$O,BV_Data_An_Prec!$U:$U,$B15,BV_Data_An_Prec!$V:$V,$C15,BV_Data_An_Prec!$W:$W,Q$2)</f>
        <v>9709.1000000000058</v>
      </c>
      <c r="R15" s="400">
        <f>J15-O15</f>
        <v>-1</v>
      </c>
      <c r="S15" s="421">
        <f>L15-Q15</f>
        <v>7886.25</v>
      </c>
      <c r="T15" s="216"/>
      <c r="U15" s="216"/>
      <c r="V15" s="954"/>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1">
      <c r="A16" s="564" t="s">
        <v>75</v>
      </c>
      <c r="B16" s="24" t="s">
        <v>75</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1">
      <c r="A17" s="564" t="s">
        <v>3015</v>
      </c>
      <c r="B17" s="24" t="s">
        <v>75</v>
      </c>
      <c r="C17" s="321" t="s">
        <v>95</v>
      </c>
      <c r="D17" s="173">
        <f>+INDEX('Budget original'!$A$2:$AO$500,MATCH($A17,'Budget original'!$A$2:$A$500,0),MATCH(D$2,'Budget original'!$A$2:$AO$2,0))</f>
        <v>1.456384323640961</v>
      </c>
      <c r="E17" s="173">
        <f t="shared" ref="E17" si="14">IF(D17=0,0,F17/D17)</f>
        <v>1938.8731623598242</v>
      </c>
      <c r="F17" s="173">
        <f>+INDEX('Budget original'!$A$2:$AO$500,MATCH($A17,'Budget original'!$A$2:$A$500,0),MATCH(F$2,'Budget original'!$A$2:$AO$2,0))</f>
        <v>2823.7444791890239</v>
      </c>
      <c r="G17" s="176">
        <f>+INDEX('Budget original'!$A$2:$AO$500,MATCH($A17,'Budget original'!$A$2:$A$500,0),MATCH(G$2,'Budget original'!$A$2:$AO$2,0))</f>
        <v>1.456384323640961</v>
      </c>
      <c r="H17" s="173">
        <f t="shared" ref="H17" si="15">IF(G17=0,0,I17/G17)</f>
        <v>1938.8731623598242</v>
      </c>
      <c r="I17" s="173">
        <f>+INDEX('Budget révisé'!$A$2:$AO$500,MATCH($A17,'Budget révisé'!$A$2:$A$500,0),MATCH(I$2,'Budget révisé'!$A$2:$AO$2,0))</f>
        <v>2823.7444791890239</v>
      </c>
      <c r="J17" s="400">
        <f>-SUMIFS(BV_Data_An_Cour!$O:$O,BV_Data_An_Cour!$U:$U,$B17,BV_Data_An_Cour!$V:$V,$C17,BV_Data_An_Cour!$W:$W,J$2)</f>
        <v>0</v>
      </c>
      <c r="K17" s="225">
        <f>IF(J17=0,0,L17/J17)</f>
        <v>0</v>
      </c>
      <c r="L17" s="174">
        <f>-SUMIFS(BV_Data_An_Cour!$O:$O,BV_Data_An_Cour!$U:$U,$B17,BV_Data_An_Cour!$V:$V,$C17,BV_Data_An_Cour!$W:$W,L$2)</f>
        <v>0</v>
      </c>
      <c r="M17" s="400">
        <f>J17-G17</f>
        <v>-1.456384323640961</v>
      </c>
      <c r="N17" s="174">
        <f>L17-I17</f>
        <v>-2823.7444791890239</v>
      </c>
      <c r="O17" s="400">
        <f>-SUMIFS(BV_Data_An_Prec!$O:$O,BV_Data_An_Prec!$U:$U,$B17,BV_Data_An_Prec!$V:$V,$C17,BV_Data_An_Prec!$W:$W,O$2)</f>
        <v>4</v>
      </c>
      <c r="P17" s="173">
        <f>IF(O17=0,0,Q17/O17)</f>
        <v>2789.6125000000029</v>
      </c>
      <c r="Q17" s="174">
        <f>-SUMIFS(BV_Data_An_Prec!$O:$O,BV_Data_An_Prec!$U:$U,$B17,BV_Data_An_Prec!$V:$V,$C17,BV_Data_An_Prec!$W:$W,Q$2)</f>
        <v>11158.450000000012</v>
      </c>
      <c r="R17" s="176">
        <f>J17-O17</f>
        <v>-4</v>
      </c>
      <c r="S17" s="393">
        <f>L17-Q17</f>
        <v>-11158.450000000012</v>
      </c>
      <c r="T17" s="216"/>
      <c r="U17" s="216"/>
      <c r="W17" s="508"/>
      <c r="X17" s="508"/>
      <c r="Y17" s="508"/>
      <c r="Z17" s="508"/>
      <c r="AA17" s="954"/>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1">
      <c r="A18" s="564" t="s">
        <v>75</v>
      </c>
      <c r="B18" s="24" t="s">
        <v>75</v>
      </c>
      <c r="C18" s="394"/>
      <c r="D18" s="422"/>
      <c r="E18" s="422"/>
      <c r="F18" s="423"/>
      <c r="G18" s="405"/>
      <c r="H18" s="422"/>
      <c r="I18" s="423"/>
      <c r="J18" s="176"/>
      <c r="K18" s="422"/>
      <c r="L18" s="423"/>
      <c r="M18" s="176"/>
      <c r="N18" s="423"/>
      <c r="O18" s="176"/>
      <c r="P18" s="422"/>
      <c r="Q18" s="423"/>
      <c r="R18" s="405"/>
      <c r="S18" s="424"/>
      <c r="T18" s="216"/>
      <c r="U18" s="216"/>
      <c r="W18" s="508"/>
      <c r="X18" s="508"/>
      <c r="Y18" s="508"/>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1">
      <c r="A19" s="564" t="s">
        <v>3016</v>
      </c>
      <c r="B19" s="24" t="s">
        <v>75</v>
      </c>
      <c r="C19" s="420" t="s">
        <v>96</v>
      </c>
      <c r="D19" s="173">
        <f>+INDEX('Budget original'!$A$2:$AO$500,MATCH($A19,'Budget original'!$A$2:$A$500,0),MATCH(D$2,'Budget original'!$A$2:$AO$2,0))</f>
        <v>0</v>
      </c>
      <c r="E19" s="173">
        <f t="shared" ref="E19" si="16">IF(D19=0,0,F19/D19)</f>
        <v>0</v>
      </c>
      <c r="F19" s="173">
        <f>+INDEX('Budget original'!$A$2:$AO$500,MATCH($A19,'Budget original'!$A$2:$A$500,0),MATCH(F$2,'Budget original'!$A$2:$AO$2,0))</f>
        <v>8416.038959999998</v>
      </c>
      <c r="G19" s="176">
        <f>+INDEX('Budget original'!$A$2:$AO$500,MATCH($A19,'Budget original'!$A$2:$A$500,0),MATCH(G$2,'Budget original'!$A$2:$AO$2,0))</f>
        <v>0</v>
      </c>
      <c r="H19" s="173">
        <f t="shared" ref="H19" si="17">IF(G19=0,0,I19/G19)</f>
        <v>0</v>
      </c>
      <c r="I19" s="173">
        <f>+INDEX('Budget révisé'!$A$2:$AO$500,MATCH($A19,'Budget révisé'!$A$2:$A$500,0),MATCH(I$2,'Budget révisé'!$A$2:$AO$2,0))</f>
        <v>8416.038959999998</v>
      </c>
      <c r="J19" s="177"/>
      <c r="K19" s="173"/>
      <c r="L19" s="174">
        <f>-SUMIFS(BV_Data_An_Cour!$O:$O,BV_Data_An_Cour!$U:$U,$B19,BV_Data_An_Cour!$V:$V,$C19,BV_Data_An_Cour!$W:$W,L$2)</f>
        <v>10153.059999999998</v>
      </c>
      <c r="M19" s="176"/>
      <c r="N19" s="174">
        <f>L19-I19</f>
        <v>1737.0210399999996</v>
      </c>
      <c r="O19" s="177"/>
      <c r="P19" s="173"/>
      <c r="Q19" s="174">
        <f>-SUMIFS(BV_Data_An_Prec!$O:$O,BV_Data_An_Prec!$U:$U,$B19,BV_Data_An_Prec!$V:$V,$C19,BV_Data_An_Prec!$W:$W,Q$2)</f>
        <v>6141.9900000000198</v>
      </c>
      <c r="R19" s="176">
        <f>O19-K19</f>
        <v>0</v>
      </c>
      <c r="S19" s="393">
        <f>L19-Q19</f>
        <v>4011.0699999999779</v>
      </c>
      <c r="T19" s="216"/>
      <c r="W19" s="1053"/>
      <c r="X19" s="1054"/>
      <c r="Y19" s="508"/>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1">
      <c r="A20" s="564" t="s">
        <v>75</v>
      </c>
      <c r="B20" s="24" t="s">
        <v>75</v>
      </c>
      <c r="C20" s="394"/>
      <c r="D20" s="422"/>
      <c r="E20" s="422"/>
      <c r="F20" s="423"/>
      <c r="G20" s="405"/>
      <c r="H20" s="422"/>
      <c r="I20" s="423"/>
      <c r="J20" s="176"/>
      <c r="K20" s="422"/>
      <c r="L20" s="423"/>
      <c r="M20" s="405"/>
      <c r="N20" s="423"/>
      <c r="O20" s="176"/>
      <c r="P20" s="422"/>
      <c r="Q20" s="423"/>
      <c r="R20" s="405"/>
      <c r="S20" s="424"/>
      <c r="T20" s="216"/>
      <c r="U20" s="25"/>
      <c r="W20" s="1053"/>
      <c r="X20" s="1054"/>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
        <v>3017</v>
      </c>
      <c r="B21" s="24" t="s">
        <v>75</v>
      </c>
      <c r="C21" s="258" t="s">
        <v>97</v>
      </c>
      <c r="D21" s="173">
        <f>+INDEX('Budget original'!$A$2:$AO$500,MATCH($A21,'Budget original'!$A$2:$A$500,0),MATCH(D$2,'Budget original'!$A$2:$AO$2,0))</f>
        <v>0</v>
      </c>
      <c r="E21" s="173">
        <f t="shared" ref="E21:E23" si="18">IF(D21=0,0,F21/D21)</f>
        <v>0</v>
      </c>
      <c r="F21" s="173">
        <f>+INDEX('Budget original'!$A$2:$AO$500,MATCH($A21,'Budget original'!$A$2:$A$500,0),MATCH(F$2,'Budget original'!$A$2:$AO$2,0))</f>
        <v>2831.1484952484525</v>
      </c>
      <c r="G21" s="297">
        <f>+INDEX('Budget original'!$A$2:$AO$500,MATCH($A21,'Budget original'!$A$2:$A$500,0),MATCH(G$2,'Budget original'!$A$2:$AO$2,0))</f>
        <v>0</v>
      </c>
      <c r="H21" s="173">
        <f t="shared" ref="H21:H23" si="19">IF(G21=0,0,I21/G21)</f>
        <v>0</v>
      </c>
      <c r="I21" s="173">
        <f>+INDEX('Budget révisé'!$A$2:$AO$500,MATCH($A21,'Budget révisé'!$A$2:$A$500,0),MATCH(I$2,'Budget révisé'!$A$2:$AO$2,0))</f>
        <v>2831.1484952484525</v>
      </c>
      <c r="J21" s="176"/>
      <c r="K21" s="173">
        <f>IF(J13=0,0,L21/(J13+J15))</f>
        <v>235.93391304347824</v>
      </c>
      <c r="L21" s="174">
        <f>-SUMIFS(BV_Data_An_Cour!$O:$O,BV_Data_An_Cour!$U:$U,$B21,BV_Data_An_Cour!$V:$V,$C21,BV_Data_An_Cour!$W:$W,L$2)</f>
        <v>10852.96</v>
      </c>
      <c r="M21" s="176"/>
      <c r="N21" s="174">
        <f t="shared" ref="N21:N24" si="20">L21-I21</f>
        <v>8021.8115047515466</v>
      </c>
      <c r="O21" s="176"/>
      <c r="P21" s="173">
        <f>IF(O13=0,0,Q21/(O13+O15))</f>
        <v>0</v>
      </c>
      <c r="Q21" s="174">
        <f>-SUMIFS(BV_Data_An_Prec!$O:$O,BV_Data_An_Prec!$U:$U,$B21,BV_Data_An_Prec!$V:$V,$C21,BV_Data_An_Prec!$W:$W,Q$2)</f>
        <v>0</v>
      </c>
      <c r="R21" s="176">
        <f t="shared" ref="R21:R23" si="21">O21-K21</f>
        <v>-235.93391304347824</v>
      </c>
      <c r="S21" s="393">
        <f t="shared" ref="S21:S24" si="22">L21-Q21</f>
        <v>10852.96</v>
      </c>
      <c r="T21" s="216"/>
      <c r="U21" s="216"/>
      <c r="W21" s="508"/>
      <c r="X21" s="1095"/>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8" customHeight="1">
      <c r="A22" s="564" t="s">
        <v>3018</v>
      </c>
      <c r="B22" s="24" t="s">
        <v>75</v>
      </c>
      <c r="C22" s="258" t="s">
        <v>98</v>
      </c>
      <c r="D22" s="173">
        <f>+INDEX('Budget original'!$A$2:$AO$500,MATCH($A22,'Budget original'!$A$2:$A$500,0),MATCH(D$2,'Budget original'!$A$2:$AO$2,0))</f>
        <v>0</v>
      </c>
      <c r="E22" s="173">
        <f t="shared" si="18"/>
        <v>0</v>
      </c>
      <c r="F22" s="173">
        <f>+INDEX('Budget original'!$A$2:$AO$500,MATCH($A22,'Budget original'!$A$2:$A$500,0),MATCH(F$2,'Budget original'!$A$2:$AO$2,0))</f>
        <v>75715.125898060665</v>
      </c>
      <c r="G22" s="297">
        <f>+INDEX('Budget original'!$A$2:$AO$500,MATCH($A22,'Budget original'!$A$2:$A$500,0),MATCH(G$2,'Budget original'!$A$2:$AO$2,0))</f>
        <v>0</v>
      </c>
      <c r="H22" s="173">
        <f t="shared" si="19"/>
        <v>0</v>
      </c>
      <c r="I22" s="173">
        <f>+INDEX('Budget révisé'!$A$2:$AO$500,MATCH($A22,'Budget révisé'!$A$2:$A$500,0),MATCH(I$2,'Budget révisé'!$A$2:$AO$2,0))</f>
        <v>75715.125898060665</v>
      </c>
      <c r="J22" s="176"/>
      <c r="K22" s="173">
        <f>IF(J13=0,0,L22/(J13+J15))</f>
        <v>1009.41</v>
      </c>
      <c r="L22" s="174">
        <f>-SUMIFS(BV_Data_An_Cour!$O:$O,BV_Data_An_Cour!$U:$U,$B22,BV_Data_An_Cour!$V:$V,$C22,BV_Data_An_Cour!$W:$W,L$2)</f>
        <v>46432.86</v>
      </c>
      <c r="M22" s="176"/>
      <c r="N22" s="174">
        <f t="shared" si="20"/>
        <v>-29282.265898060665</v>
      </c>
      <c r="O22" s="176"/>
      <c r="P22" s="173">
        <f>IF(O13=0,0,Q22/(O13+O15))</f>
        <v>765.23471264367811</v>
      </c>
      <c r="Q22" s="174">
        <f>-SUMIFS(BV_Data_An_Prec!$O:$O,BV_Data_An_Prec!$U:$U,$B22,BV_Data_An_Prec!$V:$V,$C22,BV_Data_An_Prec!$W:$W,Q$2)</f>
        <v>66575.42</v>
      </c>
      <c r="R22" s="176">
        <f t="shared" si="21"/>
        <v>-1009.41</v>
      </c>
      <c r="S22" s="393">
        <f t="shared" si="22"/>
        <v>-20142.559999999998</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9.5" customHeight="1">
      <c r="A23" s="564" t="s">
        <v>3019</v>
      </c>
      <c r="B23" s="24" t="s">
        <v>75</v>
      </c>
      <c r="C23" s="258" t="s">
        <v>99</v>
      </c>
      <c r="D23" s="173">
        <f>+INDEX('Budget original'!$A$2:$AO$500,MATCH($A23,'Budget original'!$A$2:$A$500,0),MATCH(D$2,'Budget original'!$A$2:$AO$2,0))</f>
        <v>0</v>
      </c>
      <c r="E23" s="173">
        <f t="shared" si="18"/>
        <v>0</v>
      </c>
      <c r="F23" s="173">
        <f>+INDEX('Budget original'!$A$2:$AO$500,MATCH($A23,'Budget original'!$A$2:$A$500,0),MATCH(F$2,'Budget original'!$A$2:$AO$2,0))</f>
        <v>1873.9665705463003</v>
      </c>
      <c r="G23" s="297">
        <f>+INDEX('Budget original'!$A$2:$AO$500,MATCH($A23,'Budget original'!$A$2:$A$500,0),MATCH(G$2,'Budget original'!$A$2:$AO$2,0))</f>
        <v>0</v>
      </c>
      <c r="H23" s="173">
        <f t="shared" si="19"/>
        <v>0</v>
      </c>
      <c r="I23" s="173">
        <f>+INDEX('Budget révisé'!$A$2:$AO$500,MATCH($A23,'Budget révisé'!$A$2:$A$500,0),MATCH(I$2,'Budget révisé'!$A$2:$AO$2,0))</f>
        <v>1873.9665705463003</v>
      </c>
      <c r="J23" s="176"/>
      <c r="K23" s="173">
        <f>IF(J13=0,0,L23/(J13+J15))</f>
        <v>6.1243478260869573</v>
      </c>
      <c r="L23" s="174">
        <f>-SUMIFS(BV_Data_An_Cour!$O:$O,BV_Data_An_Cour!$U:$U,$B23,BV_Data_An_Cour!$V:$V,$C23,BV_Data_An_Cour!$W:$W,L$2)</f>
        <v>281.72000000000003</v>
      </c>
      <c r="M23" s="400"/>
      <c r="N23" s="174">
        <f t="shared" si="20"/>
        <v>-1592.2465705463003</v>
      </c>
      <c r="O23" s="176"/>
      <c r="P23" s="173">
        <f>IF(O13=0,0,Q23/(O13+O15))</f>
        <v>18.082413793103449</v>
      </c>
      <c r="Q23" s="174">
        <f>-SUMIFS(BV_Data_An_Prec!$O:$O,BV_Data_An_Prec!$U:$U,$B23,BV_Data_An_Prec!$V:$V,$C23,BV_Data_An_Prec!$W:$W,Q$2)</f>
        <v>1573.17</v>
      </c>
      <c r="R23" s="176">
        <f t="shared" si="21"/>
        <v>-6.1243478260869573</v>
      </c>
      <c r="S23" s="393">
        <f t="shared" si="22"/>
        <v>-1291.45</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8" customHeight="1">
      <c r="A24" s="564" t="s">
        <v>3020</v>
      </c>
      <c r="B24" s="24" t="s">
        <v>75</v>
      </c>
      <c r="C24" s="394" t="s">
        <v>100</v>
      </c>
      <c r="D24" s="395">
        <f>+D15+D13</f>
        <v>94.612048192771084</v>
      </c>
      <c r="E24" s="395">
        <f>IF(D24&lt;=0,0,F24/D24)</f>
        <v>849.99999999999989</v>
      </c>
      <c r="F24" s="396">
        <f>F21+F22+F23</f>
        <v>80420.240963855409</v>
      </c>
      <c r="G24" s="397">
        <f>+G15+G13</f>
        <v>94.612048192771084</v>
      </c>
      <c r="H24" s="395">
        <f>IF(G24&lt;=0,0,I24/G24)</f>
        <v>849.99999999999989</v>
      </c>
      <c r="I24" s="396">
        <f>I21+I22+I23</f>
        <v>80420.240963855409</v>
      </c>
      <c r="J24" s="397">
        <f>+J15+J13</f>
        <v>46</v>
      </c>
      <c r="K24" s="395">
        <f>IF(J24&lt;=0,0,L24/J24)</f>
        <v>1251.4682608695653</v>
      </c>
      <c r="L24" s="396">
        <f>L21+L22+L23</f>
        <v>57567.54</v>
      </c>
      <c r="M24" s="425">
        <f>J24-G24</f>
        <v>-48.612048192771084</v>
      </c>
      <c r="N24" s="396">
        <f t="shared" si="20"/>
        <v>-22852.700963855408</v>
      </c>
      <c r="O24" s="397">
        <f>+O15+O13</f>
        <v>87</v>
      </c>
      <c r="P24" s="395">
        <f>IF(O24&lt;=0,0,Q24/O24)</f>
        <v>783.31712643678156</v>
      </c>
      <c r="Q24" s="396">
        <f>Q21+Q22+Q23</f>
        <v>68148.59</v>
      </c>
      <c r="R24" s="405"/>
      <c r="S24" s="398">
        <f t="shared" si="22"/>
        <v>-10581.049999999996</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
        <v>75</v>
      </c>
      <c r="B25" s="24" t="s">
        <v>75</v>
      </c>
      <c r="C25" s="258"/>
      <c r="D25" s="172"/>
      <c r="E25" s="172"/>
      <c r="F25" s="298"/>
      <c r="G25" s="297"/>
      <c r="H25" s="172"/>
      <c r="I25" s="298"/>
      <c r="J25" s="297"/>
      <c r="K25" s="172"/>
      <c r="L25" s="298"/>
      <c r="M25" s="356"/>
      <c r="N25" s="326">
        <f>IF(N24=0,0,N24/I24)</f>
        <v>-0.28416603444556293</v>
      </c>
      <c r="O25" s="297"/>
      <c r="P25" s="172"/>
      <c r="Q25" s="298"/>
      <c r="R25" s="319"/>
      <c r="S25" s="327">
        <f>IF(Q24=0,0,(S24/Q24))</f>
        <v>-0.1552644009215744</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
        <v>75</v>
      </c>
      <c r="B26" s="24" t="s">
        <v>75</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
        <v>3021</v>
      </c>
      <c r="B27" s="24" t="s">
        <v>75</v>
      </c>
      <c r="C27" s="263" t="s">
        <v>101</v>
      </c>
      <c r="D27" s="26">
        <f>+D13+D15+D17</f>
        <v>96.068432516412045</v>
      </c>
      <c r="E27" s="27">
        <f>IF(D27&lt;=0,0,F27/D27)</f>
        <v>2818.0757540124559</v>
      </c>
      <c r="F27" s="28">
        <f>F13+F17+F24+F19+F15</f>
        <v>270728.12040048261</v>
      </c>
      <c r="G27" s="29">
        <f>+G13+G15+G17</f>
        <v>96.068432516412045</v>
      </c>
      <c r="H27" s="27">
        <f>IF(G27&lt;=0,0,I27/G27)</f>
        <v>2818.0757540124559</v>
      </c>
      <c r="I27" s="28">
        <f>I13+I17+I24+I19+I15</f>
        <v>270728.12040048261</v>
      </c>
      <c r="J27" s="29">
        <f>+J13+J15+J17</f>
        <v>46</v>
      </c>
      <c r="K27" s="27">
        <f>IF(J27&lt;=0,0,L27/J27)</f>
        <v>5302.2323913043465</v>
      </c>
      <c r="L27" s="28">
        <f>L13+L17+L24+L19+L15</f>
        <v>243902.68999999994</v>
      </c>
      <c r="M27" s="29">
        <f>J27-G27</f>
        <v>-50.068432516412045</v>
      </c>
      <c r="N27" s="28">
        <f>L27-I27</f>
        <v>-26825.43040048267</v>
      </c>
      <c r="O27" s="29">
        <f>+O13+O15+O17</f>
        <v>91</v>
      </c>
      <c r="P27" s="27">
        <f>IF(O27&lt;=0,0,Q27/O27)</f>
        <v>2681.4853846153856</v>
      </c>
      <c r="Q27" s="28">
        <f>Q13+Q17+Q24+Q19+Q15</f>
        <v>244015.17000000007</v>
      </c>
      <c r="R27" s="29">
        <f>J27-O27</f>
        <v>-45</v>
      </c>
      <c r="S27" s="357">
        <f>L27-Q27</f>
        <v>-112.48000000012689</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
        <v>75</v>
      </c>
      <c r="B28" s="24" t="s">
        <v>75</v>
      </c>
      <c r="C28" s="358"/>
      <c r="D28" s="359"/>
      <c r="E28" s="359"/>
      <c r="F28" s="32"/>
      <c r="G28" s="31"/>
      <c r="H28" s="359"/>
      <c r="I28" s="32"/>
      <c r="J28" s="31"/>
      <c r="K28" s="359"/>
      <c r="L28" s="32"/>
      <c r="M28" s="33">
        <f>M27/G27</f>
        <v>-0.52117465857328837</v>
      </c>
      <c r="N28" s="34">
        <f>N27/I27</f>
        <v>-9.9086235891566621E-2</v>
      </c>
      <c r="O28" s="31"/>
      <c r="P28" s="359"/>
      <c r="Q28" s="32"/>
      <c r="R28" s="33">
        <f>R27/O27</f>
        <v>-0.49450549450549453</v>
      </c>
      <c r="S28" s="266">
        <f>IF(Q27=0,0,S27/Q27)</f>
        <v>-4.6095494800641639E-4</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
        <v>75</v>
      </c>
      <c r="B29" s="24" t="s">
        <v>75</v>
      </c>
      <c r="C29" s="267"/>
      <c r="D29" s="235"/>
      <c r="E29" s="235"/>
      <c r="F29" s="504"/>
      <c r="G29" s="307"/>
      <c r="H29" s="363"/>
      <c r="I29" s="308"/>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
        <v>3022</v>
      </c>
      <c r="B30" s="24" t="s">
        <v>75</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
        <v>3023</v>
      </c>
      <c r="B31" s="24" t="s">
        <v>75</v>
      </c>
      <c r="C31" s="258" t="s">
        <v>103</v>
      </c>
      <c r="D31" s="1093">
        <f>F31/(F15+F13)</f>
        <v>0.3128667715313766</v>
      </c>
      <c r="E31" s="191">
        <f t="shared" ref="E31:E40" si="23">F31/D$24</f>
        <v>592.1492891142135</v>
      </c>
      <c r="F31" s="173">
        <f>+INDEX('Budget original'!$A$2:$AO$500,MATCH($A31,'Budget original'!$A$2:$A$500,0),MATCH(F$2,'Budget original'!$A$2:$AO$2,0))</f>
        <v>56024.4570789891</v>
      </c>
      <c r="G31" s="952">
        <f>I31/(I15+I13)</f>
        <v>0.3128667715313766</v>
      </c>
      <c r="H31" s="191">
        <f t="shared" ref="H31:H40" si="24">I31/G$24</f>
        <v>592.1492891142135</v>
      </c>
      <c r="I31" s="173">
        <f>+INDEX('Budget révisé'!$A$2:$AO$500,MATCH($A31,'Budget révisé'!$A$2:$A$500,0),MATCH(I$2,'Budget révisé'!$A$2:$AO$2,0))</f>
        <v>56024.4570789891</v>
      </c>
      <c r="J31" s="952">
        <f>L31/(L15+L13)</f>
        <v>0.28520486957556251</v>
      </c>
      <c r="K31" s="191">
        <f t="shared" ref="K31:K36" si="25">IF(L31=0,0,L31/J$24)</f>
        <v>1092.3476086956521</v>
      </c>
      <c r="L31" s="173">
        <f>SUMIFS(BV_Data_An_Cour!$O:$O,BV_Data_An_Cour!$U:$U,$B31,BV_Data_An_Cour!$V:$V,$C31,BV_Data_An_Cour!$W:$W,L$2)</f>
        <v>50247.99</v>
      </c>
      <c r="M31" s="297"/>
      <c r="N31" s="298">
        <f t="shared" ref="N31:N53" si="26">L31-I31</f>
        <v>-5776.4670789891024</v>
      </c>
      <c r="O31" s="297"/>
      <c r="P31" s="191">
        <f t="shared" ref="P31:P36" si="27">IF(Q31=0,0,Q31/O$24)</f>
        <v>611.33367816091948</v>
      </c>
      <c r="Q31" s="174">
        <f>SUMIFS(BV_Data_An_Prec!$O:$O,BV_Data_An_Prec!$U:$U,$B31,BV_Data_An_Prec!$V:$V,$C31,BV_Data_An_Prec!$W:$W,Q$2)</f>
        <v>53186.03</v>
      </c>
      <c r="R31" s="297"/>
      <c r="S31" s="193">
        <f t="shared" ref="S31:S41" si="28">L31-Q31</f>
        <v>-2938.0400000000009</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
        <v>3024</v>
      </c>
      <c r="B32" s="24" t="s">
        <v>75</v>
      </c>
      <c r="C32" s="320" t="s">
        <v>104</v>
      </c>
      <c r="D32" s="1094">
        <f>F32/F24</f>
        <v>0.3</v>
      </c>
      <c r="E32" s="407">
        <f t="shared" si="23"/>
        <v>254.99999999999994</v>
      </c>
      <c r="F32" s="171">
        <f>+INDEX('Budget original'!$A$2:$AO$500,MATCH($A32,'Budget original'!$A$2:$A$500,0),MATCH(F$2,'Budget original'!$A$2:$AO$2,0))</f>
        <v>24126.072289156622</v>
      </c>
      <c r="G32" s="953">
        <f>I32/I24</f>
        <v>0.3</v>
      </c>
      <c r="H32" s="184">
        <f t="shared" si="24"/>
        <v>254.99999999999994</v>
      </c>
      <c r="I32" s="171">
        <f>+INDEX('Budget révisé'!$A$2:$AO$500,MATCH($A32,'Budget révisé'!$A$2:$A$500,0),MATCH(I$2,'Budget révisé'!$A$2:$AO$2,0))</f>
        <v>24126.072289156622</v>
      </c>
      <c r="J32" s="1088">
        <f>L32/L24</f>
        <v>0.36279907044838117</v>
      </c>
      <c r="K32" s="407">
        <f t="shared" si="25"/>
        <v>454.03152173913043</v>
      </c>
      <c r="L32" s="238">
        <f>SUMIFS(BV_Data_An_Cour!$O:$O,BV_Data_An_Cour!$U:$U,$B32,BV_Data_An_Cour!$V:$V,$C32,BV_Data_An_Cour!$W:$W,L$2)</f>
        <v>20885.45</v>
      </c>
      <c r="M32" s="304"/>
      <c r="N32" s="305">
        <f t="shared" si="26"/>
        <v>-3240.6222891566213</v>
      </c>
      <c r="O32" s="304"/>
      <c r="P32" s="407">
        <f t="shared" si="27"/>
        <v>240.78988505747128</v>
      </c>
      <c r="Q32" s="171">
        <f>SUMIFS(BV_Data_An_Prec!$O:$O,BV_Data_An_Prec!$U:$U,$B32,BV_Data_An_Prec!$V:$V,$C32,BV_Data_An_Prec!$W:$W,Q$2)</f>
        <v>20948.72</v>
      </c>
      <c r="R32" s="304"/>
      <c r="S32" s="196">
        <f t="shared" si="28"/>
        <v>-63.270000000000437</v>
      </c>
      <c r="T32" s="216"/>
      <c r="U32" s="1397">
        <f>(L32+L112)/(L104+L24+L19)</f>
        <v>0.2970387209511331</v>
      </c>
      <c r="V32" s="1398" t="s">
        <v>3446</v>
      </c>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
        <v>3025</v>
      </c>
      <c r="B33" s="24" t="s">
        <v>75</v>
      </c>
      <c r="C33" s="258" t="s">
        <v>105</v>
      </c>
      <c r="D33" s="295"/>
      <c r="E33" s="191">
        <f t="shared" si="23"/>
        <v>167.84930226439229</v>
      </c>
      <c r="F33" s="173">
        <f>+INDEX('Budget original'!$A$2:$AO$500,MATCH($A33,'Budget original'!$A$2:$A$500,0),MATCH(F$2,'Budget original'!$A$2:$AO$2,0))</f>
        <v>15880.566274961684</v>
      </c>
      <c r="G33" s="296"/>
      <c r="H33" s="191">
        <f t="shared" si="24"/>
        <v>167.84930226439229</v>
      </c>
      <c r="I33" s="173">
        <f>+INDEX('Budget révisé'!$A$2:$AO$500,MATCH($A33,'Budget révisé'!$A$2:$A$500,0),MATCH(I$2,'Budget révisé'!$A$2:$AO$2,0))</f>
        <v>15880.566274961684</v>
      </c>
      <c r="J33" s="297"/>
      <c r="K33" s="222">
        <f t="shared" si="25"/>
        <v>104.73239130434781</v>
      </c>
      <c r="L33" s="225">
        <f>SUMIFS(BV_Data_An_Cour!$O:$O,BV_Data_An_Cour!$U:$U,$B33,BV_Data_An_Cour!$V:$V,$C33,BV_Data_An_Cour!$W:$W,L$2)</f>
        <v>4817.6899999999996</v>
      </c>
      <c r="M33" s="297"/>
      <c r="N33" s="298">
        <f t="shared" si="26"/>
        <v>-11062.876274961684</v>
      </c>
      <c r="O33" s="297"/>
      <c r="P33" s="191">
        <f t="shared" si="27"/>
        <v>74.750689655172422</v>
      </c>
      <c r="Q33" s="174">
        <f>SUMIFS(BV_Data_An_Prec!$O:$O,BV_Data_An_Prec!$U:$U,$B33,BV_Data_An_Prec!$V:$V,$C33,BV_Data_An_Prec!$W:$W,Q$2)</f>
        <v>6503.31</v>
      </c>
      <c r="R33" s="297"/>
      <c r="S33" s="193">
        <f t="shared" si="28"/>
        <v>-1685.6200000000008</v>
      </c>
      <c r="T33" s="216"/>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
        <v>3026</v>
      </c>
      <c r="B34" s="24" t="s">
        <v>75</v>
      </c>
      <c r="C34" s="258" t="s">
        <v>106</v>
      </c>
      <c r="D34" s="295"/>
      <c r="E34" s="191">
        <f t="shared" si="23"/>
        <v>7.3548076275245782</v>
      </c>
      <c r="F34" s="173">
        <f>+INDEX('Budget original'!$A$2:$AO$500,MATCH($A34,'Budget original'!$A$2:$A$500,0),MATCH(F$2,'Budget original'!$A$2:$AO$2,0))</f>
        <v>695.85341370391575</v>
      </c>
      <c r="G34" s="296"/>
      <c r="H34" s="191">
        <f t="shared" si="24"/>
        <v>7.3548076275245782</v>
      </c>
      <c r="I34" s="173">
        <f>+INDEX('Budget révisé'!$A$2:$AO$500,MATCH($A34,'Budget révisé'!$A$2:$A$500,0),MATCH(I$2,'Budget révisé'!$A$2:$AO$2,0))</f>
        <v>695.85341370391575</v>
      </c>
      <c r="J34" s="297"/>
      <c r="K34" s="191">
        <f t="shared" si="25"/>
        <v>0</v>
      </c>
      <c r="L34" s="225">
        <f>SUMIFS(BV_Data_An_Cour!$O:$O,BV_Data_An_Cour!$U:$U,$B34,BV_Data_An_Cour!$V:$V,$C34,BV_Data_An_Cour!$W:$W,L$2)</f>
        <v>0</v>
      </c>
      <c r="M34" s="297"/>
      <c r="N34" s="298">
        <f t="shared" si="26"/>
        <v>-695.85341370391575</v>
      </c>
      <c r="O34" s="297"/>
      <c r="P34" s="191">
        <f t="shared" si="27"/>
        <v>6.8565517241379306</v>
      </c>
      <c r="Q34" s="174">
        <f>SUMIFS(BV_Data_An_Prec!$O:$O,BV_Data_An_Prec!$U:$U,$B34,BV_Data_An_Prec!$V:$V,$C34,BV_Data_An_Prec!$W:$W,Q$2)</f>
        <v>596.52</v>
      </c>
      <c r="R34" s="297"/>
      <c r="S34" s="193">
        <f t="shared" si="28"/>
        <v>-596.52</v>
      </c>
      <c r="T34" s="216"/>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
        <v>3027</v>
      </c>
      <c r="B35" s="24" t="s">
        <v>75</v>
      </c>
      <c r="C35" s="320" t="s">
        <v>107</v>
      </c>
      <c r="D35" s="301"/>
      <c r="E35" s="407">
        <f t="shared" si="23"/>
        <v>17.733118212476484</v>
      </c>
      <c r="F35" s="171">
        <f>+INDEX('Budget original'!$A$2:$AO$500,MATCH($A35,'Budget original'!$A$2:$A$500,0),MATCH(F$2,'Budget original'!$A$2:$AO$2,0))</f>
        <v>1677.7666349269316</v>
      </c>
      <c r="G35" s="303"/>
      <c r="H35" s="184">
        <f t="shared" si="24"/>
        <v>17.733118212476484</v>
      </c>
      <c r="I35" s="171">
        <f>+INDEX('Budget révisé'!$A$2:$AO$500,MATCH($A35,'Budget révisé'!$A$2:$A$500,0),MATCH(I$2,'Budget révisé'!$A$2:$AO$2,0))</f>
        <v>1677.7666349269316</v>
      </c>
      <c r="J35" s="304"/>
      <c r="K35" s="1121">
        <f t="shared" si="25"/>
        <v>100.76913043478261</v>
      </c>
      <c r="L35" s="238">
        <f>SUMIFS(BV_Data_An_Cour!$O:$O,BV_Data_An_Cour!$U:$U,$B35,BV_Data_An_Cour!$V:$V,$C35,BV_Data_An_Cour!$W:$W,L$2)</f>
        <v>4635.38</v>
      </c>
      <c r="M35" s="304"/>
      <c r="N35" s="305">
        <f t="shared" si="26"/>
        <v>2957.6133650730685</v>
      </c>
      <c r="O35" s="304"/>
      <c r="P35" s="407">
        <f t="shared" si="27"/>
        <v>13.448275862068966</v>
      </c>
      <c r="Q35" s="174">
        <f>SUMIFS(BV_Data_An_Prec!$O:$O,BV_Data_An_Prec!$U:$U,$B35,BV_Data_An_Prec!$V:$V,$C35,BV_Data_An_Prec!$W:$W,Q$2)</f>
        <v>1170</v>
      </c>
      <c r="R35" s="304"/>
      <c r="S35" s="196">
        <f t="shared" si="28"/>
        <v>3465.38</v>
      </c>
      <c r="T35" s="216"/>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
        <v>3028</v>
      </c>
      <c r="B36" s="24" t="s">
        <v>75</v>
      </c>
      <c r="C36" s="258" t="s">
        <v>108</v>
      </c>
      <c r="D36" s="295"/>
      <c r="E36" s="191">
        <f t="shared" si="23"/>
        <v>195.93765281173589</v>
      </c>
      <c r="F36" s="173">
        <f>+INDEX('Budget original'!$A$2:$AO$500,MATCH($A36,'Budget original'!$A$2:$A$500,0),MATCH(F$2,'Budget original'!$A$2:$AO$2,0))</f>
        <v>18538.062650602405</v>
      </c>
      <c r="G36" s="296"/>
      <c r="H36" s="191">
        <f t="shared" si="24"/>
        <v>195.93765281173589</v>
      </c>
      <c r="I36" s="173">
        <f>+INDEX('Budget révisé'!$A$2:$AO$500,MATCH($A36,'Budget révisé'!$A$2:$A$500,0),MATCH(I$2,'Budget révisé'!$A$2:$AO$2,0))</f>
        <v>18538.062650602405</v>
      </c>
      <c r="J36" s="297"/>
      <c r="K36" s="191">
        <f t="shared" si="25"/>
        <v>382.71152173913043</v>
      </c>
      <c r="L36" s="1122">
        <f>SUMIFS(BV_Data_An_Cour!$O:$O,BV_Data_An_Cour!$U:$U,$B36,BV_Data_An_Cour!$V:$V,$C36,BV_Data_An_Cour!$W:$W,L$2)</f>
        <v>17604.73</v>
      </c>
      <c r="M36" s="172"/>
      <c r="N36" s="298">
        <f t="shared" si="26"/>
        <v>-933.33265060240592</v>
      </c>
      <c r="O36" s="297"/>
      <c r="P36" s="191">
        <f t="shared" si="27"/>
        <v>119.94091954022988</v>
      </c>
      <c r="Q36" s="423">
        <f>SUMIFS(BV_Data_An_Prec!$O:$O,BV_Data_An_Prec!$U:$U,$B36,BV_Data_An_Prec!$V:$V,$C36,BV_Data_An_Prec!$W:$W,Q$2)</f>
        <v>10434.86</v>
      </c>
      <c r="R36" s="297"/>
      <c r="S36" s="193">
        <f t="shared" si="28"/>
        <v>7169.869999999999</v>
      </c>
      <c r="T36" s="216"/>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s="564" customFormat="1" ht="15.75" customHeight="1">
      <c r="A37" s="564" t="s">
        <v>3029</v>
      </c>
      <c r="B37" s="24" t="s">
        <v>75</v>
      </c>
      <c r="C37" s="258" t="s">
        <v>109</v>
      </c>
      <c r="D37" s="295"/>
      <c r="E37" s="191">
        <f t="shared" si="23"/>
        <v>83.856314119243052</v>
      </c>
      <c r="F37" s="173">
        <f>+INDEX('Budget original'!$A$2:$AO$500,MATCH($A37,'Budget original'!$A$2:$A$500,0),MATCH(F$2,'Budget original'!$A$2:$AO$2,0))</f>
        <v>7933.8176327179735</v>
      </c>
      <c r="G37" s="296"/>
      <c r="H37" s="191">
        <f t="shared" si="24"/>
        <v>83.856314119243052</v>
      </c>
      <c r="I37" s="173">
        <f>+INDEX('Budget révisé'!$A$2:$AO$500,MATCH($A37,'Budget révisé'!$A$2:$A$500,0),MATCH(I$2,'Budget révisé'!$A$2:$AO$2,0))</f>
        <v>7933.8176327179735</v>
      </c>
      <c r="J37" s="297"/>
      <c r="K37" s="191">
        <f t="shared" ref="K37:K40" si="29">IF(L37=0,0,L37/J$24)</f>
        <v>5.9121739130434774</v>
      </c>
      <c r="L37" s="624">
        <f>SUMIFS(BV_Data_An_Cour!$O:$O,BV_Data_An_Cour!$U:$U,$B37,BV_Data_An_Cour!$V:$V,$C37,BV_Data_An_Cour!$W:$W,L$2)</f>
        <v>271.95999999999998</v>
      </c>
      <c r="M37" s="172"/>
      <c r="N37" s="298">
        <f t="shared" ref="N37:N40" si="30">L37-I37</f>
        <v>-7661.8576327179735</v>
      </c>
      <c r="O37" s="297"/>
      <c r="P37" s="191">
        <f t="shared" ref="P37:P40" si="31">IF(Q37=0,0,Q37/O$24)</f>
        <v>161.06482758620689</v>
      </c>
      <c r="Q37" s="174">
        <f>SUMIFS(BV_Data_An_Prec!$O:$O,BV_Data_An_Prec!$U:$U,$B37,BV_Data_An_Prec!$V:$V,$C37,BV_Data_An_Prec!$W:$W,Q$2)</f>
        <v>14012.64</v>
      </c>
      <c r="R37" s="297"/>
      <c r="S37" s="193">
        <f t="shared" ref="S37:S40" si="32">L37-Q37</f>
        <v>-13740.68</v>
      </c>
      <c r="T37" s="216"/>
      <c r="U37"/>
      <c r="V37"/>
      <c r="W37"/>
      <c r="X37"/>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s="564" customFormat="1" ht="15.75" hidden="1" customHeight="1">
      <c r="A38" s="564" t="s">
        <v>3012</v>
      </c>
      <c r="B38" s="24" t="s">
        <v>75</v>
      </c>
      <c r="C38" s="258" t="s">
        <v>42</v>
      </c>
      <c r="D38" s="295"/>
      <c r="E38" s="191">
        <f t="shared" si="23"/>
        <v>0</v>
      </c>
      <c r="F38" s="173">
        <f>+INDEX('Budget original'!$A$2:$AO$500,MATCH($A38,'Budget original'!$A$2:$A$500,0),MATCH(F$2,'Budget original'!$A$2:$AO$2,0))</f>
        <v>0</v>
      </c>
      <c r="G38" s="296"/>
      <c r="H38" s="191">
        <f t="shared" si="24"/>
        <v>0</v>
      </c>
      <c r="I38" s="173">
        <f>+INDEX('Budget révisé'!$A$2:$AO$500,MATCH($A38,'Budget révisé'!$A$2:$A$500,0),MATCH(I$2,'Budget révisé'!$A$2:$AO$2,0))</f>
        <v>0</v>
      </c>
      <c r="J38" s="297"/>
      <c r="K38" s="191">
        <f t="shared" si="29"/>
        <v>0</v>
      </c>
      <c r="L38" s="624">
        <f>SUMIFS(BV_Data_An_Cour!$O:$O,BV_Data_An_Cour!$U:$U,$B38,BV_Data_An_Cour!$V:$V,$C38,BV_Data_An_Cour!$W:$W,L$2)</f>
        <v>0</v>
      </c>
      <c r="M38" s="172"/>
      <c r="N38" s="298">
        <f t="shared" si="30"/>
        <v>0</v>
      </c>
      <c r="O38" s="297"/>
      <c r="P38" s="191">
        <f t="shared" si="31"/>
        <v>0</v>
      </c>
      <c r="Q38" s="174">
        <f>SUMIFS(BV_Data_An_Prec!$O:$O,BV_Data_An_Prec!$U:$U,$B38,BV_Data_An_Prec!$V:$V,$C38,BV_Data_An_Prec!$W:$W,Q$2)</f>
        <v>0</v>
      </c>
      <c r="R38" s="297"/>
      <c r="S38" s="193">
        <f t="shared" si="32"/>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s="564" customFormat="1" ht="15.75" hidden="1" customHeight="1">
      <c r="A39" s="564" t="s">
        <v>3012</v>
      </c>
      <c r="B39" s="24" t="s">
        <v>75</v>
      </c>
      <c r="C39" s="258" t="s">
        <v>42</v>
      </c>
      <c r="D39" s="295"/>
      <c r="E39" s="191">
        <f t="shared" si="23"/>
        <v>0</v>
      </c>
      <c r="F39" s="173">
        <f>+INDEX('Budget original'!$A$2:$AO$500,MATCH($A39,'Budget original'!$A$2:$A$500,0),MATCH(F$2,'Budget original'!$A$2:$AO$2,0))</f>
        <v>0</v>
      </c>
      <c r="G39" s="296"/>
      <c r="H39" s="191">
        <f t="shared" si="24"/>
        <v>0</v>
      </c>
      <c r="I39" s="173">
        <f>+INDEX('Budget révisé'!$A$2:$AO$500,MATCH($A39,'Budget révisé'!$A$2:$A$500,0),MATCH(I$2,'Budget révisé'!$A$2:$AO$2,0))</f>
        <v>0</v>
      </c>
      <c r="J39" s="297"/>
      <c r="K39" s="191">
        <f t="shared" si="29"/>
        <v>0</v>
      </c>
      <c r="L39" s="624">
        <f>SUMIFS(BV_Data_An_Cour!$O:$O,BV_Data_An_Cour!$U:$U,$B39,BV_Data_An_Cour!$V:$V,$C39,BV_Data_An_Cour!$W:$W,L$2)</f>
        <v>0</v>
      </c>
      <c r="M39" s="172"/>
      <c r="N39" s="298">
        <f t="shared" si="30"/>
        <v>0</v>
      </c>
      <c r="O39" s="297"/>
      <c r="P39" s="191">
        <f t="shared" si="31"/>
        <v>0</v>
      </c>
      <c r="Q39" s="174">
        <f>SUMIFS(BV_Data_An_Prec!$O:$O,BV_Data_An_Prec!$U:$U,$B39,BV_Data_An_Prec!$V:$V,$C39,BV_Data_An_Prec!$W:$W,Q$2)</f>
        <v>0</v>
      </c>
      <c r="R39" s="297"/>
      <c r="S39" s="193">
        <f t="shared" si="32"/>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
        <v>3012</v>
      </c>
      <c r="B40" s="24" t="s">
        <v>75</v>
      </c>
      <c r="C40" s="258" t="s">
        <v>42</v>
      </c>
      <c r="D40" s="295"/>
      <c r="E40" s="191">
        <f t="shared" si="23"/>
        <v>0</v>
      </c>
      <c r="F40" s="173">
        <f>+INDEX('Budget original'!$A$2:$AO$500,MATCH($A40,'Budget original'!$A$2:$A$500,0),MATCH(F$2,'Budget original'!$A$2:$AO$2,0))</f>
        <v>0</v>
      </c>
      <c r="G40" s="296"/>
      <c r="H40" s="191">
        <f t="shared" si="24"/>
        <v>0</v>
      </c>
      <c r="I40" s="173">
        <f>+INDEX('Budget révisé'!$A$2:$AO$500,MATCH($A40,'Budget révisé'!$A$2:$A$500,0),MATCH(I$2,'Budget révisé'!$A$2:$AO$2,0))</f>
        <v>0</v>
      </c>
      <c r="J40" s="297"/>
      <c r="K40" s="191">
        <f t="shared" si="29"/>
        <v>0</v>
      </c>
      <c r="L40" s="625">
        <f>SUMIFS(BV_Data_An_Cour!$O:$O,BV_Data_An_Cour!$U:$U,$B40,BV_Data_An_Cour!$V:$V,$C40,BV_Data_An_Cour!$W:$W,L$2)</f>
        <v>0</v>
      </c>
      <c r="M40" s="172"/>
      <c r="N40" s="298">
        <f t="shared" si="30"/>
        <v>0</v>
      </c>
      <c r="O40" s="297"/>
      <c r="P40" s="191">
        <f t="shared" si="31"/>
        <v>0</v>
      </c>
      <c r="Q40" s="174">
        <f>SUMIFS(BV_Data_An_Prec!$O:$O,BV_Data_An_Prec!$U:$U,$B40,BV_Data_An_Prec!$V:$V,$C40,BV_Data_An_Prec!$W:$W,Q$2)</f>
        <v>0</v>
      </c>
      <c r="R40" s="297"/>
      <c r="S40" s="193">
        <f t="shared" si="32"/>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
        <v>3030</v>
      </c>
      <c r="B41" s="24" t="s">
        <v>75</v>
      </c>
      <c r="C41" s="292" t="s">
        <v>110</v>
      </c>
      <c r="D41" s="39" t="s">
        <v>111</v>
      </c>
      <c r="E41" s="40">
        <f>F41/F$27</f>
        <v>0.46126200629004188</v>
      </c>
      <c r="F41" s="41">
        <f>SUM(F31:F40)</f>
        <v>124876.59597505863</v>
      </c>
      <c r="G41" s="42" t="s">
        <v>111</v>
      </c>
      <c r="H41" s="40">
        <f>I41/I$27</f>
        <v>0.46126200629004188</v>
      </c>
      <c r="I41" s="41">
        <f>SUM(I31:I40)</f>
        <v>124876.59597505863</v>
      </c>
      <c r="J41" s="42" t="s">
        <v>111</v>
      </c>
      <c r="K41" s="40">
        <f>L41/L$27</f>
        <v>0.40369870459403312</v>
      </c>
      <c r="L41" s="41">
        <f>SUM(L31:L40)</f>
        <v>98463.200000000012</v>
      </c>
      <c r="M41" s="577"/>
      <c r="N41" s="41">
        <f t="shared" si="26"/>
        <v>-26413.395975058622</v>
      </c>
      <c r="O41" s="42" t="s">
        <v>111</v>
      </c>
      <c r="P41" s="40">
        <f>Q41/Q$27</f>
        <v>0.43789113603059993</v>
      </c>
      <c r="Q41" s="576">
        <f>SUM(Q31:Q40)</f>
        <v>106852.08</v>
      </c>
      <c r="R41" s="44"/>
      <c r="S41" s="310">
        <f t="shared" si="28"/>
        <v>-8388.8799999999901</v>
      </c>
      <c r="T41" s="216"/>
      <c r="U41" s="216"/>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
        <v>3031</v>
      </c>
      <c r="B42" s="24" t="s">
        <v>75</v>
      </c>
      <c r="C42" s="299" t="s">
        <v>112</v>
      </c>
      <c r="D42" s="172"/>
      <c r="E42" s="172"/>
      <c r="F42" s="173">
        <f>+INDEX('Budget original'!$A$2:$AO$500,MATCH($A42,'Budget original'!$A$2:$A$500,0),MATCH(F$2,'Budget original'!$A$2:$AO$2,0))</f>
        <v>15886.260919540229</v>
      </c>
      <c r="G42" s="297"/>
      <c r="H42" s="172"/>
      <c r="I42" s="173">
        <f>+INDEX('Budget révisé'!$A$2:$AO$500,MATCH($A42,'Budget révisé'!$A$2:$A$500,0),MATCH(I$2,'Budget révisé'!$A$2:$AO$2,0))</f>
        <v>15886.260919540229</v>
      </c>
      <c r="J42" s="297"/>
      <c r="K42" s="172"/>
      <c r="L42" s="275">
        <f>SUMIFS(BV_Data_An_Cour!$O:$O,BV_Data_An_Cour!$U:$U,$B42,BV_Data_An_Cour!$V:$V,$C42,BV_Data_An_Cour!$W:$W,L$2)</f>
        <v>14110.59</v>
      </c>
      <c r="M42" s="297"/>
      <c r="N42" s="298">
        <f t="shared" si="26"/>
        <v>-1775.6709195402291</v>
      </c>
      <c r="O42" s="297"/>
      <c r="P42" s="172"/>
      <c r="Q42" s="174">
        <f>SUMIFS(BV_Data_An_Prec!$O:$O,BV_Data_An_Prec!$U:$U,$B42,BV_Data_An_Prec!$V:$V,$C42,BV_Data_An_Prec!$W:$W,Q$2)</f>
        <v>21334.91</v>
      </c>
      <c r="R42" s="297"/>
      <c r="S42" s="193">
        <f t="shared" ref="S42:S53" si="33">L42-Q42</f>
        <v>-7224.32</v>
      </c>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
        <v>3032</v>
      </c>
      <c r="B43" s="24" t="s">
        <v>75</v>
      </c>
      <c r="C43" s="300" t="s">
        <v>113</v>
      </c>
      <c r="D43" s="295"/>
      <c r="E43" s="172"/>
      <c r="F43" s="171">
        <f>+INDEX('Budget original'!$A$2:$AO$500,MATCH($A43,'Budget original'!$A$2:$A$500,0),MATCH(F$2,'Budget original'!$A$2:$AO$2,0))</f>
        <v>9822.0277770344837</v>
      </c>
      <c r="G43" s="296"/>
      <c r="H43" s="172"/>
      <c r="I43" s="171">
        <f>+INDEX('Budget révisé'!$A$2:$AO$500,MATCH($A43,'Budget révisé'!$A$2:$A$500,0),MATCH(I$2,'Budget révisé'!$A$2:$AO$2,0))</f>
        <v>9822.0277770344837</v>
      </c>
      <c r="J43" s="297"/>
      <c r="K43" s="172"/>
      <c r="L43" s="275">
        <f>SUMIFS(BV_Data_An_Cour!$O:$O,BV_Data_An_Cour!$U:$U,$B43,BV_Data_An_Cour!$V:$V,$C43,BV_Data_An_Cour!$W:$W,L$2)</f>
        <v>7742.61</v>
      </c>
      <c r="M43" s="297"/>
      <c r="N43" s="298">
        <f t="shared" si="26"/>
        <v>-2079.4177770344841</v>
      </c>
      <c r="O43" s="297"/>
      <c r="P43" s="172"/>
      <c r="Q43" s="174">
        <f>SUMIFS(BV_Data_An_Prec!$O:$O,BV_Data_An_Prec!$U:$U,$B43,BV_Data_An_Prec!$V:$V,$C43,BV_Data_An_Prec!$W:$W,Q$2)</f>
        <v>9816.59</v>
      </c>
      <c r="R43" s="297"/>
      <c r="S43" s="193">
        <f t="shared" si="33"/>
        <v>-2073.9800000000005</v>
      </c>
      <c r="T43" s="216"/>
      <c r="U43" s="216"/>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
        <v>3033</v>
      </c>
      <c r="B44" s="24" t="s">
        <v>75</v>
      </c>
      <c r="C44" s="299" t="s">
        <v>114</v>
      </c>
      <c r="D44" s="386"/>
      <c r="E44" s="346"/>
      <c r="F44" s="173">
        <f>+INDEX('Budget original'!$A$2:$AO$500,MATCH($A44,'Budget original'!$A$2:$A$500,0),MATCH(F$2,'Budget original'!$A$2:$AO$2,0))</f>
        <v>8921.4021694406129</v>
      </c>
      <c r="G44" s="387"/>
      <c r="H44" s="346"/>
      <c r="I44" s="173">
        <f>+INDEX('Budget révisé'!$A$2:$AO$500,MATCH($A44,'Budget révisé'!$A$2:$A$500,0),MATCH(I$2,'Budget révisé'!$A$2:$AO$2,0))</f>
        <v>8921.4021694406129</v>
      </c>
      <c r="J44" s="362"/>
      <c r="K44" s="346"/>
      <c r="L44" s="239">
        <f>SUMIFS(BV_Data_An_Cour!$O:$O,BV_Data_An_Cour!$U:$U,$B44,BV_Data_An_Cour!$V:$V,$C44,BV_Data_An_Cour!$W:$W,L$2)</f>
        <v>4148.58</v>
      </c>
      <c r="M44" s="362"/>
      <c r="N44" s="350">
        <f t="shared" si="26"/>
        <v>-4772.8221694406129</v>
      </c>
      <c r="O44" s="362"/>
      <c r="P44" s="346"/>
      <c r="Q44" s="175">
        <f>SUMIFS(BV_Data_An_Prec!$O:$O,BV_Data_An_Prec!$U:$U,$B44,BV_Data_An_Prec!$V:$V,$C44,BV_Data_An_Prec!$W:$W,Q$2)</f>
        <v>8653.41</v>
      </c>
      <c r="R44" s="362"/>
      <c r="S44" s="195">
        <f t="shared" si="33"/>
        <v>-4504.83</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
        <v>3034</v>
      </c>
      <c r="B45" s="24" t="s">
        <v>75</v>
      </c>
      <c r="C45" s="299" t="s">
        <v>115</v>
      </c>
      <c r="D45" s="295"/>
      <c r="E45" s="172"/>
      <c r="F45" s="173">
        <f>+INDEX('Budget original'!$A$2:$AO$500,MATCH($A45,'Budget original'!$A$2:$A$500,0),MATCH(F$2,'Budget original'!$A$2:$AO$2,0))</f>
        <v>0</v>
      </c>
      <c r="G45" s="296"/>
      <c r="H45" s="172"/>
      <c r="I45" s="173">
        <f>+INDEX('Budget révisé'!$A$2:$AO$500,MATCH($A45,'Budget révisé'!$A$2:$A$500,0),MATCH(I$2,'Budget révisé'!$A$2:$AO$2,0))</f>
        <v>0</v>
      </c>
      <c r="J45" s="297"/>
      <c r="K45" s="172"/>
      <c r="L45" s="174">
        <f>SUMIFS(BV_Data_An_Cour!$O:$O,BV_Data_An_Cour!$U:$U,$B45,BV_Data_An_Cour!$V:$V,$C45,BV_Data_An_Cour!$W:$W,L$2)</f>
        <v>0</v>
      </c>
      <c r="M45" s="297"/>
      <c r="N45" s="298">
        <f t="shared" si="26"/>
        <v>0</v>
      </c>
      <c r="O45" s="297"/>
      <c r="P45" s="172"/>
      <c r="Q45" s="174">
        <f>SUMIFS(BV_Data_An_Prec!$O:$O,BV_Data_An_Prec!$U:$U,$B45,BV_Data_An_Prec!$V:$V,$C45,BV_Data_An_Prec!$W:$W,Q$2)</f>
        <v>0</v>
      </c>
      <c r="R45" s="297"/>
      <c r="S45" s="193">
        <f t="shared" si="33"/>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s="564" customFormat="1" ht="15.75" hidden="1" customHeight="1">
      <c r="A46" s="564" t="s">
        <v>3012</v>
      </c>
      <c r="B46" s="24" t="s">
        <v>75</v>
      </c>
      <c r="C46" s="299" t="s">
        <v>42</v>
      </c>
      <c r="D46" s="295"/>
      <c r="E46" s="172"/>
      <c r="F46" s="173">
        <f>+INDEX('Budget original'!$A$2:$AO$500,MATCH($A46,'Budget original'!$A$2:$A$500,0),MATCH(F$2,'Budget original'!$A$2:$AO$2,0))</f>
        <v>0</v>
      </c>
      <c r="G46" s="296"/>
      <c r="H46" s="172"/>
      <c r="I46" s="173">
        <f>+INDEX('Budget révisé'!$A$2:$AO$500,MATCH($A46,'Budget révisé'!$A$2:$A$500,0),MATCH(I$2,'Budget révisé'!$A$2:$AO$2,0))</f>
        <v>0</v>
      </c>
      <c r="J46" s="297"/>
      <c r="K46" s="172"/>
      <c r="L46" s="174">
        <f>SUMIFS(BV_Data_An_Cour!$O:$O,BV_Data_An_Cour!$U:$U,$B46,BV_Data_An_Cour!$V:$V,$C46,BV_Data_An_Cour!$W:$W,L$2)</f>
        <v>0</v>
      </c>
      <c r="M46" s="297"/>
      <c r="N46" s="298">
        <f t="shared" ref="N46:N48" si="34">L46-I46</f>
        <v>0</v>
      </c>
      <c r="O46" s="297"/>
      <c r="P46" s="172"/>
      <c r="Q46" s="174">
        <f>SUMIFS(BV_Data_An_Prec!$O:$O,BV_Data_An_Prec!$U:$U,$B46,BV_Data_An_Prec!$V:$V,$C46,BV_Data_An_Prec!$W:$W,Q$2)</f>
        <v>0</v>
      </c>
      <c r="R46" s="297"/>
      <c r="S46" s="193">
        <f t="shared" ref="S46:S48" si="35">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s="564" customFormat="1" ht="15.75" hidden="1" customHeight="1">
      <c r="A47" s="564" t="s">
        <v>3012</v>
      </c>
      <c r="B47" s="24" t="s">
        <v>75</v>
      </c>
      <c r="C47" s="299" t="s">
        <v>42</v>
      </c>
      <c r="D47" s="295"/>
      <c r="E47" s="172"/>
      <c r="F47" s="173">
        <f>+INDEX('Budget original'!$A$2:$AO$500,MATCH($A47,'Budget original'!$A$2:$A$500,0),MATCH(F$2,'Budget original'!$A$2:$AO$2,0))</f>
        <v>0</v>
      </c>
      <c r="G47" s="296"/>
      <c r="H47" s="172"/>
      <c r="I47" s="173">
        <f>+INDEX('Budget révisé'!$A$2:$AO$500,MATCH($A47,'Budget révisé'!$A$2:$A$500,0),MATCH(I$2,'Budget révisé'!$A$2:$AO$2,0))</f>
        <v>0</v>
      </c>
      <c r="J47" s="297"/>
      <c r="K47" s="172"/>
      <c r="L47" s="174">
        <f>SUMIFS(BV_Data_An_Cour!$O:$O,BV_Data_An_Cour!$U:$U,$B47,BV_Data_An_Cour!$V:$V,$C47,BV_Data_An_Cour!$W:$W,L$2)</f>
        <v>0</v>
      </c>
      <c r="M47" s="297"/>
      <c r="N47" s="298">
        <f t="shared" si="34"/>
        <v>0</v>
      </c>
      <c r="O47" s="297"/>
      <c r="P47" s="172"/>
      <c r="Q47" s="174">
        <f>SUMIFS(BV_Data_An_Prec!$O:$O,BV_Data_An_Prec!$U:$U,$B47,BV_Data_An_Prec!$V:$V,$C47,BV_Data_An_Prec!$W:$W,Q$2)</f>
        <v>0</v>
      </c>
      <c r="R47" s="297"/>
      <c r="S47" s="193">
        <f t="shared" si="35"/>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s="564" customFormat="1" ht="15.75" hidden="1" customHeight="1">
      <c r="A48" s="564" t="s">
        <v>3012</v>
      </c>
      <c r="B48" s="24" t="s">
        <v>75</v>
      </c>
      <c r="C48" s="299" t="s">
        <v>42</v>
      </c>
      <c r="D48" s="295"/>
      <c r="E48" s="172"/>
      <c r="F48" s="173">
        <f>+INDEX('Budget original'!$A$2:$AO$500,MATCH($A48,'Budget original'!$A$2:$A$500,0),MATCH(F$2,'Budget original'!$A$2:$AO$2,0))</f>
        <v>0</v>
      </c>
      <c r="G48" s="296"/>
      <c r="H48" s="172"/>
      <c r="I48" s="173">
        <f>+INDEX('Budget révisé'!$A$2:$AO$500,MATCH($A48,'Budget révisé'!$A$2:$A$500,0),MATCH(I$2,'Budget révisé'!$A$2:$AO$2,0))</f>
        <v>0</v>
      </c>
      <c r="J48" s="297"/>
      <c r="K48" s="172"/>
      <c r="L48" s="174">
        <f>SUMIFS(BV_Data_An_Cour!$O:$O,BV_Data_An_Cour!$U:$U,$B48,BV_Data_An_Cour!$V:$V,$C48,BV_Data_An_Cour!$W:$W,L$2)</f>
        <v>0</v>
      </c>
      <c r="M48" s="297"/>
      <c r="N48" s="298">
        <f t="shared" si="34"/>
        <v>0</v>
      </c>
      <c r="O48" s="297"/>
      <c r="P48" s="172"/>
      <c r="Q48" s="174">
        <f>SUMIFS(BV_Data_An_Prec!$O:$O,BV_Data_An_Prec!$U:$U,$B48,BV_Data_An_Prec!$V:$V,$C48,BV_Data_An_Prec!$W:$W,Q$2)</f>
        <v>0</v>
      </c>
      <c r="R48" s="297"/>
      <c r="S48" s="193">
        <f t="shared" si="35"/>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
        <v>3035</v>
      </c>
      <c r="B49" s="24" t="s">
        <v>75</v>
      </c>
      <c r="C49" s="300" t="s">
        <v>116</v>
      </c>
      <c r="D49" s="295"/>
      <c r="E49" s="172"/>
      <c r="F49" s="171">
        <f>+INDEX('Budget original'!$A$2:$AO$500,MATCH($A49,'Budget original'!$A$2:$A$500,0),MATCH(F$2,'Budget original'!$A$2:$AO$2,0))</f>
        <v>13866.553316713922</v>
      </c>
      <c r="G49" s="296"/>
      <c r="H49" s="172"/>
      <c r="I49" s="171">
        <f>+INDEX('Budget révisé'!$A$2:$AO$500,MATCH($A49,'Budget révisé'!$A$2:$A$500,0),MATCH(I$2,'Budget révisé'!$A$2:$AO$2,0))</f>
        <v>13866.553316713922</v>
      </c>
      <c r="J49" s="297"/>
      <c r="K49" s="172"/>
      <c r="L49" s="171">
        <f>SUMIFS(BV_Data_An_Cour!$O:$O,BV_Data_An_Cour!$U:$U,$B49,BV_Data_An_Cour!$V:$V,$C49,BV_Data_An_Cour!$W:$W,L$2)</f>
        <v>16348.41</v>
      </c>
      <c r="M49" s="297"/>
      <c r="N49" s="298">
        <f t="shared" si="26"/>
        <v>2481.8566832860779</v>
      </c>
      <c r="O49" s="297"/>
      <c r="P49" s="172"/>
      <c r="Q49" s="171">
        <f>SUMIFS(BV_Data_An_Prec!$O:$O,BV_Data_An_Prec!$U:$U,$B49,BV_Data_An_Prec!$V:$V,$C49,BV_Data_An_Prec!$W:$W,Q$2)</f>
        <v>15115.93</v>
      </c>
      <c r="R49" s="297"/>
      <c r="S49" s="193">
        <f t="shared" si="33"/>
        <v>1232.4799999999996</v>
      </c>
      <c r="T49" s="216"/>
      <c r="U49" s="216"/>
      <c r="V49" s="216"/>
      <c r="W49" s="216"/>
      <c r="X49" s="531"/>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
        <v>3036</v>
      </c>
      <c r="B50" s="24" t="s">
        <v>75</v>
      </c>
      <c r="C50" s="274" t="s">
        <v>117</v>
      </c>
      <c r="D50" s="386"/>
      <c r="E50" s="346"/>
      <c r="F50" s="173">
        <f>+INDEX('Budget original'!$A$2:$AO$500,MATCH($A50,'Budget original'!$A$2:$A$500,0),MATCH(F$2,'Budget original'!$A$2:$AO$2,0))</f>
        <v>12418.919896276426</v>
      </c>
      <c r="G50" s="387"/>
      <c r="H50" s="346"/>
      <c r="I50" s="173">
        <f>+INDEX('Budget révisé'!$A$2:$AO$500,MATCH($A50,'Budget révisé'!$A$2:$A$500,0),MATCH(I$2,'Budget révisé'!$A$2:$AO$2,0))</f>
        <v>12418.919896276426</v>
      </c>
      <c r="J50" s="362"/>
      <c r="K50" s="346"/>
      <c r="L50" s="275">
        <f>SUMIFS(BV_Data_An_Cour!$O:$O,BV_Data_An_Cour!$U:$U,$B50,BV_Data_An_Cour!$V:$V,$C50,BV_Data_An_Cour!$W:$W,L$2)</f>
        <v>18335.87</v>
      </c>
      <c r="M50" s="362"/>
      <c r="N50" s="350">
        <f t="shared" si="26"/>
        <v>5916.9501037235732</v>
      </c>
      <c r="O50" s="362"/>
      <c r="P50" s="346"/>
      <c r="Q50" s="174">
        <f>SUMIFS(BV_Data_An_Prec!$O:$O,BV_Data_An_Prec!$U:$U,$B50,BV_Data_An_Prec!$V:$V,$C50,BV_Data_An_Prec!$W:$W,Q$2)</f>
        <v>12289.25</v>
      </c>
      <c r="R50" s="362"/>
      <c r="S50" s="195">
        <f t="shared" si="33"/>
        <v>6046.619999999999</v>
      </c>
      <c r="T50" s="216"/>
      <c r="U50" s="216"/>
      <c r="V50" s="216"/>
      <c r="W50" s="216"/>
      <c r="X50" s="531"/>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
        <v>3037</v>
      </c>
      <c r="B51" s="24" t="s">
        <v>75</v>
      </c>
      <c r="C51" s="274" t="s">
        <v>118</v>
      </c>
      <c r="D51" s="295"/>
      <c r="E51" s="172"/>
      <c r="F51" s="173">
        <f>+INDEX('Budget original'!$A$2:$AO$500,MATCH($A51,'Budget original'!$A$2:$A$500,0),MATCH(F$2,'Budget original'!$A$2:$AO$2,0))</f>
        <v>9862.0834470430455</v>
      </c>
      <c r="G51" s="296"/>
      <c r="H51" s="172"/>
      <c r="I51" s="173">
        <f>+INDEX('Budget révisé'!$A$2:$AO$500,MATCH($A51,'Budget révisé'!$A$2:$A$500,0),MATCH(I$2,'Budget révisé'!$A$2:$AO$2,0))</f>
        <v>9862.0834470430455</v>
      </c>
      <c r="J51" s="297"/>
      <c r="K51" s="172"/>
      <c r="L51" s="174">
        <f>SUMIFS(BV_Data_An_Cour!$O:$O,BV_Data_An_Cour!$U:$U,$B51,BV_Data_An_Cour!$V:$V,$C51,BV_Data_An_Cour!$W:$W,L$2)</f>
        <v>6650.68</v>
      </c>
      <c r="M51" s="297"/>
      <c r="N51" s="298">
        <f t="shared" si="26"/>
        <v>-3211.4034470430452</v>
      </c>
      <c r="O51" s="297"/>
      <c r="P51" s="172"/>
      <c r="Q51" s="174">
        <f>SUMIFS(BV_Data_An_Prec!$O:$O,BV_Data_An_Prec!$U:$U,$B51,BV_Data_An_Prec!$V:$V,$C51,BV_Data_An_Prec!$W:$W,Q$2)</f>
        <v>8807.2900000000009</v>
      </c>
      <c r="R51" s="297"/>
      <c r="S51" s="193">
        <f t="shared" si="33"/>
        <v>-2156.6100000000006</v>
      </c>
      <c r="T51" s="216"/>
      <c r="U51" s="216"/>
      <c r="V51" s="216"/>
      <c r="W51" s="216"/>
      <c r="X51" s="531"/>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
        <v>3038</v>
      </c>
      <c r="B52" s="24" t="s">
        <v>75</v>
      </c>
      <c r="C52" s="274" t="s">
        <v>119</v>
      </c>
      <c r="D52" s="295"/>
      <c r="E52" s="172"/>
      <c r="F52" s="173">
        <f>+INDEX('Budget original'!$A$2:$AO$500,MATCH($A52,'Budget original'!$A$2:$A$500,0),MATCH(F$2,'Budget original'!$A$2:$AO$2,0))</f>
        <v>4017.8858487953148</v>
      </c>
      <c r="G52" s="296"/>
      <c r="H52" s="172"/>
      <c r="I52" s="173">
        <f>+INDEX('Budget révisé'!$A$2:$AO$500,MATCH($A52,'Budget révisé'!$A$2:$A$500,0),MATCH(I$2,'Budget révisé'!$A$2:$AO$2,0))</f>
        <v>4017.8858487953148</v>
      </c>
      <c r="J52" s="297"/>
      <c r="K52" s="172"/>
      <c r="L52" s="174">
        <f>SUMIFS(BV_Data_An_Cour!$O:$O,BV_Data_An_Cour!$U:$U,$B52,BV_Data_An_Cour!$V:$V,$C52,BV_Data_An_Cour!$W:$W,L$2)</f>
        <v>2116.52</v>
      </c>
      <c r="M52" s="297"/>
      <c r="N52" s="298">
        <f t="shared" si="26"/>
        <v>-1901.3658487953148</v>
      </c>
      <c r="O52" s="297"/>
      <c r="P52" s="172"/>
      <c r="Q52" s="174">
        <f>SUMIFS(BV_Data_An_Prec!$O:$O,BV_Data_An_Prec!$U:$U,$B52,BV_Data_An_Prec!$V:$V,$C52,BV_Data_An_Prec!$W:$W,Q$2)</f>
        <v>2048.21</v>
      </c>
      <c r="R52" s="297"/>
      <c r="S52" s="193">
        <f t="shared" si="33"/>
        <v>68.309999999999945</v>
      </c>
      <c r="T52" s="216"/>
      <c r="U52" s="216"/>
      <c r="V52" s="216"/>
      <c r="W52" s="216"/>
      <c r="X52" s="531"/>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
        <v>3012</v>
      </c>
      <c r="B53" s="24" t="s">
        <v>75</v>
      </c>
      <c r="C53" s="258" t="s">
        <v>42</v>
      </c>
      <c r="D53" s="301"/>
      <c r="E53" s="302"/>
      <c r="F53" s="173">
        <f>+INDEX('Budget original'!$A$2:$AO$500,MATCH($A53,'Budget original'!$A$2:$A$500,0),MATCH(F$2,'Budget original'!$A$2:$AO$2,0))</f>
        <v>0</v>
      </c>
      <c r="G53" s="303"/>
      <c r="H53" s="302"/>
      <c r="I53" s="173">
        <f>+INDEX('Budget révisé'!$A$2:$AO$500,MATCH($A53,'Budget révisé'!$A$2:$A$500,0),MATCH(I$2,'Budget révisé'!$A$2:$AO$2,0))</f>
        <v>0</v>
      </c>
      <c r="J53" s="304"/>
      <c r="K53" s="302"/>
      <c r="L53" s="174">
        <f>SUMIFS(BV_Data_An_Cour!$O:$O,BV_Data_An_Cour!$U:$U,$B53,BV_Data_An_Cour!$V:$V,$C53,BV_Data_An_Cour!$W:$W,L$2)</f>
        <v>0</v>
      </c>
      <c r="M53" s="304"/>
      <c r="N53" s="305">
        <f t="shared" si="26"/>
        <v>0</v>
      </c>
      <c r="O53" s="304"/>
      <c r="P53" s="302"/>
      <c r="Q53" s="174">
        <f>SUMIFS(BV_Data_An_Prec!$O:$O,BV_Data_An_Prec!$U:$U,$B53,BV_Data_An_Prec!$V:$V,$C53,BV_Data_An_Prec!$W:$W,Q$2)</f>
        <v>0</v>
      </c>
      <c r="R53" s="304"/>
      <c r="S53" s="196">
        <f t="shared" si="33"/>
        <v>0</v>
      </c>
      <c r="T53" s="216"/>
      <c r="U53" s="216"/>
      <c r="V53" s="216"/>
      <c r="W53" s="216"/>
      <c r="X53" s="531"/>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
        <v>3039</v>
      </c>
      <c r="B54" s="24" t="s">
        <v>75</v>
      </c>
      <c r="C54" s="292" t="s">
        <v>120</v>
      </c>
      <c r="D54" s="39" t="s">
        <v>111</v>
      </c>
      <c r="E54" s="40">
        <f>F54/F$27</f>
        <v>0.27627397281154659</v>
      </c>
      <c r="F54" s="41">
        <f>+SUM(F42:F53)</f>
        <v>74795.133374844037</v>
      </c>
      <c r="G54" s="42" t="s">
        <v>111</v>
      </c>
      <c r="H54" s="40">
        <f>I54/I$27</f>
        <v>0.27627397281154659</v>
      </c>
      <c r="I54" s="41">
        <f>+SUM(I42:I53)</f>
        <v>74795.133374844037</v>
      </c>
      <c r="J54" s="42" t="s">
        <v>111</v>
      </c>
      <c r="K54" s="40">
        <f>L54/L$27</f>
        <v>0.28475807298394296</v>
      </c>
      <c r="L54" s="41">
        <f>+SUM(L42:L53)</f>
        <v>69453.259999999995</v>
      </c>
      <c r="M54" s="44"/>
      <c r="N54" s="41">
        <f>+SUM(N42:N53)</f>
        <v>-5341.8733748440336</v>
      </c>
      <c r="O54" s="42" t="s">
        <v>111</v>
      </c>
      <c r="P54" s="40">
        <f>Q54/Q$27</f>
        <v>0.31992105244932101</v>
      </c>
      <c r="Q54" s="41">
        <f>+SUM(Q42:Q53)</f>
        <v>78065.590000000011</v>
      </c>
      <c r="R54" s="44"/>
      <c r="S54" s="310">
        <f>+SUM(S42:S53)</f>
        <v>-8612.3300000000017</v>
      </c>
      <c r="T54" s="223"/>
      <c r="U54" s="216"/>
      <c r="V54" s="508"/>
      <c r="W54" s="508"/>
      <c r="X54" s="531"/>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
        <v>3040</v>
      </c>
      <c r="B55" s="24" t="s">
        <v>75</v>
      </c>
      <c r="C55" s="258" t="s">
        <v>121</v>
      </c>
      <c r="D55" s="295"/>
      <c r="E55" s="172"/>
      <c r="F55" s="173">
        <f>+INDEX('Budget original'!$A$2:$AO$500,MATCH($A55,'Budget original'!$A$2:$A$500,0),MATCH(F$2,'Budget original'!$A$2:$AO$2,0))</f>
        <v>0</v>
      </c>
      <c r="G55" s="296"/>
      <c r="H55" s="172"/>
      <c r="I55" s="173">
        <f>+INDEX('Budget révisé'!$A$2:$AO$500,MATCH($A55,'Budget révisé'!$A$2:$A$500,0),MATCH(I$2,'Budget révisé'!$A$2:$AO$2,0))</f>
        <v>0</v>
      </c>
      <c r="J55" s="297"/>
      <c r="K55" s="172"/>
      <c r="L55" s="174">
        <f>SUMIFS(BV_Data_An_Cour!$O:$O,BV_Data_An_Cour!$U:$U,$B55,BV_Data_An_Cour!$V:$V,$C55,BV_Data_An_Cour!$W:$W,L$2)</f>
        <v>0</v>
      </c>
      <c r="M55" s="297"/>
      <c r="N55" s="427">
        <f t="shared" ref="N55:N71" si="36">L55-I55</f>
        <v>0</v>
      </c>
      <c r="O55" s="297"/>
      <c r="P55" s="172"/>
      <c r="Q55" s="174">
        <f>SUMIFS(BV_Data_An_Prec!$O:$O,BV_Data_An_Prec!$U:$U,$B55,BV_Data_An_Prec!$V:$V,$C55,BV_Data_An_Prec!$W:$W,Q$2)</f>
        <v>0</v>
      </c>
      <c r="R55" s="297"/>
      <c r="S55" s="193">
        <f t="shared" ref="S55:S71" si="37">L55-Q55</f>
        <v>0</v>
      </c>
      <c r="T55" s="223"/>
      <c r="U55" s="216"/>
      <c r="V55" s="508"/>
      <c r="W55" s="508"/>
      <c r="X55" s="531"/>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
        <v>3041</v>
      </c>
      <c r="B56" s="24" t="s">
        <v>75</v>
      </c>
      <c r="C56" s="258" t="s">
        <v>122</v>
      </c>
      <c r="D56" s="295"/>
      <c r="E56" s="172"/>
      <c r="F56" s="173">
        <f>+INDEX('Budget original'!$A$2:$AO$500,MATCH($A56,'Budget original'!$A$2:$A$500,0),MATCH(F$2,'Budget original'!$A$2:$AO$2,0))</f>
        <v>0</v>
      </c>
      <c r="G56" s="296"/>
      <c r="H56" s="172"/>
      <c r="I56" s="173">
        <f>+INDEX('Budget révisé'!$A$2:$AO$500,MATCH($A56,'Budget révisé'!$A$2:$A$500,0),MATCH(I$2,'Budget révisé'!$A$2:$AO$2,0))</f>
        <v>0</v>
      </c>
      <c r="J56" s="297"/>
      <c r="K56" s="172"/>
      <c r="L56" s="174">
        <f>SUMIFS(BV_Data_An_Cour!$O:$O,BV_Data_An_Cour!$U:$U,$B56,BV_Data_An_Cour!$V:$V,$C56,BV_Data_An_Cour!$W:$W,L$2)</f>
        <v>0</v>
      </c>
      <c r="M56" s="297"/>
      <c r="N56" s="427">
        <f t="shared" si="36"/>
        <v>0</v>
      </c>
      <c r="O56" s="297"/>
      <c r="P56" s="172"/>
      <c r="Q56" s="174">
        <f>SUMIFS(BV_Data_An_Prec!$O:$O,BV_Data_An_Prec!$U:$U,$B56,BV_Data_An_Prec!$V:$V,$C56,BV_Data_An_Prec!$W:$W,Q$2)</f>
        <v>0</v>
      </c>
      <c r="R56" s="297"/>
      <c r="S56" s="193">
        <f t="shared" si="37"/>
        <v>0</v>
      </c>
      <c r="T56" s="223"/>
      <c r="U56" s="216"/>
      <c r="V56" s="508"/>
      <c r="W56" s="508"/>
      <c r="X56" s="79"/>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
        <v>3042</v>
      </c>
      <c r="B57" s="24" t="s">
        <v>75</v>
      </c>
      <c r="C57" s="320" t="s">
        <v>123</v>
      </c>
      <c r="D57" s="301"/>
      <c r="E57" s="302"/>
      <c r="F57" s="171">
        <f>+INDEX('Budget original'!$A$2:$AO$500,MATCH($A57,'Budget original'!$A$2:$A$500,0),MATCH(F$2,'Budget original'!$A$2:$AO$2,0))</f>
        <v>7322.9400000000005</v>
      </c>
      <c r="G57" s="303"/>
      <c r="H57" s="302"/>
      <c r="I57" s="171">
        <f>+INDEX('Budget révisé'!$A$2:$AO$500,MATCH($A57,'Budget révisé'!$A$2:$A$500,0),MATCH(I$2,'Budget révisé'!$A$2:$AO$2,0))</f>
        <v>7322.9400000000005</v>
      </c>
      <c r="J57" s="304"/>
      <c r="K57" s="302"/>
      <c r="L57" s="171">
        <f>SUMIFS(BV_Data_An_Cour!$O:$O,BV_Data_An_Cour!$U:$U,$B57,BV_Data_An_Cour!$V:$V,$C57,BV_Data_An_Cour!$W:$W,L$2)</f>
        <v>7787.55</v>
      </c>
      <c r="M57" s="304"/>
      <c r="N57" s="428">
        <f t="shared" si="36"/>
        <v>464.60999999999967</v>
      </c>
      <c r="O57" s="304"/>
      <c r="P57" s="302"/>
      <c r="Q57" s="171">
        <f>SUMIFS(BV_Data_An_Prec!$O:$O,BV_Data_An_Prec!$U:$U,$B57,BV_Data_An_Prec!$V:$V,$C57,BV_Data_An_Prec!$W:$W,Q$2)</f>
        <v>6376</v>
      </c>
      <c r="R57" s="304"/>
      <c r="S57" s="196">
        <f t="shared" si="37"/>
        <v>1411.5500000000002</v>
      </c>
      <c r="T57" s="519"/>
      <c r="U57" s="216"/>
      <c r="V57" s="508"/>
      <c r="W57" s="508"/>
      <c r="X57" s="531"/>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
        <v>3043</v>
      </c>
      <c r="B58" s="24" t="s">
        <v>75</v>
      </c>
      <c r="C58" s="258" t="s">
        <v>124</v>
      </c>
      <c r="D58" s="295"/>
      <c r="E58" s="172"/>
      <c r="F58" s="173">
        <f>+INDEX('Budget original'!$A$2:$AO$500,MATCH($A58,'Budget original'!$A$2:$A$500,0),MATCH(F$2,'Budget original'!$A$2:$AO$2,0))</f>
        <v>6834.1988433333336</v>
      </c>
      <c r="G58" s="296"/>
      <c r="H58" s="172"/>
      <c r="I58" s="173">
        <f>+INDEX('Budget révisé'!$A$2:$AO$500,MATCH($A58,'Budget révisé'!$A$2:$A$500,0),MATCH(I$2,'Budget révisé'!$A$2:$AO$2,0))</f>
        <v>6834.1988433333336</v>
      </c>
      <c r="J58" s="297"/>
      <c r="K58" s="172"/>
      <c r="L58" s="174">
        <f>SUMIFS(BV_Data_An_Cour!$O:$O,BV_Data_An_Cour!$U:$U,$B58,BV_Data_An_Cour!$V:$V,$C58,BV_Data_An_Cour!$W:$W,L$2)</f>
        <v>7155.57</v>
      </c>
      <c r="M58" s="297"/>
      <c r="N58" s="298">
        <f t="shared" si="36"/>
        <v>321.37115666666614</v>
      </c>
      <c r="O58" s="297"/>
      <c r="P58" s="172"/>
      <c r="Q58" s="174">
        <f>SUMIFS(BV_Data_An_Prec!$O:$O,BV_Data_An_Prec!$U:$U,$B58,BV_Data_An_Prec!$V:$V,$C58,BV_Data_An_Prec!$W:$W,Q$2)</f>
        <v>6391.27</v>
      </c>
      <c r="R58" s="297"/>
      <c r="S58" s="193">
        <f t="shared" si="37"/>
        <v>764.29999999999927</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
        <v>3044</v>
      </c>
      <c r="B59" s="24" t="s">
        <v>75</v>
      </c>
      <c r="C59" s="258" t="s">
        <v>125</v>
      </c>
      <c r="D59" s="295"/>
      <c r="E59" s="172"/>
      <c r="F59" s="173">
        <f>+INDEX('Budget original'!$A$2:$AO$500,MATCH($A59,'Budget original'!$A$2:$A$500,0),MATCH(F$2,'Budget original'!$A$2:$AO$2,0))</f>
        <v>792.1418000000001</v>
      </c>
      <c r="G59" s="296"/>
      <c r="H59" s="172"/>
      <c r="I59" s="173">
        <f>+INDEX('Budget révisé'!$A$2:$AO$500,MATCH($A59,'Budget révisé'!$A$2:$A$500,0),MATCH(I$2,'Budget révisé'!$A$2:$AO$2,0))</f>
        <v>792.1418000000001</v>
      </c>
      <c r="J59" s="297"/>
      <c r="K59" s="172"/>
      <c r="L59" s="174">
        <f>SUMIFS(BV_Data_An_Cour!$O:$O,BV_Data_An_Cour!$U:$U,$B59,BV_Data_An_Cour!$V:$V,$C59,BV_Data_An_Cour!$W:$W,L$2)</f>
        <v>1547.89</v>
      </c>
      <c r="M59" s="297"/>
      <c r="N59" s="298">
        <f t="shared" si="36"/>
        <v>755.7482</v>
      </c>
      <c r="O59" s="297"/>
      <c r="P59" s="172"/>
      <c r="Q59" s="174">
        <f>SUMIFS(BV_Data_An_Prec!$O:$O,BV_Data_An_Prec!$U:$U,$B59,BV_Data_An_Prec!$V:$V,$C59,BV_Data_An_Prec!$W:$W,Q$2)</f>
        <v>612.46</v>
      </c>
      <c r="R59" s="297"/>
      <c r="S59" s="193">
        <f t="shared" si="37"/>
        <v>935.43000000000006</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
        <v>3045</v>
      </c>
      <c r="B60" s="24" t="s">
        <v>75</v>
      </c>
      <c r="C60" s="320" t="s">
        <v>126</v>
      </c>
      <c r="D60" s="301"/>
      <c r="E60" s="302"/>
      <c r="F60" s="171">
        <f>+INDEX('Budget original'!$A$2:$AO$500,MATCH($A60,'Budget original'!$A$2:$A$500,0),MATCH(F$2,'Budget original'!$A$2:$AO$2,0))</f>
        <v>6518.7073777777778</v>
      </c>
      <c r="G60" s="303"/>
      <c r="H60" s="302"/>
      <c r="I60" s="171">
        <f>+INDEX('Budget révisé'!$A$2:$AO$500,MATCH($A60,'Budget révisé'!$A$2:$A$500,0),MATCH(I$2,'Budget révisé'!$A$2:$AO$2,0))</f>
        <v>6518.7073777777778</v>
      </c>
      <c r="J60" s="304"/>
      <c r="K60" s="302"/>
      <c r="L60" s="171">
        <f>SUMIFS(BV_Data_An_Cour!$O:$O,BV_Data_An_Cour!$U:$U,$B60,BV_Data_An_Cour!$V:$V,$C60,BV_Data_An_Cour!$W:$W,L$2)</f>
        <v>5848.73</v>
      </c>
      <c r="M60" s="304"/>
      <c r="N60" s="305">
        <f t="shared" si="36"/>
        <v>-669.9773777777782</v>
      </c>
      <c r="O60" s="304"/>
      <c r="P60" s="302"/>
      <c r="Q60" s="171">
        <f>SUMIFS(BV_Data_An_Prec!$O:$O,BV_Data_An_Prec!$U:$U,$B60,BV_Data_An_Prec!$V:$V,$C60,BV_Data_An_Prec!$W:$W,Q$2)</f>
        <v>7206.23</v>
      </c>
      <c r="R60" s="304"/>
      <c r="S60" s="196">
        <f t="shared" si="37"/>
        <v>-1357.5</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
        <v>3046</v>
      </c>
      <c r="B61" s="24" t="s">
        <v>75</v>
      </c>
      <c r="C61" s="258" t="s">
        <v>127</v>
      </c>
      <c r="D61" s="295"/>
      <c r="E61" s="172"/>
      <c r="F61" s="173">
        <f>+INDEX('Budget original'!$A$2:$AO$500,MATCH($A61,'Budget original'!$A$2:$A$500,0),MATCH(F$2,'Budget original'!$A$2:$AO$2,0))</f>
        <v>107.68716037339154</v>
      </c>
      <c r="G61" s="296"/>
      <c r="H61" s="172"/>
      <c r="I61" s="173">
        <f>+INDEX('Budget révisé'!$A$2:$AO$500,MATCH($A61,'Budget révisé'!$A$2:$A$500,0),MATCH(I$2,'Budget révisé'!$A$2:$AO$2,0))</f>
        <v>107.68716037339154</v>
      </c>
      <c r="J61" s="297"/>
      <c r="K61" s="172"/>
      <c r="L61" s="174">
        <f>SUMIFS(BV_Data_An_Cour!$O:$O,BV_Data_An_Cour!$U:$U,$B61,BV_Data_An_Cour!$V:$V,$C61,BV_Data_An_Cour!$W:$W,L$2)</f>
        <v>15.24</v>
      </c>
      <c r="M61" s="297"/>
      <c r="N61" s="298">
        <f t="shared" si="36"/>
        <v>-92.44716037339154</v>
      </c>
      <c r="O61" s="297"/>
      <c r="P61" s="172"/>
      <c r="Q61" s="174">
        <f>SUMIFS(BV_Data_An_Prec!$O:$O,BV_Data_An_Prec!$U:$U,$B61,BV_Data_An_Prec!$V:$V,$C61,BV_Data_An_Prec!$W:$W,Q$2)</f>
        <v>74.930000000000007</v>
      </c>
      <c r="R61" s="297"/>
      <c r="S61" s="193">
        <f t="shared" si="37"/>
        <v>-59.690000000000005</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
        <v>3047</v>
      </c>
      <c r="B62" s="24" t="s">
        <v>75</v>
      </c>
      <c r="C62" s="258" t="s">
        <v>128</v>
      </c>
      <c r="D62" s="295"/>
      <c r="E62" s="172"/>
      <c r="F62" s="173">
        <f>+INDEX('Budget original'!$A$2:$AO$500,MATCH($A62,'Budget original'!$A$2:$A$500,0),MATCH(F$2,'Budget original'!$A$2:$AO$2,0))</f>
        <v>57.222126165837054</v>
      </c>
      <c r="G62" s="296"/>
      <c r="H62" s="172"/>
      <c r="I62" s="173">
        <f>+INDEX('Budget révisé'!$A$2:$AO$500,MATCH($A62,'Budget révisé'!$A$2:$A$500,0),MATCH(I$2,'Budget révisé'!$A$2:$AO$2,0))</f>
        <v>57.222126165837054</v>
      </c>
      <c r="J62" s="297"/>
      <c r="K62" s="172"/>
      <c r="L62" s="174">
        <f>SUMIFS(BV_Data_An_Cour!$O:$O,BV_Data_An_Cour!$U:$U,$B62,BV_Data_An_Cour!$V:$V,$C62,BV_Data_An_Cour!$W:$W,L$2)</f>
        <v>0</v>
      </c>
      <c r="M62" s="297"/>
      <c r="N62" s="298">
        <f t="shared" si="36"/>
        <v>-57.222126165837054</v>
      </c>
      <c r="O62" s="297"/>
      <c r="P62" s="172"/>
      <c r="Q62" s="174">
        <f>SUMIFS(BV_Data_An_Prec!$O:$O,BV_Data_An_Prec!$U:$U,$B62,BV_Data_An_Prec!$V:$V,$C62,BV_Data_An_Prec!$W:$W,Q$2)</f>
        <v>0</v>
      </c>
      <c r="R62" s="297"/>
      <c r="S62" s="193">
        <f t="shared" si="37"/>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
        <v>3048</v>
      </c>
      <c r="B63" s="24" t="s">
        <v>75</v>
      </c>
      <c r="C63" s="258" t="s">
        <v>129</v>
      </c>
      <c r="D63" s="295"/>
      <c r="E63" s="172"/>
      <c r="F63" s="173">
        <f>+INDEX('Budget original'!$A$2:$AO$500,MATCH($A63,'Budget original'!$A$2:$A$500,0),MATCH(F$2,'Budget original'!$A$2:$AO$2,0))</f>
        <v>652.86432000000002</v>
      </c>
      <c r="G63" s="296"/>
      <c r="H63" s="172"/>
      <c r="I63" s="173">
        <f>+INDEX('Budget révisé'!$A$2:$AO$500,MATCH($A63,'Budget révisé'!$A$2:$A$500,0),MATCH(I$2,'Budget révisé'!$A$2:$AO$2,0))</f>
        <v>652.86432000000002</v>
      </c>
      <c r="J63" s="297"/>
      <c r="K63" s="172"/>
      <c r="L63" s="548">
        <f>SUMIFS(BV_Data_An_Cour!$O:$O,BV_Data_An_Cour!$U:$U,$B63,BV_Data_An_Cour!$V:$V,$C63,BV_Data_An_Cour!$W:$W,L$2)</f>
        <v>677.38</v>
      </c>
      <c r="M63" s="297"/>
      <c r="N63" s="298">
        <f t="shared" si="36"/>
        <v>24.515679999999975</v>
      </c>
      <c r="O63" s="297"/>
      <c r="P63" s="172"/>
      <c r="Q63" s="548">
        <f>SUMIFS(BV_Data_An_Prec!$O:$O,BV_Data_An_Prec!$U:$U,$B63,BV_Data_An_Prec!$V:$V,$C63,BV_Data_An_Prec!$W:$W,Q$2)</f>
        <v>755.68</v>
      </c>
      <c r="R63" s="297"/>
      <c r="S63" s="193">
        <f t="shared" si="37"/>
        <v>-78.299999999999955</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
        <v>3049</v>
      </c>
      <c r="B64" s="24" t="s">
        <v>75</v>
      </c>
      <c r="C64" s="258" t="s">
        <v>130</v>
      </c>
      <c r="D64" s="295"/>
      <c r="E64" s="172"/>
      <c r="F64" s="173">
        <f>+INDEX('Budget original'!$A$2:$AO$500,MATCH($A64,'Budget original'!$A$2:$A$500,0),MATCH(F$2,'Budget original'!$A$2:$AO$2,0))</f>
        <v>301.4645266666667</v>
      </c>
      <c r="G64" s="296"/>
      <c r="H64" s="172"/>
      <c r="I64" s="173">
        <f>+INDEX('Budget révisé'!$A$2:$AO$500,MATCH($A64,'Budget révisé'!$A$2:$A$500,0),MATCH(I$2,'Budget révisé'!$A$2:$AO$2,0))</f>
        <v>301.4645266666667</v>
      </c>
      <c r="J64" s="297"/>
      <c r="K64" s="172"/>
      <c r="L64" s="174">
        <f>SUMIFS(BV_Data_An_Cour!$O:$O,BV_Data_An_Cour!$U:$U,$B64,BV_Data_An_Cour!$V:$V,$C64,BV_Data_An_Cour!$W:$W,L$2)</f>
        <v>298.89999999999998</v>
      </c>
      <c r="M64" s="297"/>
      <c r="N64" s="298">
        <f t="shared" si="36"/>
        <v>-2.5645266666667226</v>
      </c>
      <c r="O64" s="297"/>
      <c r="P64" s="172"/>
      <c r="Q64" s="174">
        <f>SUMIFS(BV_Data_An_Prec!$O:$O,BV_Data_An_Prec!$U:$U,$B64,BV_Data_An_Prec!$V:$V,$C64,BV_Data_An_Prec!$W:$W,Q$2)</f>
        <v>257.26</v>
      </c>
      <c r="R64" s="297"/>
      <c r="S64" s="193">
        <f t="shared" si="37"/>
        <v>41.639999999999986</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
        <v>3050</v>
      </c>
      <c r="B65" s="24" t="s">
        <v>75</v>
      </c>
      <c r="C65" s="258" t="s">
        <v>131</v>
      </c>
      <c r="D65" s="295"/>
      <c r="E65" s="172"/>
      <c r="F65" s="173">
        <f>+INDEX('Budget original'!$A$2:$AO$500,MATCH($A65,'Budget original'!$A$2:$A$500,0),MATCH(F$2,'Budget original'!$A$2:$AO$2,0))</f>
        <v>160.91707333333329</v>
      </c>
      <c r="G65" s="296"/>
      <c r="H65" s="172"/>
      <c r="I65" s="173">
        <f>+INDEX('Budget révisé'!$A$2:$AO$500,MATCH($A65,'Budget révisé'!$A$2:$A$500,0),MATCH(I$2,'Budget révisé'!$A$2:$AO$2,0))</f>
        <v>160.91707333333329</v>
      </c>
      <c r="J65" s="297"/>
      <c r="K65" s="172"/>
      <c r="L65" s="275">
        <f>SUMIFS(BV_Data_An_Cour!$O:$O,BV_Data_An_Cour!$U:$U,$B65,BV_Data_An_Cour!$V:$V,$C65,BV_Data_An_Cour!$W:$W,L$2)</f>
        <v>101.47</v>
      </c>
      <c r="M65" s="297"/>
      <c r="N65" s="298">
        <f t="shared" si="36"/>
        <v>-59.447073333333293</v>
      </c>
      <c r="O65" s="297"/>
      <c r="P65" s="172"/>
      <c r="Q65" s="174">
        <f>SUMIFS(BV_Data_An_Prec!$O:$O,BV_Data_An_Prec!$U:$U,$B65,BV_Data_An_Prec!$V:$V,$C65,BV_Data_An_Prec!$W:$W,Q$2)</f>
        <v>162.85</v>
      </c>
      <c r="R65" s="297"/>
      <c r="S65" s="193">
        <f t="shared" si="37"/>
        <v>-61.379999999999995</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
        <v>3051</v>
      </c>
      <c r="B66" s="24" t="s">
        <v>75</v>
      </c>
      <c r="C66" s="258" t="s">
        <v>132</v>
      </c>
      <c r="D66" s="295"/>
      <c r="E66" s="172"/>
      <c r="F66" s="173">
        <f>+INDEX('Budget original'!$A$2:$AO$500,MATCH($A66,'Budget original'!$A$2:$A$500,0),MATCH(F$2,'Budget original'!$A$2:$AO$2,0))</f>
        <v>776.23359333333315</v>
      </c>
      <c r="G66" s="296"/>
      <c r="H66" s="172"/>
      <c r="I66" s="173">
        <f>+INDEX('Budget révisé'!$A$2:$AO$500,MATCH($A66,'Budget révisé'!$A$2:$A$500,0),MATCH(I$2,'Budget révisé'!$A$2:$AO$2,0))</f>
        <v>776.23359333333315</v>
      </c>
      <c r="J66" s="297"/>
      <c r="K66" s="172"/>
      <c r="L66" s="275">
        <f>SUMIFS(BV_Data_An_Cour!$O:$O,BV_Data_An_Cour!$U:$U,$B66,BV_Data_An_Cour!$V:$V,$C66,BV_Data_An_Cour!$W:$W,L$2)</f>
        <v>267.61</v>
      </c>
      <c r="M66" s="297"/>
      <c r="N66" s="298">
        <f t="shared" si="36"/>
        <v>-508.62359333333313</v>
      </c>
      <c r="O66" s="297"/>
      <c r="P66" s="172"/>
      <c r="Q66" s="174">
        <f>SUMIFS(BV_Data_An_Prec!$O:$O,BV_Data_An_Prec!$U:$U,$B66,BV_Data_An_Prec!$V:$V,$C66,BV_Data_An_Prec!$W:$W,Q$2)</f>
        <v>1198.42</v>
      </c>
      <c r="R66" s="297"/>
      <c r="S66" s="193">
        <f t="shared" si="37"/>
        <v>-930.81000000000006</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s="564" customFormat="1" ht="15.75" customHeight="1">
      <c r="A67" s="564" t="s">
        <v>3052</v>
      </c>
      <c r="B67" s="24" t="s">
        <v>75</v>
      </c>
      <c r="C67" s="258" t="s">
        <v>133</v>
      </c>
      <c r="D67" s="295"/>
      <c r="E67" s="172"/>
      <c r="F67" s="173">
        <f>+INDEX('Budget original'!$A$2:$AO$500,MATCH($A67,'Budget original'!$A$2:$A$500,0),MATCH(F$2,'Budget original'!$A$2:$AO$2,0))</f>
        <v>1153.2562666666668</v>
      </c>
      <c r="G67" s="296"/>
      <c r="H67" s="172"/>
      <c r="I67" s="173">
        <f>+INDEX('Budget révisé'!$A$2:$AO$500,MATCH($A67,'Budget révisé'!$A$2:$A$500,0),MATCH(I$2,'Budget révisé'!$A$2:$AO$2,0))</f>
        <v>1153.2562666666668</v>
      </c>
      <c r="J67" s="297"/>
      <c r="K67" s="172"/>
      <c r="L67" s="275">
        <f>SUMIFS(BV_Data_An_Cour!$O:$O,BV_Data_An_Cour!$U:$U,$B67,BV_Data_An_Cour!$V:$V,$C67,BV_Data_An_Cour!$W:$W,L$2)</f>
        <v>933.1</v>
      </c>
      <c r="M67" s="297"/>
      <c r="N67" s="298">
        <f t="shared" ref="N67" si="38">L67-I67</f>
        <v>-220.15626666666674</v>
      </c>
      <c r="O67" s="297"/>
      <c r="P67" s="172"/>
      <c r="Q67" s="174">
        <f>SUMIFS(BV_Data_An_Prec!$O:$O,BV_Data_An_Prec!$U:$U,$B67,BV_Data_An_Prec!$V:$V,$C67,BV_Data_An_Prec!$W:$W,Q$2)</f>
        <v>843.33</v>
      </c>
      <c r="R67" s="297"/>
      <c r="S67" s="193">
        <f t="shared" ref="S67" si="39">L67-Q67</f>
        <v>89.769999999999982</v>
      </c>
      <c r="T67" s="216"/>
      <c r="U67" s="216"/>
      <c r="V67" s="216"/>
      <c r="W67" s="216"/>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s="564" customFormat="1" ht="15.75" customHeight="1">
      <c r="A68" s="564" t="s">
        <v>3053</v>
      </c>
      <c r="B68" s="24" t="s">
        <v>75</v>
      </c>
      <c r="C68" s="258" t="s">
        <v>134</v>
      </c>
      <c r="D68" s="295"/>
      <c r="E68" s="172"/>
      <c r="F68" s="173">
        <f>+INDEX('Budget original'!$A$2:$AO$500,MATCH($A68,'Budget original'!$A$2:$A$500,0),MATCH(F$2,'Budget original'!$A$2:$AO$2,0))</f>
        <v>3066.8321500849493</v>
      </c>
      <c r="G68" s="296"/>
      <c r="H68" s="172"/>
      <c r="I68" s="173">
        <f>+INDEX('Budget révisé'!$A$2:$AO$500,MATCH($A68,'Budget révisé'!$A$2:$A$500,0),MATCH(I$2,'Budget révisé'!$A$2:$AO$2,0))</f>
        <v>3066.8321500849493</v>
      </c>
      <c r="J68" s="297"/>
      <c r="K68" s="172"/>
      <c r="L68" s="958">
        <f>AF447*W3</f>
        <v>4255.9650000000001</v>
      </c>
      <c r="M68" s="297"/>
      <c r="N68" s="298">
        <f t="shared" ref="N68:N69" si="40">L68-I68</f>
        <v>1189.1328499150509</v>
      </c>
      <c r="O68" s="297"/>
      <c r="P68" s="172"/>
      <c r="Q68" s="275">
        <f>AL447*W3</f>
        <v>3102.8445000000002</v>
      </c>
      <c r="R68" s="297"/>
      <c r="S68" s="193">
        <f t="shared" ref="S68:S69" si="41">L68-Q68</f>
        <v>1153.1205</v>
      </c>
      <c r="T68" s="216"/>
      <c r="U68" s="216"/>
      <c r="V68" s="216"/>
      <c r="W68" s="216"/>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s="564" customFormat="1" ht="15.75" hidden="1" customHeight="1">
      <c r="A69" s="564" t="s">
        <v>3012</v>
      </c>
      <c r="B69" s="24" t="s">
        <v>75</v>
      </c>
      <c r="C69" s="258" t="s">
        <v>42</v>
      </c>
      <c r="D69" s="295"/>
      <c r="E69" s="172"/>
      <c r="F69" s="173">
        <f>+INDEX('Budget original'!$A$2:$AO$500,MATCH($A69,'Budget original'!$A$2:$A$500,0),MATCH(F$2,'Budget original'!$A$2:$AO$2,0))</f>
        <v>0</v>
      </c>
      <c r="G69" s="296"/>
      <c r="H69" s="172"/>
      <c r="I69" s="173">
        <f>+INDEX('Budget révisé'!$A$2:$AO$500,MATCH($A69,'Budget révisé'!$A$2:$A$500,0),MATCH(I$2,'Budget révisé'!$A$2:$AO$2,0))</f>
        <v>0</v>
      </c>
      <c r="J69" s="297"/>
      <c r="K69" s="172"/>
      <c r="L69" s="275"/>
      <c r="M69" s="297"/>
      <c r="N69" s="298">
        <f t="shared" si="40"/>
        <v>0</v>
      </c>
      <c r="O69" s="297"/>
      <c r="P69" s="172"/>
      <c r="Q69" s="174">
        <f>SUMIFS(BV_Data_An_Prec!$O:$O,BV_Data_An_Prec!$U:$U,$B69,BV_Data_An_Prec!$V:$V,$C69,BV_Data_An_Prec!$W:$W,Q$2)</f>
        <v>0</v>
      </c>
      <c r="R69" s="297"/>
      <c r="S69" s="193">
        <f t="shared" si="41"/>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
        <v>3012</v>
      </c>
      <c r="B70" s="24" t="s">
        <v>75</v>
      </c>
      <c r="C70" s="258" t="s">
        <v>42</v>
      </c>
      <c r="D70" s="295"/>
      <c r="E70" s="172"/>
      <c r="F70" s="173">
        <f>+INDEX('Budget original'!$A$2:$AO$500,MATCH($A70,'Budget original'!$A$2:$A$500,0),MATCH(F$2,'Budget original'!$A$2:$AO$2,0))</f>
        <v>0</v>
      </c>
      <c r="G70" s="296"/>
      <c r="H70" s="172"/>
      <c r="I70" s="173">
        <f>+INDEX('Budget révisé'!$A$2:$AO$500,MATCH($A70,'Budget révisé'!$A$2:$A$500,0),MATCH(I$2,'Budget révisé'!$A$2:$AO$2,0))</f>
        <v>0</v>
      </c>
      <c r="J70" s="297"/>
      <c r="K70" s="172"/>
      <c r="L70" s="275">
        <f>SUMIFS(BV_Data_An_Cour!$O:$O,BV_Data_An_Cour!$U:$U,$B70,BV_Data_An_Cour!$V:$V,$C70,BV_Data_An_Cour!$W:$W,L$2)</f>
        <v>0</v>
      </c>
      <c r="M70" s="297"/>
      <c r="N70" s="298">
        <f t="shared" si="36"/>
        <v>0</v>
      </c>
      <c r="O70" s="297"/>
      <c r="P70" s="172"/>
      <c r="Q70" s="174">
        <f>SUMIFS(BV_Data_An_Prec!$O:$O,BV_Data_An_Prec!$U:$U,$B70,BV_Data_An_Prec!$V:$V,$C70,BV_Data_An_Prec!$W:$W,Q$2)</f>
        <v>0</v>
      </c>
      <c r="R70" s="297"/>
      <c r="S70" s="193">
        <f t="shared" si="37"/>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
        <v>3012</v>
      </c>
      <c r="B71" s="24" t="s">
        <v>75</v>
      </c>
      <c r="C71" s="258" t="s">
        <v>42</v>
      </c>
      <c r="D71" s="295"/>
      <c r="E71" s="172"/>
      <c r="F71" s="173">
        <f>+INDEX('Budget original'!$A$2:$AO$500,MATCH($A71,'Budget original'!$A$2:$A$500,0),MATCH(F$2,'Budget original'!$A$2:$AO$2,0))</f>
        <v>0</v>
      </c>
      <c r="G71" s="296"/>
      <c r="H71" s="172"/>
      <c r="I71" s="173">
        <f>+INDEX('Budget révisé'!$A$2:$AO$500,MATCH($A71,'Budget révisé'!$A$2:$A$500,0),MATCH(I$2,'Budget révisé'!$A$2:$AO$2,0))</f>
        <v>0</v>
      </c>
      <c r="J71" s="297"/>
      <c r="K71" s="172"/>
      <c r="L71" s="174">
        <f>SUMIFS(BV_Data_An_Cour!$O:$O,BV_Data_An_Cour!$U:$U,$B71,BV_Data_An_Cour!$V:$V,$C71,BV_Data_An_Cour!$W:$W,L$2)*0.32</f>
        <v>0</v>
      </c>
      <c r="M71" s="297"/>
      <c r="N71" s="298">
        <f t="shared" si="36"/>
        <v>0</v>
      </c>
      <c r="O71" s="297"/>
      <c r="P71" s="172"/>
      <c r="Q71" s="174">
        <f>SUMIFS(BV_Data_An_Prec!$O:$O,BV_Data_An_Prec!$U:$U,$B71,BV_Data_An_Prec!$V:$V,$C71,BV_Data_An_Prec!$W:$W,Q$2)*0.32</f>
        <v>0</v>
      </c>
      <c r="R71" s="297"/>
      <c r="S71" s="193">
        <f t="shared" si="37"/>
        <v>0</v>
      </c>
      <c r="T71" s="216"/>
      <c r="U71" s="216"/>
      <c r="V71" s="508"/>
      <c r="W71" s="508"/>
      <c r="X71" s="508"/>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
        <v>3054</v>
      </c>
      <c r="B72" s="24" t="s">
        <v>75</v>
      </c>
      <c r="C72" s="292" t="s">
        <v>135</v>
      </c>
      <c r="D72" s="39" t="s">
        <v>111</v>
      </c>
      <c r="E72" s="40">
        <f>F72/F$27</f>
        <v>0.10248091405020457</v>
      </c>
      <c r="F72" s="41">
        <f>+SUM(F55:F71)</f>
        <v>27744.465237735294</v>
      </c>
      <c r="G72" s="42" t="s">
        <v>111</v>
      </c>
      <c r="H72" s="40">
        <f>I72/I$27</f>
        <v>0.10248091405020457</v>
      </c>
      <c r="I72" s="41">
        <f>+SUM(I55:I71)</f>
        <v>27744.465237735294</v>
      </c>
      <c r="J72" s="42" t="s">
        <v>111</v>
      </c>
      <c r="K72" s="40">
        <f>L72/L$27</f>
        <v>0.1184464386186147</v>
      </c>
      <c r="L72" s="41">
        <f>+SUM(L55:L71)</f>
        <v>28889.405000000002</v>
      </c>
      <c r="M72" s="44"/>
      <c r="N72" s="41">
        <f>+SUM(N55:N71)</f>
        <v>1144.93976226471</v>
      </c>
      <c r="O72" s="42" t="s">
        <v>111</v>
      </c>
      <c r="P72" s="40">
        <f>Q72/Q$27</f>
        <v>0.11057211934815361</v>
      </c>
      <c r="Q72" s="41">
        <f>+SUM(Q55:Q71)</f>
        <v>26981.2745</v>
      </c>
      <c r="R72" s="44"/>
      <c r="S72" s="310">
        <f>+SUM(S55:S71)</f>
        <v>1908.1304999999998</v>
      </c>
      <c r="T72" s="216"/>
      <c r="U72" s="216"/>
      <c r="V72" s="508"/>
      <c r="W72" s="508"/>
      <c r="X72" s="508"/>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
        <v>75</v>
      </c>
      <c r="B73" s="24" t="s">
        <v>75</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
        <v>3055</v>
      </c>
      <c r="B74" s="24" t="s">
        <v>75</v>
      </c>
      <c r="C74" s="292" t="s">
        <v>136</v>
      </c>
      <c r="D74" s="39" t="s">
        <v>111</v>
      </c>
      <c r="E74" s="40">
        <f>F74/F$27</f>
        <v>0.84001689315179306</v>
      </c>
      <c r="F74" s="41">
        <f>F41+F54+F72</f>
        <v>227416.19458763796</v>
      </c>
      <c r="G74" s="42" t="s">
        <v>111</v>
      </c>
      <c r="H74" s="40">
        <f>I74/I$27</f>
        <v>0.84001689315179306</v>
      </c>
      <c r="I74" s="41">
        <f>I41+I54+I72</f>
        <v>227416.19458763796</v>
      </c>
      <c r="J74" s="42" t="s">
        <v>111</v>
      </c>
      <c r="K74" s="40">
        <f>L74/L$27</f>
        <v>0.80690321619659078</v>
      </c>
      <c r="L74" s="41">
        <f>L41+L54+L72</f>
        <v>196805.86500000002</v>
      </c>
      <c r="M74" s="44"/>
      <c r="N74" s="46">
        <f>L74-I74</f>
        <v>-30610.329587637942</v>
      </c>
      <c r="O74" s="42" t="s">
        <v>111</v>
      </c>
      <c r="P74" s="40">
        <f>Q74/Q$27</f>
        <v>0.86838430782807463</v>
      </c>
      <c r="Q74" s="41">
        <f>Q41+Q54+Q72</f>
        <v>211898.94450000001</v>
      </c>
      <c r="R74" s="44"/>
      <c r="S74" s="293">
        <f>L74-Q74</f>
        <v>-15093.079499999993</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
        <v>3056</v>
      </c>
      <c r="B75" s="24" t="s">
        <v>75</v>
      </c>
      <c r="C75" s="258" t="s">
        <v>137</v>
      </c>
      <c r="D75" s="295"/>
      <c r="E75" s="172"/>
      <c r="F75" s="173">
        <f>+INDEX('Budget original'!$A$2:$AO$500,MATCH($A75,'Budget original'!$A$2:$A$500,0),MATCH(F$2,'Budget original'!$A$2:$AO$2,0))</f>
        <v>0</v>
      </c>
      <c r="G75" s="296"/>
      <c r="H75" s="172"/>
      <c r="I75" s="173">
        <f>+INDEX('Budget révisé'!$A$2:$AO$500,MATCH($A75,'Budget révisé'!$A$2:$A$500,0),MATCH(I$2,'Budget révisé'!$A$2:$AO$2,0))</f>
        <v>0</v>
      </c>
      <c r="J75" s="297"/>
      <c r="K75" s="172"/>
      <c r="L75" s="958">
        <f>-SUMIFS(BV_Data_An_Cour!$O:$O,BV_Data_An_Cour!$U:$U,$B75,BV_Data_An_Cour!$V:$V,$C75,BV_Data_An_Cour!$W:$W,L$2)-L155</f>
        <v>0</v>
      </c>
      <c r="M75" s="297"/>
      <c r="N75" s="298">
        <f>L75-I75</f>
        <v>0</v>
      </c>
      <c r="O75" s="297"/>
      <c r="P75" s="172"/>
      <c r="Q75" s="548">
        <f>-SUMIFS(BV_Data_An_Prec!$O:$O,BV_Data_An_Prec!$U:$U,$B75,BV_Data_An_Prec!$V:$V,$C75,BV_Data_An_Prec!$W:$W,Q$2)-Q155</f>
        <v>0</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
        <v>3057</v>
      </c>
      <c r="B76" s="24" t="s">
        <v>75</v>
      </c>
      <c r="C76" s="258" t="s">
        <v>138</v>
      </c>
      <c r="D76" s="295"/>
      <c r="E76" s="172"/>
      <c r="F76" s="173">
        <f>+INDEX('Budget original'!$A$2:$AO$500,MATCH($A76,'Budget original'!$A$2:$A$500,0),MATCH(F$2,'Budget original'!$A$2:$AO$2,0))</f>
        <v>0</v>
      </c>
      <c r="G76" s="296"/>
      <c r="H76" s="172"/>
      <c r="I76" s="173">
        <f>+INDEX('Budget révisé'!$A$2:$AO$500,MATCH($A76,'Budget révisé'!$A$2:$A$500,0),MATCH(I$2,'Budget révisé'!$A$2:$AO$2,0))</f>
        <v>0</v>
      </c>
      <c r="J76" s="297"/>
      <c r="K76" s="172"/>
      <c r="L76" s="958">
        <f>-SUMIFS(BV_Data_An_Cour!$O:$O,BV_Data_An_Cour!$U:$U,$B76,BV_Data_An_Cour!$V:$V,$C76,BV_Data_An_Cour!$W:$W,L$2)</f>
        <v>0</v>
      </c>
      <c r="M76" s="297"/>
      <c r="N76" s="298">
        <f>L76-I76</f>
        <v>0</v>
      </c>
      <c r="O76" s="297"/>
      <c r="P76" s="172"/>
      <c r="Q76" s="548">
        <f>-SUMIFS(BV_Data_An_Prec!$O:$O,BV_Data_An_Prec!$U:$U,$B76,BV_Data_An_Prec!$V:$V,$C76,BV_Data_An_Prec!$W:$W,Q$2)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
        <v>3058</v>
      </c>
      <c r="B77" s="24" t="s">
        <v>75</v>
      </c>
      <c r="C77" s="258" t="s">
        <v>139</v>
      </c>
      <c r="D77" s="295"/>
      <c r="E77" s="172"/>
      <c r="F77" s="173">
        <f>+INDEX('Budget original'!$A$2:$AO$500,MATCH($A77,'Budget original'!$A$2:$A$500,0),MATCH(F$2,'Budget original'!$A$2:$AO$2,0))</f>
        <v>0</v>
      </c>
      <c r="G77" s="296"/>
      <c r="H77" s="172"/>
      <c r="I77" s="173">
        <f>+INDEX('Budget révisé'!$A$2:$AO$500,MATCH($A77,'Budget révisé'!$A$2:$A$500,0),MATCH(I$2,'Budget révisé'!$A$2:$AO$2,0))</f>
        <v>0</v>
      </c>
      <c r="J77" s="297"/>
      <c r="K77" s="172"/>
      <c r="L77" s="958">
        <f>-SUMIFS(BV_Data_An_Cour!$O:$O,BV_Data_An_Cour!$U:$U,$B77,BV_Data_An_Cour!$V:$V,$C77,BV_Data_An_Cour!$W:$W,L$2)</f>
        <v>0</v>
      </c>
      <c r="M77" s="297"/>
      <c r="N77" s="298">
        <f t="shared" ref="N77:N82" si="42">L77-I77</f>
        <v>0</v>
      </c>
      <c r="O77" s="297"/>
      <c r="P77" s="172"/>
      <c r="Q77" s="548">
        <f>-SUMIFS(BV_Data_An_Prec!$O:$O,BV_Data_An_Prec!$U:$U,$B77,BV_Data_An_Prec!$V:$V,$C77,BV_Data_An_Prec!$W:$W,Q$2)</f>
        <v>0</v>
      </c>
      <c r="R77" s="297"/>
      <c r="S77" s="193">
        <f t="shared" ref="S77:S82" si="43">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
        <v>3059</v>
      </c>
      <c r="B78" s="24" t="s">
        <v>75</v>
      </c>
      <c r="C78" s="258" t="s">
        <v>140</v>
      </c>
      <c r="D78" s="295"/>
      <c r="E78" s="172"/>
      <c r="F78" s="173">
        <f>+INDEX('Budget original'!$A$2:$AO$500,MATCH($A78,'Budget original'!$A$2:$A$500,0),MATCH(F$2,'Budget original'!$A$2:$AO$2,0))</f>
        <v>100420.52877108431</v>
      </c>
      <c r="G78" s="296"/>
      <c r="H78" s="172"/>
      <c r="I78" s="173">
        <f>+INDEX('Budget révisé'!$A$2:$AO$500,MATCH($A78,'Budget révisé'!$A$2:$A$500,0),MATCH(I$2,'Budget révisé'!$A$2:$AO$2,0))</f>
        <v>100420.52877108431</v>
      </c>
      <c r="J78" s="297"/>
      <c r="K78" s="172"/>
      <c r="L78" s="275">
        <f>-SUMIFS(BV_Data_An_Cour!$O:$O,BV_Data_An_Cour!$U:$U,$B78,BV_Data_An_Cour!$V:$V,$C78,BV_Data_An_Cour!$W:$W,L$2)</f>
        <v>53351</v>
      </c>
      <c r="M78" s="297"/>
      <c r="N78" s="298">
        <f t="shared" si="42"/>
        <v>-47069.528771084311</v>
      </c>
      <c r="O78" s="297"/>
      <c r="P78" s="172"/>
      <c r="Q78" s="548">
        <f>-SUMIFS(BV_Data_An_Prec!$O:$O,BV_Data_An_Prec!$U:$U,$B78,BV_Data_An_Prec!$V:$V,$C78,BV_Data_An_Prec!$W:$W,Q$2)</f>
        <v>102678</v>
      </c>
      <c r="R78" s="297"/>
      <c r="S78" s="193">
        <f t="shared" si="43"/>
        <v>-49327</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s="564" customFormat="1" ht="15.75" hidden="1" customHeight="1">
      <c r="A79" s="564" t="s">
        <v>3012</v>
      </c>
      <c r="B79" s="24" t="s">
        <v>75</v>
      </c>
      <c r="C79" s="258" t="s">
        <v>42</v>
      </c>
      <c r="D79" s="295"/>
      <c r="E79" s="172"/>
      <c r="F79" s="173">
        <f>+INDEX('Budget original'!$A$2:$AO$500,MATCH($A79,'Budget original'!$A$2:$A$500,0),MATCH(F$2,'Budget original'!$A$2:$AO$2,0))</f>
        <v>0</v>
      </c>
      <c r="G79" s="296"/>
      <c r="H79" s="172"/>
      <c r="I79" s="173">
        <f>+INDEX('Budget révisé'!$A$2:$AO$500,MATCH($A79,'Budget révisé'!$A$2:$A$500,0),MATCH(I$2,'Budget révisé'!$A$2:$AO$2,0))</f>
        <v>0</v>
      </c>
      <c r="J79" s="297"/>
      <c r="K79" s="172"/>
      <c r="L79" s="275">
        <f>-SUMIFS(BV_Data_An_Cour!$O:$O,BV_Data_An_Cour!$U:$U,$B79,BV_Data_An_Cour!$V:$V,$C79,BV_Data_An_Cour!$W:$W,L$2)</f>
        <v>0</v>
      </c>
      <c r="M79" s="297"/>
      <c r="N79" s="298">
        <f t="shared" ref="N79:N81" si="44">L79-I79</f>
        <v>0</v>
      </c>
      <c r="O79" s="297"/>
      <c r="P79" s="172"/>
      <c r="Q79" s="548">
        <f>-SUMIFS(BV_Data_An_Prec!$O:$O,BV_Data_An_Prec!$U:$U,$B79,BV_Data_An_Prec!$V:$V,$C79,BV_Data_An_Prec!$W:$W,Q$2)</f>
        <v>0</v>
      </c>
      <c r="R79" s="297"/>
      <c r="S79" s="193">
        <f t="shared" ref="S79:S81" si="45">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s="564" customFormat="1" ht="15.75" hidden="1" customHeight="1">
      <c r="A80" s="564" t="s">
        <v>3012</v>
      </c>
      <c r="B80" s="24" t="s">
        <v>75</v>
      </c>
      <c r="C80" s="258" t="s">
        <v>42</v>
      </c>
      <c r="D80" s="295"/>
      <c r="E80" s="172"/>
      <c r="F80" s="173">
        <f>+INDEX('Budget original'!$A$2:$AO$500,MATCH($A80,'Budget original'!$A$2:$A$500,0),MATCH(F$2,'Budget original'!$A$2:$AO$2,0))</f>
        <v>0</v>
      </c>
      <c r="G80" s="296"/>
      <c r="H80" s="172"/>
      <c r="I80" s="173">
        <f>+INDEX('Budget révisé'!$A$2:$AO$500,MATCH($A80,'Budget révisé'!$A$2:$A$500,0),MATCH(I$2,'Budget révisé'!$A$2:$AO$2,0))</f>
        <v>0</v>
      </c>
      <c r="J80" s="297"/>
      <c r="K80" s="172"/>
      <c r="L80" s="275">
        <f>-SUMIFS(BV_Data_An_Cour!$O:$O,BV_Data_An_Cour!$U:$U,$B80,BV_Data_An_Cour!$V:$V,$C80,BV_Data_An_Cour!$W:$W,L$2)</f>
        <v>0</v>
      </c>
      <c r="M80" s="297"/>
      <c r="N80" s="298">
        <f t="shared" si="44"/>
        <v>0</v>
      </c>
      <c r="O80" s="297"/>
      <c r="P80" s="172"/>
      <c r="Q80" s="548">
        <f>-SUMIFS(BV_Data_An_Prec!$O:$O,BV_Data_An_Prec!$U:$U,$B80,BV_Data_An_Prec!$V:$V,$C80,BV_Data_An_Prec!$W:$W,Q$2)</f>
        <v>0</v>
      </c>
      <c r="R80" s="297"/>
      <c r="S80" s="193">
        <f t="shared" si="45"/>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s="564" customFormat="1" ht="15.75" hidden="1" customHeight="1">
      <c r="A81" s="564" t="s">
        <v>3012</v>
      </c>
      <c r="B81" s="24" t="s">
        <v>75</v>
      </c>
      <c r="C81" s="258" t="s">
        <v>42</v>
      </c>
      <c r="D81" s="295"/>
      <c r="E81" s="172"/>
      <c r="F81" s="173">
        <f>+INDEX('Budget original'!$A$2:$AO$500,MATCH($A81,'Budget original'!$A$2:$A$500,0),MATCH(F$2,'Budget original'!$A$2:$AO$2,0))</f>
        <v>0</v>
      </c>
      <c r="G81" s="296"/>
      <c r="H81" s="172"/>
      <c r="I81" s="173">
        <f>+INDEX('Budget révisé'!$A$2:$AO$500,MATCH($A81,'Budget révisé'!$A$2:$A$500,0),MATCH(I$2,'Budget révisé'!$A$2:$AO$2,0))</f>
        <v>0</v>
      </c>
      <c r="J81" s="297"/>
      <c r="K81" s="172"/>
      <c r="L81" s="275">
        <f>-SUMIFS(BV_Data_An_Cour!$O:$O,BV_Data_An_Cour!$U:$U,$B81,BV_Data_An_Cour!$V:$V,$C81,BV_Data_An_Cour!$W:$W,L$2)</f>
        <v>0</v>
      </c>
      <c r="M81" s="297"/>
      <c r="N81" s="298">
        <f t="shared" si="44"/>
        <v>0</v>
      </c>
      <c r="O81" s="297"/>
      <c r="P81" s="172"/>
      <c r="Q81" s="548">
        <f>-SUMIFS(BV_Data_An_Prec!$O:$O,BV_Data_An_Prec!$U:$U,$B81,BV_Data_An_Prec!$V:$V,$C81,BV_Data_An_Prec!$W:$W,Q$2)</f>
        <v>0</v>
      </c>
      <c r="R81" s="297"/>
      <c r="S81" s="193">
        <f t="shared" si="45"/>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564" t="s">
        <v>3060</v>
      </c>
      <c r="B82" s="24" t="s">
        <v>75</v>
      </c>
      <c r="C82" s="258" t="s">
        <v>141</v>
      </c>
      <c r="D82" s="295"/>
      <c r="E82" s="172"/>
      <c r="F82" s="173">
        <f>+INDEX('Budget original'!$A$2:$AO$500,MATCH($A82,'Budget original'!$A$2:$A$500,0),MATCH(F$2,'Budget original'!$A$2:$AO$2,0))</f>
        <v>34498.174116643568</v>
      </c>
      <c r="G82" s="296"/>
      <c r="H82" s="172"/>
      <c r="I82" s="173">
        <f>+INDEX('Budget révisé'!$A$2:$AO$500,MATCH($A82,'Budget révisé'!$A$2:$A$500,0),MATCH(I$2,'Budget révisé'!$A$2:$AO$2,0))</f>
        <v>34498.174116643568</v>
      </c>
      <c r="J82" s="342">
        <f>L82/399</f>
        <v>43.48370927318296</v>
      </c>
      <c r="K82" s="1187">
        <f>J82/(J13+J15)</f>
        <v>0.9452980276778904</v>
      </c>
      <c r="L82" s="958">
        <f>-SUMIFS(BV_Data_An_Cour!$O:$O,BV_Data_An_Cour!$U:$U,$B82,BV_Data_An_Cour!$V:$V,$C82,BV_Data_An_Cour!$W:$W,L$2)-L158</f>
        <v>17350</v>
      </c>
      <c r="M82" s="297"/>
      <c r="N82" s="298">
        <f t="shared" si="42"/>
        <v>-17148.174116643568</v>
      </c>
      <c r="O82" s="297"/>
      <c r="P82" s="172"/>
      <c r="Q82" s="548">
        <f>-SUMIFS(BV_Data_An_Prec!$O:$O,BV_Data_An_Prec!$U:$U,$B82,BV_Data_An_Prec!$V:$V,$C82,BV_Data_An_Prec!$W:$W,Q$2)-Q158</f>
        <v>25377</v>
      </c>
      <c r="R82" s="297"/>
      <c r="S82" s="193">
        <f t="shared" si="43"/>
        <v>-8027</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
        <v>3061</v>
      </c>
      <c r="B83" s="24" t="s">
        <v>75</v>
      </c>
      <c r="C83" s="292" t="s">
        <v>142</v>
      </c>
      <c r="D83" s="39"/>
      <c r="E83" s="40"/>
      <c r="F83" s="41">
        <f>+SUM(F75:F82)</f>
        <v>134918.70288772788</v>
      </c>
      <c r="G83" s="42"/>
      <c r="H83" s="40"/>
      <c r="I83" s="41">
        <f>+SUM(I75:I82)</f>
        <v>134918.70288772788</v>
      </c>
      <c r="J83" s="42"/>
      <c r="K83" s="40"/>
      <c r="L83" s="41">
        <f>+SUM(L75:L82)</f>
        <v>70701</v>
      </c>
      <c r="M83" s="44"/>
      <c r="N83" s="41">
        <f>+SUM(N75:N82)</f>
        <v>-64217.702887727879</v>
      </c>
      <c r="O83" s="42"/>
      <c r="P83" s="40"/>
      <c r="Q83" s="41">
        <f>+SUM(Q75:Q82)</f>
        <v>128055</v>
      </c>
      <c r="R83" s="44"/>
      <c r="S83" s="310">
        <f>+SUM(S75:S82)</f>
        <v>-57354</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
        <v>75</v>
      </c>
      <c r="B84" s="24" t="s">
        <v>75</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
        <v>3062</v>
      </c>
      <c r="B85" s="24" t="s">
        <v>75</v>
      </c>
      <c r="C85" s="334" t="s">
        <v>143</v>
      </c>
      <c r="D85" s="336"/>
      <c r="E85" s="340"/>
      <c r="F85" s="337">
        <f>F27-F74+F83</f>
        <v>178230.62870057253</v>
      </c>
      <c r="G85" s="430"/>
      <c r="H85" s="340"/>
      <c r="I85" s="337">
        <f>I27-I74+I83</f>
        <v>178230.62870057253</v>
      </c>
      <c r="J85" s="430"/>
      <c r="K85" s="336"/>
      <c r="L85" s="337">
        <f>L27-L74+L83</f>
        <v>117797.82499999992</v>
      </c>
      <c r="M85" s="430"/>
      <c r="N85" s="337">
        <f>N27-N41-N54-N72+N83</f>
        <v>-60432.803700572607</v>
      </c>
      <c r="O85" s="430"/>
      <c r="P85" s="336"/>
      <c r="Q85" s="337">
        <f>Q27-Q74+Q83</f>
        <v>160171.22550000006</v>
      </c>
      <c r="R85" s="430"/>
      <c r="S85" s="341">
        <f>S27-S41-S54-S72+S83</f>
        <v>-42373.400500000134</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1188"/>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5"/>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2"/>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1192" t="str">
        <f>C1</f>
        <v>Volks</v>
      </c>
      <c r="D89" s="19"/>
      <c r="E89" s="19"/>
      <c r="F89" s="19"/>
      <c r="G89" s="19"/>
      <c r="H89" s="18"/>
      <c r="I89" s="18"/>
      <c r="J89" s="18"/>
      <c r="K89" s="5" t="s">
        <v>144</v>
      </c>
      <c r="L89" s="19"/>
      <c r="M89" s="19"/>
      <c r="N89" s="18"/>
      <c r="O89" s="18"/>
      <c r="P89" s="19"/>
      <c r="Q89" s="18"/>
      <c r="R89" s="19"/>
      <c r="S89" s="6" t="str">
        <f>$S$1</f>
        <v>Réalisé, Mai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2"/>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426" t="s">
        <v>77</v>
      </c>
      <c r="E91" s="1427"/>
      <c r="F91" s="1428"/>
      <c r="G91" s="1429" t="s">
        <v>145</v>
      </c>
      <c r="H91" s="1427"/>
      <c r="I91" s="1428"/>
      <c r="J91" s="1429" t="s">
        <v>79</v>
      </c>
      <c r="K91" s="1427"/>
      <c r="L91" s="1428"/>
      <c r="M91" s="1429" t="s">
        <v>80</v>
      </c>
      <c r="N91" s="1428"/>
      <c r="O91" s="1426" t="s">
        <v>81</v>
      </c>
      <c r="P91" s="1427"/>
      <c r="Q91" s="1428"/>
      <c r="R91" s="1429" t="s">
        <v>82</v>
      </c>
      <c r="S91" s="1430"/>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
        <v>3063</v>
      </c>
      <c r="B93" s="24" t="s">
        <v>144</v>
      </c>
      <c r="C93" s="320" t="s">
        <v>88</v>
      </c>
      <c r="D93" s="178"/>
      <c r="E93" s="178"/>
      <c r="F93" s="171">
        <f>+INDEX('Budget original'!$A$2:$AO$500,MATCH($A93,'Budget original'!$A$2:$A$500,0),MATCH(F$2,'Budget original'!$A$2:$AO$2,0))</f>
        <v>1415443.9638178302</v>
      </c>
      <c r="G93" s="177"/>
      <c r="H93" s="178"/>
      <c r="I93" s="171">
        <f>+INDEX('Budget révisé'!$A$2:$AO$500,MATCH($A93,'Budget révisé'!$A$2:$A$500,0),MATCH(I$2,'Budget révisé'!$A$2:$AO$2,0))</f>
        <v>1415443.9638178302</v>
      </c>
      <c r="J93" s="562"/>
      <c r="K93" s="178"/>
      <c r="L93" s="171">
        <f>-SUMIFS(BV_Data_An_Cour!$O:$O,BV_Data_An_Cour!$X:$X,"Oui",BV_Data_An_Cour!$U:$U,$B93)</f>
        <v>1527135.27</v>
      </c>
      <c r="M93" s="389"/>
      <c r="N93" s="390"/>
      <c r="O93" s="562"/>
      <c r="P93" s="178"/>
      <c r="Q93" s="171">
        <f>-SUMIFS(BV_Data_An_Prec!$O:$O,BV_Data_An_Prec!$X:$X,"Oui",BV_Data_An_Prec!$U:$U,$B93)</f>
        <v>1425396.5399999998</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
        <v>3064</v>
      </c>
      <c r="B94" s="24" t="s">
        <v>144</v>
      </c>
      <c r="C94" s="258" t="s">
        <v>146</v>
      </c>
      <c r="D94" s="173">
        <f>+INDEX('Budget original'!$A$2:$AO$500,MATCH($A94,'Budget original'!$A$2:$A$500,0),MATCH(D$2,'Budget original'!$A$2:$AO$2,0))</f>
        <v>43.203883495145632</v>
      </c>
      <c r="E94" s="173">
        <f>IF(D94=0,0,F94/D94)</f>
        <v>1300</v>
      </c>
      <c r="F94" s="173">
        <f>+INDEX('Budget original'!$A$2:$AO$500,MATCH($A94,'Budget original'!$A$2:$A$500,0),MATCH(F$2,'Budget original'!$A$2:$AO$2,0))</f>
        <v>56165.048543689321</v>
      </c>
      <c r="G94" s="176">
        <f>+INDEX('Budget révisé'!$A$2:$AO$500,MATCH($A94,'Budget révisé'!$A$2:$A$500,0),MATCH(G$2,'Budget révisé'!$A$2:$AO$2,0))</f>
        <v>43.203883495145632</v>
      </c>
      <c r="H94" s="173">
        <f>IF(G94=0,0,I94/G94)</f>
        <v>1300</v>
      </c>
      <c r="I94" s="173">
        <f>+INDEX('Budget révisé'!$A$2:$AO$500,MATCH($A94,'Budget révisé'!$A$2:$A$500,0),MATCH(I$2,'Budget révisé'!$A$2:$AO$2,0))</f>
        <v>56165.048543689321</v>
      </c>
      <c r="J94" s="563">
        <f>-SUMIFS(BV_Data_An_Cour!$O:$O,BV_Data_An_Cour!$U:$U,$B94,BV_Data_An_Cour!$V:$V,$C94,BV_Data_An_Cour!$W:$W,J$2)</f>
        <v>30</v>
      </c>
      <c r="K94" s="173">
        <f t="shared" ref="K94:K95" si="46">IF(J94=0,0,L94/J94)</f>
        <v>2126.6313333333323</v>
      </c>
      <c r="L94" s="275">
        <f>-SUMIFS(BV_Data_An_Cour!$O:$O,BV_Data_An_Cour!$U:$U,$B94,BV_Data_An_Cour!$V:$V,$C94,BV_Data_An_Cour!$W:$W,$L2)</f>
        <v>63798.939999999973</v>
      </c>
      <c r="M94" s="176">
        <f>J94-G94</f>
        <v>-13.203883495145632</v>
      </c>
      <c r="N94" s="174">
        <f>L94-I94</f>
        <v>7633.8914563106518</v>
      </c>
      <c r="O94" s="563">
        <f>-SUMIFS(BV_Data_An_Prec!$O:$O,BV_Data_An_Prec!$U:$U,$B94,BV_Data_An_Prec!$V:$V,$C94,BV_Data_An_Prec!$W:$W,O$2)</f>
        <v>38</v>
      </c>
      <c r="P94" s="173">
        <f t="shared" ref="P94:P95" si="47">IF(O94=0,0,Q94/O94)</f>
        <v>1319.4100000000019</v>
      </c>
      <c r="Q94" s="174">
        <f>-SUMIFS(BV_Data_An_Prec!$O:$O,BV_Data_An_Prec!$U:$U,$B94,BV_Data_An_Prec!$V:$V,$C94,BV_Data_An_Prec!$W:$W,$L2)</f>
        <v>50137.580000000075</v>
      </c>
      <c r="R94" s="176">
        <f t="shared" ref="R94:R95" si="48">J94-O94</f>
        <v>-8</v>
      </c>
      <c r="S94" s="393">
        <f t="shared" ref="S94:S95" si="49">L94-Q94</f>
        <v>13661.359999999899</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
        <v>3065</v>
      </c>
      <c r="B95" s="24" t="s">
        <v>144</v>
      </c>
      <c r="C95" s="258" t="s">
        <v>147</v>
      </c>
      <c r="D95" s="173">
        <f>+INDEX('Budget original'!$A$2:$AO$500,MATCH($A95,'Budget original'!$A$2:$A$500,0),MATCH(D$2,'Budget original'!$A$2:$AO$2,0))</f>
        <v>2.4271844660194173</v>
      </c>
      <c r="E95" s="178">
        <f t="shared" ref="E95:E104" si="50">IF(D95=0,0,F95/D95)</f>
        <v>900.00000000000011</v>
      </c>
      <c r="F95" s="173">
        <f>+INDEX('Budget original'!$A$2:$AO$500,MATCH($A95,'Budget original'!$A$2:$A$500,0),MATCH(F$2,'Budget original'!$A$2:$AO$2,0))</f>
        <v>2184.4660194174758</v>
      </c>
      <c r="G95" s="176">
        <f>+INDEX('Budget révisé'!$A$2:$AO$500,MATCH($A95,'Budget révisé'!$A$2:$A$500,0),MATCH(G$2,'Budget révisé'!$A$2:$AO$2,0))</f>
        <v>2.4271844660194173</v>
      </c>
      <c r="H95" s="173">
        <f t="shared" ref="H95:H97" si="51">IF(G95=0,0,I95/G95)</f>
        <v>900.00000000000011</v>
      </c>
      <c r="I95" s="173">
        <f>+INDEX('Budget révisé'!$A$2:$AO$500,MATCH($A95,'Budget révisé'!$A$2:$A$500,0),MATCH(I$2,'Budget révisé'!$A$2:$AO$2,0))</f>
        <v>2184.4660194174758</v>
      </c>
      <c r="J95" s="176">
        <f>-SUMIFS(BV_Data_An_Cour!$O:$O,BV_Data_An_Cour!$U:$U,$B95,BV_Data_An_Cour!$V:$V,$C95,BV_Data_An_Cour!$W:$W,J$2)</f>
        <v>2</v>
      </c>
      <c r="K95" s="173">
        <f t="shared" si="46"/>
        <v>959.56</v>
      </c>
      <c r="L95" s="548">
        <f>-SUMIFS(BV_Data_An_Cour!$O:$O,BV_Data_An_Cour!$U:$U,$B95,BV_Data_An_Cour!$V:$V,$C95,BV_Data_An_Cour!$W:$W,$L2)</f>
        <v>1919.12</v>
      </c>
      <c r="M95" s="176">
        <f>J95-G95</f>
        <v>-0.42718446601941729</v>
      </c>
      <c r="N95" s="174">
        <f>L95-I95</f>
        <v>-265.34601941747587</v>
      </c>
      <c r="O95" s="176">
        <f>-SUMIFS(BV_Data_An_Prec!$O:$O,BV_Data_An_Prec!$U:$U,$B95,BV_Data_An_Prec!$V:$V,$C95,BV_Data_An_Prec!$W:$W,O$2)</f>
        <v>1</v>
      </c>
      <c r="P95" s="173">
        <f t="shared" si="47"/>
        <v>-527.79999999999995</v>
      </c>
      <c r="Q95" s="548">
        <f>-SUMIFS(BV_Data_An_Prec!$O:$O,BV_Data_An_Prec!$U:$U,$B95,BV_Data_An_Prec!$V:$V,$C95,BV_Data_An_Prec!$W:$W,$L2)</f>
        <v>-527.79999999999995</v>
      </c>
      <c r="R95" s="176">
        <f t="shared" si="48"/>
        <v>1</v>
      </c>
      <c r="S95" s="393">
        <f t="shared" si="49"/>
        <v>2446.92</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
        <v>3066</v>
      </c>
      <c r="B96" s="24" t="s">
        <v>144</v>
      </c>
      <c r="C96" s="394" t="s">
        <v>148</v>
      </c>
      <c r="D96" s="395">
        <f>+D95+D94</f>
        <v>45.631067961165051</v>
      </c>
      <c r="E96" s="173">
        <f t="shared" si="50"/>
        <v>1278.7234042553191</v>
      </c>
      <c r="F96" s="396">
        <f t="shared" ref="F96" si="52">+F94+F95</f>
        <v>58349.514563106801</v>
      </c>
      <c r="G96" s="397">
        <f>+G95+G94</f>
        <v>45.631067961165051</v>
      </c>
      <c r="H96" s="395">
        <f t="shared" si="51"/>
        <v>1278.7234042553191</v>
      </c>
      <c r="I96" s="396">
        <f t="shared" ref="I96" si="53">+I94+I95</f>
        <v>58349.514563106801</v>
      </c>
      <c r="J96" s="1209">
        <f t="shared" ref="J96" si="54">+J94+J95</f>
        <v>32</v>
      </c>
      <c r="K96" s="395">
        <f>IF(J96&lt;=0,0,L96/J96)</f>
        <v>2053.689374999999</v>
      </c>
      <c r="L96" s="396">
        <f>+L94+L95</f>
        <v>65718.059999999969</v>
      </c>
      <c r="M96" s="397">
        <f>J96-G96</f>
        <v>-13.631067961165051</v>
      </c>
      <c r="N96" s="396">
        <f>L96-I96</f>
        <v>7368.5454368931678</v>
      </c>
      <c r="O96" s="397">
        <f t="shared" ref="O96" si="55">+O94+O95</f>
        <v>39</v>
      </c>
      <c r="P96" s="395">
        <f>IF(O96&lt;=0,0,Q96/O96)</f>
        <v>1272.0456410256429</v>
      </c>
      <c r="Q96" s="396">
        <f>+Q94+Q95</f>
        <v>49609.780000000072</v>
      </c>
      <c r="R96" s="397">
        <f t="shared" ref="R96:S96" si="56">R94+R95</f>
        <v>-7</v>
      </c>
      <c r="S96" s="398">
        <f t="shared" si="56"/>
        <v>16108.279999999899</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
        <v>144</v>
      </c>
      <c r="B97" s="24" t="s">
        <v>144</v>
      </c>
      <c r="C97" s="258"/>
      <c r="D97" s="172"/>
      <c r="E97" s="173">
        <f t="shared" si="50"/>
        <v>0</v>
      </c>
      <c r="F97" s="306"/>
      <c r="G97" s="297"/>
      <c r="H97" s="172">
        <f t="shared" si="51"/>
        <v>0</v>
      </c>
      <c r="I97" s="306"/>
      <c r="J97" s="297"/>
      <c r="K97" s="172"/>
      <c r="L97" s="306"/>
      <c r="M97" s="356">
        <f>M96/G96</f>
        <v>-0.29872340425531918</v>
      </c>
      <c r="N97" s="326">
        <f>N96/I96</f>
        <v>0.12628289184692118</v>
      </c>
      <c r="O97" s="297"/>
      <c r="P97" s="172"/>
      <c r="Q97" s="306"/>
      <c r="R97" s="356">
        <f>R96/O96</f>
        <v>-0.17948717948717949</v>
      </c>
      <c r="S97" s="327">
        <f>IF(Q96=0,0,(S96/Q96))</f>
        <v>0.32469968623122047</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
        <v>3067</v>
      </c>
      <c r="B98" s="24" t="s">
        <v>144</v>
      </c>
      <c r="C98" s="258" t="s">
        <v>149</v>
      </c>
      <c r="D98" s="173"/>
      <c r="E98" s="173"/>
      <c r="F98" s="173"/>
      <c r="G98" s="176"/>
      <c r="H98" s="173"/>
      <c r="I98" s="173"/>
      <c r="J98" s="176"/>
      <c r="K98" s="173"/>
      <c r="L98" s="174"/>
      <c r="M98" s="176"/>
      <c r="N98" s="174"/>
      <c r="O98" s="176"/>
      <c r="P98" s="173"/>
      <c r="Q98" s="174"/>
      <c r="R98" s="176"/>
      <c r="S98" s="393"/>
      <c r="T98" s="216"/>
      <c r="U98" s="216"/>
      <c r="V98" s="955"/>
      <c r="W98" s="955"/>
      <c r="X98" s="955"/>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
        <v>3068</v>
      </c>
      <c r="B99" s="24" t="s">
        <v>144</v>
      </c>
      <c r="C99" s="258" t="s">
        <v>150</v>
      </c>
      <c r="D99" s="173">
        <f>+INDEX('Budget original'!$A$2:$AO$500,MATCH($A99,'Budget original'!$A$2:$A$500,0),MATCH(D$2,'Budget original'!$A$2:$AO$2,0))</f>
        <v>39.707832043196618</v>
      </c>
      <c r="E99" s="173">
        <f t="shared" si="50"/>
        <v>212</v>
      </c>
      <c r="F99" s="173">
        <f>+INDEX('Budget original'!$A$2:$AO$500,MATCH($A99,'Budget original'!$A$2:$A$500,0),MATCH(F$2,'Budget original'!$A$2:$AO$2,0))</f>
        <v>8418.0603931576825</v>
      </c>
      <c r="G99" s="176">
        <f>+INDEX('Budget révisé'!$A$2:$AO$500,MATCH($A99,'Budget révisé'!$A$2:$A$500,0),MATCH(G$2,'Budget révisé'!$A$2:$AO$2,0))</f>
        <v>39.707832043196618</v>
      </c>
      <c r="H99" s="173">
        <f t="shared" ref="H99:H104" si="57">IF(G99=0,0,I99/G99)</f>
        <v>212</v>
      </c>
      <c r="I99" s="173">
        <f>+INDEX('Budget révisé'!$A$2:$AO$500,MATCH($A99,'Budget révisé'!$A$2:$A$500,0),MATCH(I$2,'Budget révisé'!$A$2:$AO$2,0))</f>
        <v>8418.0603931576825</v>
      </c>
      <c r="J99" s="176">
        <f>-SUMIFS(BV_Data_An_Cour!$O:$O,BV_Data_An_Cour!$U:$U,$B99,BV_Data_An_Cour!$V:$V,$C99,BV_Data_An_Cour!$W:$W,J$2)</f>
        <v>23</v>
      </c>
      <c r="K99" s="173">
        <f t="shared" ref="K99" si="58">IF(J99=0,0,L99/J99)</f>
        <v>369.51086956521738</v>
      </c>
      <c r="L99" s="174">
        <f>-SUMIFS(BV_Data_An_Cour!$O:$O,BV_Data_An_Cour!$U:$U,$B99,BV_Data_An_Cour!$V:$V,$C99,BV_Data_An_Cour!$W:$W,L$2)</f>
        <v>8498.75</v>
      </c>
      <c r="M99" s="176">
        <f t="shared" ref="M99" si="59">J99-G99</f>
        <v>-16.707832043196618</v>
      </c>
      <c r="N99" s="174">
        <f t="shared" ref="N99" si="60">L99-I99</f>
        <v>80.689606842317517</v>
      </c>
      <c r="O99" s="176">
        <f>-SUMIFS(BV_Data_An_Prec!$O:$O,BV_Data_An_Prec!$U:$U,$B99,BV_Data_An_Prec!$V:$V,$C99,BV_Data_An_Prec!$W:$W,O$2)</f>
        <v>41</v>
      </c>
      <c r="P99" s="173">
        <f t="shared" ref="P99" si="61">IF(O99=0,0,Q99/O99)</f>
        <v>611.62902439024344</v>
      </c>
      <c r="Q99" s="174">
        <f>-SUMIFS(BV_Data_An_Prec!$O:$O,BV_Data_An_Prec!$U:$U,$B99,BV_Data_An_Prec!$V:$V,$C99,BV_Data_An_Prec!$W:$W,Q$2)</f>
        <v>25076.789999999979</v>
      </c>
      <c r="R99" s="176">
        <f t="shared" ref="R99" si="62">J99-O99</f>
        <v>-18</v>
      </c>
      <c r="S99" s="393">
        <f t="shared" ref="S99" si="63">L99-Q99</f>
        <v>-16578.039999999979</v>
      </c>
      <c r="T99" s="216"/>
      <c r="U99" s="25" t="s">
        <v>3445</v>
      </c>
      <c r="V99" s="216"/>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
        <v>144</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
        <v>3069</v>
      </c>
      <c r="B101" s="24" t="s">
        <v>144</v>
      </c>
      <c r="C101" s="258" t="s">
        <v>97</v>
      </c>
      <c r="D101" s="173">
        <f>+INDEX('Budget original'!$A$2:$AO$500,MATCH($A101,'Budget original'!$A$2:$A$500,0),MATCH(D$2,'Budget original'!$A$2:$AO$2,0))</f>
        <v>0</v>
      </c>
      <c r="E101" s="173">
        <f t="shared" si="50"/>
        <v>0</v>
      </c>
      <c r="F101" s="174">
        <f>+INDEX('Budget original'!$A$2:$AO$500,MATCH($A101,'Budget original'!$A$2:$A$500,0),MATCH(F$2,'Budget original'!$A$2:$AO$2,0))</f>
        <v>30069.09016322099</v>
      </c>
      <c r="G101" s="176">
        <f>+INDEX('Budget révisé'!$A$2:$AO$500,MATCH($A101,'Budget révisé'!$A$2:$A$500,0),MATCH(G$2,'Budget révisé'!$A$2:$AO$2,0))</f>
        <v>0</v>
      </c>
      <c r="H101" s="173">
        <f t="shared" si="57"/>
        <v>0</v>
      </c>
      <c r="I101" s="173">
        <f>+INDEX('Budget révisé'!$A$2:$AO$500,MATCH($A101,'Budget révisé'!$A$2:$A$500,0),MATCH(I$2,'Budget révisé'!$A$2:$AO$2,0))</f>
        <v>30069.09016322099</v>
      </c>
      <c r="J101" s="176"/>
      <c r="K101" s="173">
        <f>IF(J96=0,0,L101/J96)</f>
        <v>1377.9081249999999</v>
      </c>
      <c r="L101" s="174">
        <f>-SUMIFS(BV_Data_An_Cour!$O:$O,BV_Data_An_Cour!$U:$U,$B101,BV_Data_An_Cour!$V:$V,$C101,BV_Data_An_Cour!$W:$W,$L2)</f>
        <v>44093.06</v>
      </c>
      <c r="M101" s="176"/>
      <c r="N101" s="174">
        <f t="shared" ref="N101:N104" si="64">L101-I101</f>
        <v>14023.969836779008</v>
      </c>
      <c r="O101" s="176"/>
      <c r="P101" s="173">
        <f>IF(O96=0,0,Q101/O96)</f>
        <v>799.67384615384617</v>
      </c>
      <c r="Q101" s="174">
        <f>-SUMIFS(BV_Data_An_Prec!$O:$O,BV_Data_An_Prec!$U:$U,$B101,BV_Data_An_Prec!$V:$V,$C101,BV_Data_An_Prec!$W:$W,$L2)</f>
        <v>31187.279999999999</v>
      </c>
      <c r="R101" s="176">
        <f t="shared" ref="R101:R103" si="65">O101-K101</f>
        <v>-1377.9081249999999</v>
      </c>
      <c r="S101" s="393">
        <f t="shared" ref="S101:S104" si="66">L101-Q101</f>
        <v>12905.779999999999</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
        <v>3070</v>
      </c>
      <c r="B102" s="24" t="s">
        <v>144</v>
      </c>
      <c r="C102" s="258" t="s">
        <v>98</v>
      </c>
      <c r="D102" s="173">
        <f>+INDEX('Budget original'!$A$2:$AO$500,MATCH($A102,'Budget original'!$A$2:$A$500,0),MATCH(D$2,'Budget original'!$A$2:$AO$2,0))</f>
        <v>0</v>
      </c>
      <c r="E102" s="173">
        <f t="shared" si="50"/>
        <v>0</v>
      </c>
      <c r="F102" s="174">
        <f>+INDEX('Budget original'!$A$2:$AO$500,MATCH($A102,'Budget original'!$A$2:$A$500,0),MATCH(F$2,'Budget original'!$A$2:$AO$2,0))</f>
        <v>53016.213550007917</v>
      </c>
      <c r="G102" s="176">
        <f>+INDEX('Budget révisé'!$A$2:$AO$500,MATCH($A102,'Budget révisé'!$A$2:$A$500,0),MATCH(G$2,'Budget révisé'!$A$2:$AO$2,0))</f>
        <v>0</v>
      </c>
      <c r="H102" s="173">
        <f t="shared" si="57"/>
        <v>0</v>
      </c>
      <c r="I102" s="173">
        <f>+INDEX('Budget révisé'!$A$2:$AO$500,MATCH($A102,'Budget révisé'!$A$2:$A$500,0),MATCH(I$2,'Budget révisé'!$A$2:$AO$2,0))</f>
        <v>53016.213550007917</v>
      </c>
      <c r="J102" s="176"/>
      <c r="K102" s="173">
        <f>IF(J96=0,0,L102/J96)</f>
        <v>1512.9971875000001</v>
      </c>
      <c r="L102" s="174">
        <f>-SUMIFS(BV_Data_An_Cour!$O:$O,BV_Data_An_Cour!$U:$U,$B102,BV_Data_An_Cour!$V:$V,$C102,BV_Data_An_Cour!$W:$W,$L2)</f>
        <v>48415.91</v>
      </c>
      <c r="M102" s="176"/>
      <c r="N102" s="174">
        <f t="shared" si="64"/>
        <v>-4600.3035500079131</v>
      </c>
      <c r="O102" s="176"/>
      <c r="P102" s="173">
        <f>IF(O96=0,0,Q102/O96)</f>
        <v>1285.4225641025639</v>
      </c>
      <c r="Q102" s="174">
        <f>-SUMIFS(BV_Data_An_Prec!$O:$O,BV_Data_An_Prec!$U:$U,$B102,BV_Data_An_Prec!$V:$V,$C102,BV_Data_An_Prec!$W:$W,$L2)</f>
        <v>50131.479999999996</v>
      </c>
      <c r="R102" s="176">
        <f t="shared" si="65"/>
        <v>-1512.9971875000001</v>
      </c>
      <c r="S102" s="393">
        <f t="shared" si="66"/>
        <v>-1715.5699999999924</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
        <v>3071</v>
      </c>
      <c r="B103" s="24" t="s">
        <v>144</v>
      </c>
      <c r="C103" s="258" t="s">
        <v>99</v>
      </c>
      <c r="D103" s="173">
        <f>+INDEX('Budget original'!$A$2:$AO$500,MATCH($A103,'Budget original'!$A$2:$A$500,0),MATCH(D$2,'Budget original'!$A$2:$AO$2,0))</f>
        <v>0</v>
      </c>
      <c r="E103" s="178">
        <f t="shared" si="50"/>
        <v>0</v>
      </c>
      <c r="F103" s="174">
        <f>+INDEX('Budget original'!$A$2:$AO$500,MATCH($A103,'Budget original'!$A$2:$A$500,0),MATCH(F$2,'Budget original'!$A$2:$AO$2,0))</f>
        <v>1503.6900531232827</v>
      </c>
      <c r="G103" s="176">
        <f>+INDEX('Budget révisé'!$A$2:$AO$500,MATCH($A103,'Budget révisé'!$A$2:$A$500,0),MATCH(G$2,'Budget révisé'!$A$2:$AO$2,0))</f>
        <v>0</v>
      </c>
      <c r="H103" s="401">
        <f t="shared" si="57"/>
        <v>0</v>
      </c>
      <c r="I103" s="173">
        <f>+INDEX('Budget révisé'!$A$2:$AO$500,MATCH($A103,'Budget révisé'!$A$2:$A$500,0),MATCH(I$2,'Budget révisé'!$A$2:$AO$2,0))</f>
        <v>1503.6900531232827</v>
      </c>
      <c r="J103" s="176"/>
      <c r="K103" s="401">
        <f>IF(J96=0,0,L103/J96)</f>
        <v>109.46</v>
      </c>
      <c r="L103" s="174">
        <f>-SUMIFS(BV_Data_An_Cour!$O:$O,BV_Data_An_Cour!$U:$U,$B103,BV_Data_An_Cour!$V:$V,$C103,BV_Data_An_Cour!$W:$W,$L$2)</f>
        <v>3502.72</v>
      </c>
      <c r="M103" s="400"/>
      <c r="N103" s="174">
        <f t="shared" si="64"/>
        <v>1999.0299468767171</v>
      </c>
      <c r="O103" s="176"/>
      <c r="P103" s="401">
        <f>IF(O96=0,0,Q103/O96)</f>
        <v>41.958461538461542</v>
      </c>
      <c r="Q103" s="174">
        <f>-SUMIFS(BV_Data_An_Prec!$O:$O,BV_Data_An_Prec!$U:$U,$B103,BV_Data_An_Prec!$V:$V,$C103,BV_Data_An_Prec!$W:$W,$L$2)</f>
        <v>1636.38</v>
      </c>
      <c r="R103" s="176">
        <f t="shared" si="65"/>
        <v>-109.46</v>
      </c>
      <c r="S103" s="393">
        <f t="shared" si="66"/>
        <v>1866.3399999999997</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
        <v>3072</v>
      </c>
      <c r="B104" s="24" t="s">
        <v>144</v>
      </c>
      <c r="C104" s="394" t="s">
        <v>100</v>
      </c>
      <c r="D104" s="395">
        <f>D96</f>
        <v>45.631067961165051</v>
      </c>
      <c r="E104" s="173">
        <f t="shared" si="50"/>
        <v>1853.758799560484</v>
      </c>
      <c r="F104" s="396">
        <f>F101+F102+F103</f>
        <v>84588.993766352185</v>
      </c>
      <c r="G104" s="397">
        <f>G96</f>
        <v>45.631067961165051</v>
      </c>
      <c r="H104" s="395">
        <f t="shared" si="57"/>
        <v>1853.758799560484</v>
      </c>
      <c r="I104" s="396">
        <f>I101+I102+I103</f>
        <v>84588.993766352185</v>
      </c>
      <c r="J104" s="397">
        <f>J96</f>
        <v>32</v>
      </c>
      <c r="K104" s="395">
        <f>IF(J104&lt;=0,0,L104/J104)</f>
        <v>3000.3653125000001</v>
      </c>
      <c r="L104" s="396">
        <f>L101+L102+L103</f>
        <v>96011.69</v>
      </c>
      <c r="M104" s="176">
        <f>J104-G104</f>
        <v>-13.631067961165051</v>
      </c>
      <c r="N104" s="396">
        <f t="shared" si="64"/>
        <v>11422.696233647817</v>
      </c>
      <c r="O104" s="397">
        <f>O96</f>
        <v>39</v>
      </c>
      <c r="P104" s="395">
        <f>IF(O104&lt;=0,0,Q104/O104)</f>
        <v>2127.0548717948718</v>
      </c>
      <c r="Q104" s="396">
        <f>Q101+Q102+Q103</f>
        <v>82955.14</v>
      </c>
      <c r="R104" s="405"/>
      <c r="S104" s="398">
        <f t="shared" si="66"/>
        <v>13056.550000000003</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
        <v>144</v>
      </c>
      <c r="B105" s="24" t="s">
        <v>144</v>
      </c>
      <c r="C105" s="258"/>
      <c r="D105" s="172"/>
      <c r="E105" s="172"/>
      <c r="F105" s="298"/>
      <c r="G105" s="297"/>
      <c r="H105" s="343"/>
      <c r="I105" s="298"/>
      <c r="J105" s="297"/>
      <c r="K105" s="172"/>
      <c r="L105" s="298"/>
      <c r="M105" s="356"/>
      <c r="N105" s="326">
        <f>N104/I104</f>
        <v>0.13503761807592915</v>
      </c>
      <c r="O105" s="297"/>
      <c r="P105" s="172"/>
      <c r="Q105" s="298"/>
      <c r="R105" s="319"/>
      <c r="S105" s="327">
        <f>IF(Q104=0,0,(S104/Q104))</f>
        <v>0.15739289934294612</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
        <v>144</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23.25" customHeight="1" thickTop="1">
      <c r="A107" s="564" t="s">
        <v>3073</v>
      </c>
      <c r="B107" s="24" t="s">
        <v>144</v>
      </c>
      <c r="C107" s="263" t="s">
        <v>151</v>
      </c>
      <c r="D107" s="26">
        <f>D96+D99</f>
        <v>85.338900004361676</v>
      </c>
      <c r="E107" s="30">
        <f>IF(D107&lt;=0,0,F107/D107)</f>
        <v>1773.5940903255237</v>
      </c>
      <c r="F107" s="28">
        <f>F96+F104+F99</f>
        <v>151356.56872261668</v>
      </c>
      <c r="G107" s="29">
        <f>G96+G99</f>
        <v>85.338900004361676</v>
      </c>
      <c r="H107" s="30">
        <f>IF(G107&lt;=0,0,I107/G107)</f>
        <v>1773.5940903255237</v>
      </c>
      <c r="I107" s="28">
        <f>I96+I104+I99</f>
        <v>151356.56872261668</v>
      </c>
      <c r="J107" s="29">
        <f>J96+J99</f>
        <v>55</v>
      </c>
      <c r="K107" s="30">
        <f>IF(J107&lt;=0,0,L107/J107)</f>
        <v>3095.0636363636359</v>
      </c>
      <c r="L107" s="28">
        <f>L96+L104+L99</f>
        <v>170228.49999999997</v>
      </c>
      <c r="M107" s="29">
        <f>J107-G107</f>
        <v>-30.338900004361676</v>
      </c>
      <c r="N107" s="28">
        <f>L107-I107</f>
        <v>18871.931277383293</v>
      </c>
      <c r="O107" s="29">
        <f>O96+O99</f>
        <v>80</v>
      </c>
      <c r="P107" s="30">
        <f>IF(O107&lt;=0,0,Q107/O107)</f>
        <v>1970.5213750000007</v>
      </c>
      <c r="Q107" s="28">
        <f>Q96+Q104+Q99</f>
        <v>157641.71000000005</v>
      </c>
      <c r="R107" s="29">
        <f>J107-O107</f>
        <v>-25</v>
      </c>
      <c r="S107" s="357">
        <f>L107-Q107</f>
        <v>12586.789999999921</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
        <v>144</v>
      </c>
      <c r="B108" s="24" t="s">
        <v>144</v>
      </c>
      <c r="C108" s="358"/>
      <c r="D108" s="359"/>
      <c r="E108" s="359"/>
      <c r="F108" s="32"/>
      <c r="G108" s="31"/>
      <c r="H108" s="359"/>
      <c r="I108" s="32"/>
      <c r="J108" s="31"/>
      <c r="K108" s="359"/>
      <c r="L108" s="32"/>
      <c r="M108" s="33">
        <f>M107/G107</f>
        <v>-0.35551079288356252</v>
      </c>
      <c r="N108" s="34">
        <f>N107/I107</f>
        <v>0.1246852478003046</v>
      </c>
      <c r="O108" s="31"/>
      <c r="P108" s="359"/>
      <c r="Q108" s="32"/>
      <c r="R108" s="33">
        <f>O107/R107</f>
        <v>-3.2</v>
      </c>
      <c r="S108" s="406">
        <f>IF(Q107=0,0,(S107/Q107))</f>
        <v>7.9844287403377678E-2</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
        <v>144</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
        <v>3074</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
        <v>3075</v>
      </c>
      <c r="B111" s="24" t="s">
        <v>144</v>
      </c>
      <c r="C111" s="258" t="s">
        <v>103</v>
      </c>
      <c r="D111" s="295"/>
      <c r="E111" s="191">
        <f t="shared" ref="E111:E116" si="67">F111/D$96</f>
        <v>487.23936170212767</v>
      </c>
      <c r="F111" s="173">
        <f>+INDEX('Budget original'!$A$2:$AO$500,MATCH($A111,'Budget original'!$A$2:$A$500,0),MATCH(F$2,'Budget original'!$A$2:$AO$2,0))</f>
        <v>22233.252427184467</v>
      </c>
      <c r="G111" s="952">
        <f>I111/I96</f>
        <v>0.38103577371048253</v>
      </c>
      <c r="H111" s="191">
        <f t="shared" ref="H111:H116" si="68">I111/G$96</f>
        <v>487.23936170212767</v>
      </c>
      <c r="I111" s="173">
        <f>+INDEX('Budget révisé'!$A$2:$AO$500,MATCH($A111,'Budget révisé'!$A$2:$A$500,0),MATCH(I$2,'Budget révisé'!$A$2:$AO$2,0))</f>
        <v>22233.252427184467</v>
      </c>
      <c r="J111" s="952">
        <f>L111/L96</f>
        <v>0.41317926913849878</v>
      </c>
      <c r="K111" s="191">
        <f t="shared" ref="K111:K116" si="69">IF($J$96=0,0,L111/(J$94+J$95))</f>
        <v>848.541875</v>
      </c>
      <c r="L111" s="174">
        <f>SUMIFS(BV_Data_An_Cour!$O:$O,BV_Data_An_Cour!$U:$U,$B111,BV_Data_An_Cour!$V:$V,$C111,BV_Data_An_Cour!$W:$W,$L$2)</f>
        <v>27153.34</v>
      </c>
      <c r="M111" s="297"/>
      <c r="N111" s="298">
        <f t="shared" ref="N111:N121" si="70">L111-I111</f>
        <v>4920.0875728155333</v>
      </c>
      <c r="O111" s="297"/>
      <c r="P111" s="191">
        <f t="shared" ref="P111:P116" si="71">IF($J$96=0,0,Q111/(O$94+O$95))</f>
        <v>483.59025641025642</v>
      </c>
      <c r="Q111" s="174">
        <f>SUMIFS(BV_Data_An_Prec!$O:$O,BV_Data_An_Prec!$U:$U,$B111,BV_Data_An_Prec!$V:$V,$C111,BV_Data_An_Prec!$W:$W,$L$2)</f>
        <v>18860.02</v>
      </c>
      <c r="R111" s="297"/>
      <c r="S111" s="193">
        <f t="shared" ref="S111:S121" si="72">L111-Q111</f>
        <v>8293.32</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
        <v>3076</v>
      </c>
      <c r="B112" s="24" t="s">
        <v>144</v>
      </c>
      <c r="C112" s="320" t="s">
        <v>104</v>
      </c>
      <c r="D112" s="301"/>
      <c r="E112" s="407">
        <f t="shared" si="67"/>
        <v>556.12763986814514</v>
      </c>
      <c r="F112" s="171">
        <f>+INDEX('Budget original'!$A$2:$AO$500,MATCH($A112,'Budget original'!$A$2:$A$500,0),MATCH(F$2,'Budget original'!$A$2:$AO$2,0))</f>
        <v>25376.698129905653</v>
      </c>
      <c r="G112" s="953">
        <f>I112/I104</f>
        <v>0.3</v>
      </c>
      <c r="H112" s="407">
        <f t="shared" si="68"/>
        <v>556.12763986814514</v>
      </c>
      <c r="I112" s="171">
        <f>+INDEX('Budget révisé'!$A$2:$AO$500,MATCH($A112,'Budget révisé'!$A$2:$A$500,0),MATCH(I$2,'Budget révisé'!$A$2:$AO$2,0))</f>
        <v>25376.698129905653</v>
      </c>
      <c r="J112" s="953">
        <f>L112/L104</f>
        <v>0.28902084735723327</v>
      </c>
      <c r="K112" s="407">
        <f t="shared" si="69"/>
        <v>867.16812500000003</v>
      </c>
      <c r="L112" s="275">
        <f>SUMIFS(BV_Data_An_Cour!$O:$O,BV_Data_An_Cour!$U:$U,$B112,BV_Data_An_Cour!$V:$V,$C112,BV_Data_An_Cour!$W:$W,$L$2)</f>
        <v>27749.38</v>
      </c>
      <c r="M112" s="304"/>
      <c r="N112" s="305">
        <f t="shared" si="70"/>
        <v>2372.6818700943477</v>
      </c>
      <c r="O112" s="304"/>
      <c r="P112" s="407">
        <f t="shared" si="71"/>
        <v>621.66871794871804</v>
      </c>
      <c r="Q112" s="174">
        <f>SUMIFS(BV_Data_An_Prec!$O:$O,BV_Data_An_Prec!$U:$U,$B112,BV_Data_An_Prec!$V:$V,$C112,BV_Data_An_Prec!$W:$W,$L$2)</f>
        <v>24245.08</v>
      </c>
      <c r="R112" s="304"/>
      <c r="S112" s="196">
        <f t="shared" si="72"/>
        <v>3504.2999999999993</v>
      </c>
      <c r="T112" s="216"/>
      <c r="U112" s="216"/>
      <c r="V112" s="508"/>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
        <v>3077</v>
      </c>
      <c r="B113" s="24" t="s">
        <v>144</v>
      </c>
      <c r="C113" s="258" t="s">
        <v>105</v>
      </c>
      <c r="D113" s="295"/>
      <c r="E113" s="191">
        <f t="shared" si="67"/>
        <v>69.809353301886787</v>
      </c>
      <c r="F113" s="173">
        <f>+INDEX('Budget original'!$A$2:$AO$500,MATCH($A113,'Budget original'!$A$2:$A$500,0),MATCH(F$2,'Budget original'!$A$2:$AO$2,0))</f>
        <v>3185.475344843378</v>
      </c>
      <c r="G113" s="296"/>
      <c r="H113" s="191">
        <f t="shared" si="68"/>
        <v>69.809353301886787</v>
      </c>
      <c r="I113" s="173">
        <f>+INDEX('Budget révisé'!$A$2:$AO$500,MATCH($A113,'Budget révisé'!$A$2:$A$500,0),MATCH(I$2,'Budget révisé'!$A$2:$AO$2,0))</f>
        <v>3185.475344843378</v>
      </c>
      <c r="J113" s="297"/>
      <c r="K113" s="222">
        <f t="shared" si="69"/>
        <v>0.325625</v>
      </c>
      <c r="L113" s="239">
        <f>SUMIFS(BV_Data_An_Cour!$O:$O,BV_Data_An_Cour!$U:$U,$B113,BV_Data_An_Cour!$V:$V,$C113,BV_Data_An_Cour!$W:$W,$L$2)</f>
        <v>10.42</v>
      </c>
      <c r="M113" s="297"/>
      <c r="N113" s="298">
        <f t="shared" si="70"/>
        <v>-3175.055344843378</v>
      </c>
      <c r="O113" s="297"/>
      <c r="P113" s="191">
        <f t="shared" si="71"/>
        <v>63.044102564102559</v>
      </c>
      <c r="Q113" s="175">
        <f>SUMIFS(BV_Data_An_Prec!$O:$O,BV_Data_An_Prec!$U:$U,$B113,BV_Data_An_Prec!$V:$V,$C113,BV_Data_An_Prec!$W:$W,$L$2)</f>
        <v>2458.7199999999998</v>
      </c>
      <c r="R113" s="297"/>
      <c r="S113" s="193">
        <f t="shared" si="72"/>
        <v>-2448.2999999999997</v>
      </c>
      <c r="T113" s="216"/>
      <c r="U113" s="216"/>
      <c r="V113" s="508"/>
      <c r="W113" s="954"/>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
        <v>3078</v>
      </c>
      <c r="B114" s="24" t="s">
        <v>144</v>
      </c>
      <c r="C114" s="258" t="s">
        <v>106</v>
      </c>
      <c r="D114" s="295"/>
      <c r="E114" s="191">
        <f t="shared" si="67"/>
        <v>33.51101497641509</v>
      </c>
      <c r="F114" s="173">
        <f>+INDEX('Budget original'!$A$2:$AO$500,MATCH($A114,'Budget original'!$A$2:$A$500,0),MATCH(F$2,'Budget original'!$A$2:$AO$2,0))</f>
        <v>1529.1434018364168</v>
      </c>
      <c r="G114" s="296"/>
      <c r="H114" s="191">
        <f t="shared" si="68"/>
        <v>33.51101497641509</v>
      </c>
      <c r="I114" s="173">
        <f>+INDEX('Budget révisé'!$A$2:$AO$500,MATCH($A114,'Budget révisé'!$A$2:$A$500,0),MATCH(I$2,'Budget révisé'!$A$2:$AO$2,0))</f>
        <v>1529.1434018364168</v>
      </c>
      <c r="J114" s="297"/>
      <c r="K114" s="222">
        <f t="shared" si="69"/>
        <v>0</v>
      </c>
      <c r="L114" s="275">
        <f>SUMIFS(BV_Data_An_Cour!$O:$O,BV_Data_An_Cour!$U:$U,$B114,BV_Data_An_Cour!$V:$V,$C114,BV_Data_An_Cour!$W:$W,$L$2)</f>
        <v>0</v>
      </c>
      <c r="M114" s="297"/>
      <c r="N114" s="298">
        <f t="shared" si="70"/>
        <v>-1529.1434018364168</v>
      </c>
      <c r="O114" s="297"/>
      <c r="P114" s="191">
        <f t="shared" si="71"/>
        <v>3.1074358974358973</v>
      </c>
      <c r="Q114" s="174">
        <f>SUMIFS(BV_Data_An_Prec!$O:$O,BV_Data_An_Prec!$U:$U,$B114,BV_Data_An_Prec!$V:$V,$C114,BV_Data_An_Prec!$W:$W,$L$2)</f>
        <v>121.19</v>
      </c>
      <c r="R114" s="297"/>
      <c r="S114" s="193">
        <f t="shared" si="72"/>
        <v>-121.19</v>
      </c>
      <c r="T114" s="216"/>
      <c r="U114" s="216"/>
      <c r="V114" s="508"/>
      <c r="W114" s="954"/>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
        <v>3079</v>
      </c>
      <c r="B115" s="24" t="s">
        <v>144</v>
      </c>
      <c r="C115" s="320" t="s">
        <v>107</v>
      </c>
      <c r="D115" s="301"/>
      <c r="E115" s="407">
        <f t="shared" si="67"/>
        <v>88.549952830188673</v>
      </c>
      <c r="F115" s="171">
        <f>+INDEX('Budget original'!$A$2:$AO$500,MATCH($A115,'Budget original'!$A$2:$A$500,0),MATCH(F$2,'Budget original'!$A$2:$AO$2,0))</f>
        <v>4040.6289155522991</v>
      </c>
      <c r="G115" s="303"/>
      <c r="H115" s="407">
        <f t="shared" si="68"/>
        <v>88.549952830188673</v>
      </c>
      <c r="I115" s="171">
        <f>+INDEX('Budget révisé'!$A$2:$AO$500,MATCH($A115,'Budget révisé'!$A$2:$A$500,0),MATCH(I$2,'Budget révisé'!$A$2:$AO$2,0))</f>
        <v>4040.6289155522991</v>
      </c>
      <c r="J115" s="304"/>
      <c r="K115" s="1121">
        <f t="shared" si="69"/>
        <v>217.29843750000001</v>
      </c>
      <c r="L115" s="1123">
        <f>SUMIFS(BV_Data_An_Cour!$O:$O,BV_Data_An_Cour!$U:$U,$B115,BV_Data_An_Cour!$V:$V,$C115,BV_Data_An_Cour!$W:$W,$L$2)</f>
        <v>6953.55</v>
      </c>
      <c r="M115" s="304"/>
      <c r="N115" s="305">
        <f t="shared" si="70"/>
        <v>2912.9210844477011</v>
      </c>
      <c r="O115" s="304"/>
      <c r="P115" s="407">
        <f t="shared" si="71"/>
        <v>114.14435897435898</v>
      </c>
      <c r="Q115" s="399">
        <f>SUMIFS(BV_Data_An_Prec!$O:$O,BV_Data_An_Prec!$U:$U,$B115,BV_Data_An_Prec!$V:$V,$C115,BV_Data_An_Prec!$W:$W,$L$2)</f>
        <v>4451.63</v>
      </c>
      <c r="R115" s="304"/>
      <c r="S115" s="196">
        <f t="shared" si="72"/>
        <v>2501.92</v>
      </c>
      <c r="T115" s="216"/>
      <c r="U115" s="223"/>
      <c r="V115" s="508"/>
      <c r="W115" s="954"/>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9.5" customHeight="1">
      <c r="A116" s="564" t="s">
        <v>3080</v>
      </c>
      <c r="B116" s="24" t="s">
        <v>144</v>
      </c>
      <c r="C116" s="258" t="s">
        <v>108</v>
      </c>
      <c r="D116" s="295"/>
      <c r="E116" s="191">
        <f t="shared" si="67"/>
        <v>42.755319148936181</v>
      </c>
      <c r="F116" s="173">
        <f>+INDEX('Budget original'!$A$2:$AO$500,MATCH($A116,'Budget original'!$A$2:$A$500,0),MATCH(F$2,'Budget original'!$A$2:$AO$2,0))</f>
        <v>1950.9708737864084</v>
      </c>
      <c r="G116" s="296"/>
      <c r="H116" s="191">
        <f t="shared" si="68"/>
        <v>42.755319148936181</v>
      </c>
      <c r="I116" s="173">
        <f>+INDEX('Budget révisé'!$A$2:$AO$500,MATCH($A116,'Budget révisé'!$A$2:$A$500,0),MATCH(I$2,'Budget révisé'!$A$2:$AO$2,0))</f>
        <v>1950.9708737864084</v>
      </c>
      <c r="J116" s="297"/>
      <c r="K116" s="222">
        <f t="shared" si="69"/>
        <v>309.41531250000003</v>
      </c>
      <c r="L116" s="275">
        <f>SUMIFS(BV_Data_An_Cour!$O:$O,BV_Data_An_Cour!$U:$U,$B116,BV_Data_An_Cour!$V:$V,$C116,BV_Data_An_Cour!$W:$W,$L$2)</f>
        <v>9901.2900000000009</v>
      </c>
      <c r="M116" s="297"/>
      <c r="N116" s="298">
        <f t="shared" si="70"/>
        <v>7950.3191262135924</v>
      </c>
      <c r="O116" s="297"/>
      <c r="P116" s="191">
        <f t="shared" si="71"/>
        <v>17.77128205128205</v>
      </c>
      <c r="Q116" s="174">
        <f>SUMIFS(BV_Data_An_Prec!$O:$O,BV_Data_An_Prec!$U:$U,$B116,BV_Data_An_Prec!$V:$V,$C116,BV_Data_An_Prec!$W:$W,$L$2)</f>
        <v>693.07999999999993</v>
      </c>
      <c r="R116" s="297"/>
      <c r="S116" s="193">
        <f t="shared" si="72"/>
        <v>9208.2100000000009</v>
      </c>
      <c r="T116" s="216"/>
      <c r="U116" s="216"/>
      <c r="V116" s="508"/>
      <c r="W116" s="954"/>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s="564" customFormat="1" ht="15.75" customHeight="1">
      <c r="A117" s="564" t="s">
        <v>3081</v>
      </c>
      <c r="B117" s="24" t="s">
        <v>144</v>
      </c>
      <c r="C117" s="258" t="s">
        <v>109</v>
      </c>
      <c r="D117" s="295"/>
      <c r="E117" s="191">
        <f t="shared" ref="E117:E119" si="73">F117/D$96</f>
        <v>20.432037018310016</v>
      </c>
      <c r="F117" s="173">
        <f>+INDEX('Budget original'!$A$2:$AO$500,MATCH($A117,'Budget original'!$A$2:$A$500,0),MATCH(F$2,'Budget original'!$A$2:$AO$2,0))</f>
        <v>932.33566976754446</v>
      </c>
      <c r="G117" s="296"/>
      <c r="H117" s="191">
        <f t="shared" ref="H117:H119" si="74">I117/G$96</f>
        <v>20.432037018310016</v>
      </c>
      <c r="I117" s="173">
        <f>+INDEX('Budget révisé'!$A$2:$AO$500,MATCH($A117,'Budget révisé'!$A$2:$A$500,0),MATCH(I$2,'Budget révisé'!$A$2:$AO$2,0))</f>
        <v>932.33566976754446</v>
      </c>
      <c r="J117" s="297"/>
      <c r="K117" s="191">
        <f t="shared" ref="K117:K119" si="75">IF($J$96=0,0,L117/(J$94+J$95))</f>
        <v>58.772187500000001</v>
      </c>
      <c r="L117" s="174">
        <f>SUMIFS(BV_Data_An_Cour!$O:$O,BV_Data_An_Cour!$U:$U,$B117,BV_Data_An_Cour!$V:$V,$C117,BV_Data_An_Cour!$W:$W,$L$2)</f>
        <v>1880.71</v>
      </c>
      <c r="M117" s="297"/>
      <c r="N117" s="298">
        <f t="shared" ref="N117:N119" si="76">L117-I117</f>
        <v>948.37433023245558</v>
      </c>
      <c r="O117" s="297"/>
      <c r="P117" s="191">
        <f t="shared" ref="P117:P119" si="77">IF($J$96=0,0,Q117/(O$94+O$95))</f>
        <v>14.314102564102564</v>
      </c>
      <c r="Q117" s="174">
        <f>SUMIFS(BV_Data_An_Prec!$O:$O,BV_Data_An_Prec!$U:$U,$B117,BV_Data_An_Prec!$V:$V,$C117,BV_Data_An_Prec!$W:$W,$L$2)</f>
        <v>558.25</v>
      </c>
      <c r="R117" s="297"/>
      <c r="S117" s="193">
        <f t="shared" ref="S117:S119" si="78">L117-Q117</f>
        <v>1322.46</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s="564" customFormat="1" ht="15.75" hidden="1" customHeight="1">
      <c r="A118" s="564" t="s">
        <v>3082</v>
      </c>
      <c r="B118" s="24" t="s">
        <v>144</v>
      </c>
      <c r="C118" s="258" t="s">
        <v>42</v>
      </c>
      <c r="D118" s="295"/>
      <c r="E118" s="191">
        <f t="shared" si="73"/>
        <v>0</v>
      </c>
      <c r="F118" s="173">
        <f>+INDEX('Budget original'!$A$2:$AO$500,MATCH($A118,'Budget original'!$A$2:$A$500,0),MATCH(F$2,'Budget original'!$A$2:$AO$2,0))</f>
        <v>0</v>
      </c>
      <c r="G118" s="296"/>
      <c r="H118" s="191">
        <f t="shared" si="74"/>
        <v>0</v>
      </c>
      <c r="I118" s="173">
        <f>+INDEX('Budget révisé'!$A$2:$AO$500,MATCH($A118,'Budget révisé'!$A$2:$A$500,0),MATCH(I$2,'Budget révisé'!$A$2:$AO$2,0))</f>
        <v>0</v>
      </c>
      <c r="J118" s="297"/>
      <c r="K118" s="191">
        <f t="shared" si="75"/>
        <v>0</v>
      </c>
      <c r="L118" s="174">
        <f>SUMIFS(BV_Data_An_Cour!$O:$O,BV_Data_An_Cour!$U:$U,$B118,BV_Data_An_Cour!$V:$V,$C118,BV_Data_An_Cour!$W:$W,$L$2)</f>
        <v>0</v>
      </c>
      <c r="M118" s="297"/>
      <c r="N118" s="298">
        <f t="shared" si="76"/>
        <v>0</v>
      </c>
      <c r="O118" s="297"/>
      <c r="P118" s="191">
        <f t="shared" si="77"/>
        <v>0</v>
      </c>
      <c r="Q118" s="174">
        <f>SUMIFS(BV_Data_An_Prec!$O:$O,BV_Data_An_Prec!$U:$U,$B118,BV_Data_An_Prec!$V:$V,$C118,BV_Data_An_Prec!$W:$W,$L$2)</f>
        <v>0</v>
      </c>
      <c r="R118" s="297"/>
      <c r="S118" s="193">
        <f t="shared" si="78"/>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s="564" customFormat="1" ht="15.75" hidden="1" customHeight="1">
      <c r="A119" s="564" t="s">
        <v>3082</v>
      </c>
      <c r="B119" s="24" t="s">
        <v>144</v>
      </c>
      <c r="C119" s="258" t="s">
        <v>42</v>
      </c>
      <c r="D119" s="295"/>
      <c r="E119" s="191">
        <f t="shared" si="73"/>
        <v>0</v>
      </c>
      <c r="F119" s="173">
        <f>+INDEX('Budget original'!$A$2:$AO$500,MATCH($A119,'Budget original'!$A$2:$A$500,0),MATCH(F$2,'Budget original'!$A$2:$AO$2,0))</f>
        <v>0</v>
      </c>
      <c r="G119" s="296"/>
      <c r="H119" s="191">
        <f t="shared" si="74"/>
        <v>0</v>
      </c>
      <c r="I119" s="173">
        <f>+INDEX('Budget révisé'!$A$2:$AO$500,MATCH($A119,'Budget révisé'!$A$2:$A$500,0),MATCH(I$2,'Budget révisé'!$A$2:$AO$2,0))</f>
        <v>0</v>
      </c>
      <c r="J119" s="297"/>
      <c r="K119" s="191">
        <f t="shared" si="75"/>
        <v>0</v>
      </c>
      <c r="L119" s="174">
        <f>SUMIFS(BV_Data_An_Cour!$O:$O,BV_Data_An_Cour!$U:$U,$B119,BV_Data_An_Cour!$V:$V,$C119,BV_Data_An_Cour!$W:$W,$L$2)</f>
        <v>0</v>
      </c>
      <c r="M119" s="297"/>
      <c r="N119" s="298">
        <f t="shared" si="76"/>
        <v>0</v>
      </c>
      <c r="O119" s="297"/>
      <c r="P119" s="191">
        <f t="shared" si="77"/>
        <v>0</v>
      </c>
      <c r="Q119" s="174">
        <f>SUMIFS(BV_Data_An_Prec!$O:$O,BV_Data_An_Prec!$U:$U,$B119,BV_Data_An_Prec!$V:$V,$C119,BV_Data_An_Prec!$W:$W,$L$2)</f>
        <v>0</v>
      </c>
      <c r="R119" s="297"/>
      <c r="S119" s="193">
        <f t="shared" si="78"/>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
        <v>3082</v>
      </c>
      <c r="B120" s="24" t="s">
        <v>144</v>
      </c>
      <c r="C120" s="258" t="s">
        <v>42</v>
      </c>
      <c r="D120" s="295"/>
      <c r="E120" s="191">
        <f>F120/D$96</f>
        <v>0</v>
      </c>
      <c r="F120" s="173">
        <f>+INDEX('Budget original'!$A$2:$AO$500,MATCH($A120,'Budget original'!$A$2:$A$500,0),MATCH(F$2,'Budget original'!$A$2:$AO$2,0))</f>
        <v>0</v>
      </c>
      <c r="G120" s="296"/>
      <c r="H120" s="191">
        <f>I120/G$96</f>
        <v>0</v>
      </c>
      <c r="I120" s="173">
        <f>+INDEX('Budget révisé'!$A$2:$AO$500,MATCH($A120,'Budget révisé'!$A$2:$A$500,0),MATCH(I$2,'Budget révisé'!$A$2:$AO$2,0))</f>
        <v>0</v>
      </c>
      <c r="J120" s="297"/>
      <c r="K120" s="191">
        <f>IF($J$96=0,0,L120/(J$94+J$95))</f>
        <v>0</v>
      </c>
      <c r="L120" s="174">
        <f>SUMIFS(BV_Data_An_Cour!$O:$O,BV_Data_An_Cour!$U:$U,$B120,BV_Data_An_Cour!$V:$V,$C120,BV_Data_An_Cour!$W:$W,$L$2)</f>
        <v>0</v>
      </c>
      <c r="M120" s="297"/>
      <c r="N120" s="298">
        <f t="shared" si="70"/>
        <v>0</v>
      </c>
      <c r="O120" s="297"/>
      <c r="P120" s="191">
        <f>IF($J$96=0,0,Q120/(O$94+O$95))</f>
        <v>0</v>
      </c>
      <c r="Q120" s="174">
        <f>SUMIFS(BV_Data_An_Prec!$O:$O,BV_Data_An_Prec!$U:$U,$B120,BV_Data_An_Prec!$V:$V,$C120,BV_Data_An_Prec!$W:$W,$L$2)</f>
        <v>0</v>
      </c>
      <c r="R120" s="297"/>
      <c r="S120" s="193">
        <f t="shared" si="72"/>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
        <v>3083</v>
      </c>
      <c r="B121" s="24" t="s">
        <v>144</v>
      </c>
      <c r="C121" s="292" t="s">
        <v>110</v>
      </c>
      <c r="D121" s="39" t="s">
        <v>111</v>
      </c>
      <c r="E121" s="40">
        <f>F121/F$107</f>
        <v>0.39144984101388969</v>
      </c>
      <c r="F121" s="41">
        <f>SUM(F111:F120)</f>
        <v>59248.504762876168</v>
      </c>
      <c r="G121" s="42" t="s">
        <v>111</v>
      </c>
      <c r="H121" s="40">
        <f>I121/I$107</f>
        <v>0.39144984101388969</v>
      </c>
      <c r="I121" s="41">
        <f>SUM(I111:I120)</f>
        <v>59248.504762876168</v>
      </c>
      <c r="J121" s="42" t="s">
        <v>111</v>
      </c>
      <c r="K121" s="40">
        <f>L121/L$107</f>
        <v>0.43264606102973374</v>
      </c>
      <c r="L121" s="41">
        <f>SUM(L111:L120)</f>
        <v>73648.690000000017</v>
      </c>
      <c r="M121" s="44"/>
      <c r="N121" s="41">
        <f t="shared" si="70"/>
        <v>14400.185237123849</v>
      </c>
      <c r="O121" s="42" t="s">
        <v>111</v>
      </c>
      <c r="P121" s="40">
        <f>Q121/Q$107</f>
        <v>0.32597952661132634</v>
      </c>
      <c r="Q121" s="41">
        <f>SUM(Q111:Q120)</f>
        <v>51387.970000000008</v>
      </c>
      <c r="R121" s="44"/>
      <c r="S121" s="310">
        <f t="shared" si="72"/>
        <v>22260.720000000008</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20.399999999999999">
      <c r="A122" s="564" t="s">
        <v>3084</v>
      </c>
      <c r="B122" s="24" t="s">
        <v>144</v>
      </c>
      <c r="C122" s="299" t="s">
        <v>112</v>
      </c>
      <c r="D122" s="172"/>
      <c r="E122" s="172"/>
      <c r="F122" s="173">
        <f>+INDEX('Budget original'!$A$2:$AO$500,MATCH($A122,'Budget original'!$A$2:$A$500,0),MATCH(F$2,'Budget original'!$A$2:$AO$2,0))</f>
        <v>8074.4819923371651</v>
      </c>
      <c r="G122" s="297"/>
      <c r="H122" s="172"/>
      <c r="I122" s="173">
        <f>+INDEX('Budget révisé'!$A$2:$AO$500,MATCH($A122,'Budget révisé'!$A$2:$A$500,0),MATCH(I$2,'Budget révisé'!$A$2:$AO$2,0))</f>
        <v>8074.4819923371651</v>
      </c>
      <c r="J122" s="297"/>
      <c r="K122" s="172"/>
      <c r="L122" s="275">
        <f>SUMIFS(BV_Data_An_Cour!$O:$O,BV_Data_An_Cour!$U:$U,$B122,BV_Data_An_Cour!$V:$V,$C122,BV_Data_An_Cour!$W:$W,$L$2)</f>
        <v>11056.58</v>
      </c>
      <c r="M122" s="297"/>
      <c r="N122" s="298">
        <f t="shared" ref="N122:N133" si="79">L122-I122</f>
        <v>2982.0980076628348</v>
      </c>
      <c r="O122" s="297"/>
      <c r="P122" s="172"/>
      <c r="Q122" s="174">
        <f>SUMIFS(BV_Data_An_Prec!$O:$O,BV_Data_An_Prec!$U:$U,$B122,BV_Data_An_Prec!$V:$V,$C122,BV_Data_An_Prec!$W:$W,$L$2)</f>
        <v>7917.04</v>
      </c>
      <c r="R122" s="297"/>
      <c r="S122" s="193">
        <f t="shared" ref="S122:S133" si="80">L122-Q122</f>
        <v>3139.54</v>
      </c>
      <c r="T122" s="227"/>
      <c r="U122" s="216"/>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20.399999999999999">
      <c r="A123" s="564" t="s">
        <v>3085</v>
      </c>
      <c r="B123" s="24" t="s">
        <v>144</v>
      </c>
      <c r="C123" s="300" t="s">
        <v>113</v>
      </c>
      <c r="D123" s="295"/>
      <c r="E123" s="172"/>
      <c r="F123" s="171">
        <f>+INDEX('Budget original'!$A$2:$AO$500,MATCH($A123,'Budget original'!$A$2:$A$500,0),MATCH(F$2,'Budget original'!$A$2:$AO$2,0))</f>
        <v>2182.6728393409962</v>
      </c>
      <c r="G123" s="296"/>
      <c r="H123" s="172"/>
      <c r="I123" s="171">
        <f>+INDEX('Budget révisé'!$A$2:$AO$500,MATCH($A123,'Budget révisé'!$A$2:$A$500,0),MATCH(I$2,'Budget révisé'!$A$2:$AO$2,0))</f>
        <v>2182.6728393409962</v>
      </c>
      <c r="J123" s="297"/>
      <c r="K123" s="172"/>
      <c r="L123" s="171">
        <f>SUMIFS(BV_Data_An_Cour!$O:$O,BV_Data_An_Cour!$U:$U,$B123,BV_Data_An_Cour!$V:$V,$C123,BV_Data_An_Cour!$W:$W,$L$2)</f>
        <v>1720.58</v>
      </c>
      <c r="M123" s="297"/>
      <c r="N123" s="298">
        <f t="shared" si="79"/>
        <v>-462.09283934099631</v>
      </c>
      <c r="O123" s="297"/>
      <c r="P123" s="172"/>
      <c r="Q123" s="171">
        <f>SUMIFS(BV_Data_An_Prec!$O:$O,BV_Data_An_Prec!$U:$U,$B123,BV_Data_An_Prec!$V:$V,$C123,BV_Data_An_Prec!$W:$W,$L$2)</f>
        <v>2181.4699999999998</v>
      </c>
      <c r="R123" s="297"/>
      <c r="S123" s="193">
        <f t="shared" si="80"/>
        <v>-460.88999999999987</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20.399999999999999">
      <c r="A124" s="564" t="s">
        <v>3086</v>
      </c>
      <c r="B124" s="24" t="s">
        <v>144</v>
      </c>
      <c r="C124" s="299" t="s">
        <v>114</v>
      </c>
      <c r="D124" s="386"/>
      <c r="E124" s="346"/>
      <c r="F124" s="173">
        <f>+INDEX('Budget original'!$A$2:$AO$500,MATCH($A124,'Budget original'!$A$2:$A$500,0),MATCH(F$2,'Budget original'!$A$2:$AO$2,0))</f>
        <v>8189.7951351417623</v>
      </c>
      <c r="G124" s="387"/>
      <c r="H124" s="346"/>
      <c r="I124" s="173">
        <f>+INDEX('Budget révisé'!$A$2:$AO$500,MATCH($A124,'Budget révisé'!$A$2:$A$500,0),MATCH(I$2,'Budget révisé'!$A$2:$AO$2,0))</f>
        <v>8189.7951351417623</v>
      </c>
      <c r="J124" s="362"/>
      <c r="K124" s="346"/>
      <c r="L124" s="275">
        <f>SUMIFS(BV_Data_An_Cour!$O:$O,BV_Data_An_Cour!$U:$U,$B124,BV_Data_An_Cour!$V:$V,$C124,BV_Data_An_Cour!$W:$W,$L$2)</f>
        <v>7696.58</v>
      </c>
      <c r="M124" s="362"/>
      <c r="N124" s="350">
        <f t="shared" si="79"/>
        <v>-493.2151351417624</v>
      </c>
      <c r="O124" s="362"/>
      <c r="P124" s="346"/>
      <c r="Q124" s="174">
        <f>SUMIFS(BV_Data_An_Prec!$O:$O,BV_Data_An_Prec!$U:$U,$B124,BV_Data_An_Prec!$V:$V,$C124,BV_Data_An_Prec!$W:$W,$L$2)</f>
        <v>7209.56</v>
      </c>
      <c r="R124" s="362"/>
      <c r="S124" s="195">
        <f t="shared" si="80"/>
        <v>487.01999999999953</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
        <v>3087</v>
      </c>
      <c r="B125" s="24" t="s">
        <v>144</v>
      </c>
      <c r="C125" s="299" t="s">
        <v>115</v>
      </c>
      <c r="D125" s="295"/>
      <c r="E125" s="172"/>
      <c r="F125" s="173">
        <f>+INDEX('Budget original'!$A$2:$AO$500,MATCH($A125,'Budget original'!$A$2:$A$500,0),MATCH(F$2,'Budget original'!$A$2:$AO$2,0))</f>
        <v>0</v>
      </c>
      <c r="G125" s="296"/>
      <c r="H125" s="172"/>
      <c r="I125" s="173">
        <f>+INDEX('Budget révisé'!$A$2:$AO$500,MATCH($A125,'Budget révisé'!$A$2:$A$500,0),MATCH(I$2,'Budget révisé'!$A$2:$AO$2,0))</f>
        <v>0</v>
      </c>
      <c r="J125" s="297"/>
      <c r="K125" s="172"/>
      <c r="L125" s="174">
        <f>SUMIFS(BV_Data_An_Cour!$O:$O,BV_Data_An_Cour!$U:$U,$B125,BV_Data_An_Cour!$V:$V,$C125,BV_Data_An_Cour!$W:$W,$L$2)</f>
        <v>0</v>
      </c>
      <c r="M125" s="297"/>
      <c r="N125" s="298">
        <f t="shared" si="79"/>
        <v>0</v>
      </c>
      <c r="O125" s="297"/>
      <c r="P125" s="172"/>
      <c r="Q125" s="174">
        <f>SUMIFS(BV_Data_An_Prec!$O:$O,BV_Data_An_Prec!$U:$U,$B125,BV_Data_An_Prec!$V:$V,$C125,BV_Data_An_Prec!$W:$W,$L$2)</f>
        <v>0</v>
      </c>
      <c r="R125" s="297"/>
      <c r="S125" s="193">
        <f t="shared" si="80"/>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s="564" customFormat="1" ht="15.75" hidden="1" customHeight="1">
      <c r="A126" s="564" t="s">
        <v>3082</v>
      </c>
      <c r="B126" s="24" t="s">
        <v>144</v>
      </c>
      <c r="C126" s="299" t="s">
        <v>42</v>
      </c>
      <c r="D126" s="295"/>
      <c r="E126" s="172"/>
      <c r="F126" s="173">
        <f>+INDEX('Budget original'!$A$2:$AO$500,MATCH($A126,'Budget original'!$A$2:$A$500,0),MATCH(F$2,'Budget original'!$A$2:$AO$2,0))</f>
        <v>0</v>
      </c>
      <c r="G126" s="296"/>
      <c r="H126" s="172"/>
      <c r="I126" s="173">
        <f>+INDEX('Budget révisé'!$A$2:$AO$500,MATCH($A126,'Budget révisé'!$A$2:$A$500,0),MATCH(I$2,'Budget révisé'!$A$2:$AO$2,0))</f>
        <v>0</v>
      </c>
      <c r="J126" s="297"/>
      <c r="K126" s="172"/>
      <c r="L126" s="174">
        <f>SUMIFS(BV_Data_An_Cour!$O:$O,BV_Data_An_Cour!$U:$U,$B126,BV_Data_An_Cour!$V:$V,$C126,BV_Data_An_Cour!$W:$W,$L$2)</f>
        <v>0</v>
      </c>
      <c r="M126" s="297"/>
      <c r="N126" s="298">
        <f t="shared" ref="N126:N129" si="81">L126-I126</f>
        <v>0</v>
      </c>
      <c r="O126" s="297"/>
      <c r="P126" s="172"/>
      <c r="Q126" s="174">
        <f>SUMIFS(BV_Data_An_Prec!$O:$O,BV_Data_An_Prec!$U:$U,$B126,BV_Data_An_Prec!$V:$V,$C126,BV_Data_An_Prec!$W:$W,$L$2)</f>
        <v>0</v>
      </c>
      <c r="R126" s="297"/>
      <c r="S126" s="193">
        <f t="shared" ref="S126:S129" si="82">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s="564" customFormat="1" ht="15.75" hidden="1" customHeight="1">
      <c r="A127" s="564" t="s">
        <v>3082</v>
      </c>
      <c r="B127" s="24" t="s">
        <v>144</v>
      </c>
      <c r="C127" s="299" t="s">
        <v>42</v>
      </c>
      <c r="D127" s="295"/>
      <c r="E127" s="172"/>
      <c r="F127" s="173">
        <f>+INDEX('Budget original'!$A$2:$AO$500,MATCH($A127,'Budget original'!$A$2:$A$500,0),MATCH(F$2,'Budget original'!$A$2:$AO$2,0))</f>
        <v>0</v>
      </c>
      <c r="G127" s="296"/>
      <c r="H127" s="172"/>
      <c r="I127" s="173">
        <f>+INDEX('Budget révisé'!$A$2:$AO$500,MATCH($A127,'Budget révisé'!$A$2:$A$500,0),MATCH(I$2,'Budget révisé'!$A$2:$AO$2,0))</f>
        <v>0</v>
      </c>
      <c r="J127" s="297"/>
      <c r="K127" s="172"/>
      <c r="L127" s="174">
        <f>SUMIFS(BV_Data_An_Cour!$O:$O,BV_Data_An_Cour!$U:$U,$B127,BV_Data_An_Cour!$V:$V,$C127,BV_Data_An_Cour!$W:$W,$L$2)</f>
        <v>0</v>
      </c>
      <c r="M127" s="297"/>
      <c r="N127" s="298">
        <f t="shared" si="81"/>
        <v>0</v>
      </c>
      <c r="O127" s="297"/>
      <c r="P127" s="172"/>
      <c r="Q127" s="174">
        <f>SUMIFS(BV_Data_An_Prec!$O:$O,BV_Data_An_Prec!$U:$U,$B127,BV_Data_An_Prec!$V:$V,$C127,BV_Data_An_Prec!$W:$W,$L$2)</f>
        <v>0</v>
      </c>
      <c r="R127" s="297"/>
      <c r="S127" s="193">
        <f t="shared" si="82"/>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s="564" customFormat="1" ht="15.75" hidden="1" customHeight="1">
      <c r="A128" s="564" t="s">
        <v>3082</v>
      </c>
      <c r="B128" s="24" t="s">
        <v>144</v>
      </c>
      <c r="C128" s="299" t="s">
        <v>42</v>
      </c>
      <c r="D128" s="295"/>
      <c r="E128" s="172"/>
      <c r="F128" s="173">
        <f>+INDEX('Budget original'!$A$2:$AO$500,MATCH($A128,'Budget original'!$A$2:$A$500,0),MATCH(F$2,'Budget original'!$A$2:$AO$2,0))</f>
        <v>0</v>
      </c>
      <c r="G128" s="296"/>
      <c r="H128" s="172"/>
      <c r="I128" s="173">
        <f>+INDEX('Budget révisé'!$A$2:$AO$500,MATCH($A128,'Budget révisé'!$A$2:$A$500,0),MATCH(I$2,'Budget révisé'!$A$2:$AO$2,0))</f>
        <v>0</v>
      </c>
      <c r="J128" s="297"/>
      <c r="K128" s="172"/>
      <c r="L128" s="174">
        <f>SUMIFS(BV_Data_An_Cour!$O:$O,BV_Data_An_Cour!$U:$U,$B128,BV_Data_An_Cour!$V:$V,$C128,BV_Data_An_Cour!$W:$W,$L$2)</f>
        <v>0</v>
      </c>
      <c r="M128" s="297"/>
      <c r="N128" s="298">
        <f t="shared" si="81"/>
        <v>0</v>
      </c>
      <c r="O128" s="297"/>
      <c r="P128" s="172"/>
      <c r="Q128" s="174">
        <f>SUMIFS(BV_Data_An_Prec!$O:$O,BV_Data_An_Prec!$U:$U,$B128,BV_Data_An_Prec!$V:$V,$C128,BV_Data_An_Prec!$W:$W,$L$2)</f>
        <v>0</v>
      </c>
      <c r="R128" s="297"/>
      <c r="S128" s="193">
        <f t="shared" si="82"/>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
        <v>3088</v>
      </c>
      <c r="B129" s="24" t="s">
        <v>144</v>
      </c>
      <c r="C129" s="300" t="s">
        <v>116</v>
      </c>
      <c r="D129" s="295"/>
      <c r="E129" s="172"/>
      <c r="F129" s="173">
        <f>+INDEX('Budget original'!$A$2:$AO$500,MATCH($A129,'Budget original'!$A$2:$A$500,0),MATCH(F$2,'Budget original'!$A$2:$AO$2,0))</f>
        <v>7699.7091838195092</v>
      </c>
      <c r="G129" s="296"/>
      <c r="H129" s="172"/>
      <c r="I129" s="173">
        <f>+INDEX('Budget révisé'!$A$2:$AO$500,MATCH($A129,'Budget révisé'!$A$2:$A$500,0),MATCH(I$2,'Budget révisé'!$A$2:$AO$2,0))</f>
        <v>7699.7091838195092</v>
      </c>
      <c r="J129" s="297"/>
      <c r="K129" s="172"/>
      <c r="L129" s="174">
        <f>SUMIFS(BV_Data_An_Cour!$O:$O,BV_Data_An_Cour!$U:$U,$B129,BV_Data_An_Cour!$V:$V,$C129,BV_Data_An_Cour!$W:$W,$L$2)</f>
        <v>5068.8100000000004</v>
      </c>
      <c r="M129" s="297"/>
      <c r="N129" s="298">
        <f t="shared" si="81"/>
        <v>-2630.8991838195088</v>
      </c>
      <c r="O129" s="297"/>
      <c r="P129" s="172"/>
      <c r="Q129" s="174">
        <f>SUMIFS(BV_Data_An_Prec!$O:$O,BV_Data_An_Prec!$U:$U,$B129,BV_Data_An_Prec!$V:$V,$C129,BV_Data_An_Prec!$W:$W,$L$2)</f>
        <v>3223.57</v>
      </c>
      <c r="R129" s="297"/>
      <c r="S129" s="193">
        <f t="shared" si="82"/>
        <v>1845.2400000000002</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
        <v>3089</v>
      </c>
      <c r="B130" s="24" t="s">
        <v>144</v>
      </c>
      <c r="C130" s="274" t="s">
        <v>117</v>
      </c>
      <c r="D130" s="279"/>
      <c r="E130" s="280"/>
      <c r="F130" s="626">
        <f>+INDEX('Budget original'!$A$2:$AO$500,MATCH($A130,'Budget original'!$A$2:$A$500,0),MATCH(F$2,'Budget original'!$A$2:$AO$2,0))</f>
        <v>6895.8788384148238</v>
      </c>
      <c r="G130" s="281"/>
      <c r="H130" s="280"/>
      <c r="I130" s="626">
        <f>+INDEX('Budget révisé'!$A$2:$AO$500,MATCH($A130,'Budget révisé'!$A$2:$A$500,0),MATCH(I$2,'Budget révisé'!$A$2:$AO$2,0))</f>
        <v>6895.8788384148238</v>
      </c>
      <c r="J130" s="282"/>
      <c r="K130" s="280"/>
      <c r="L130" s="627">
        <f>SUMIFS(BV_Data_An_Cour!$O:$O,BV_Data_An_Cour!$U:$U,$B130,BV_Data_An_Cour!$V:$V,$C130,BV_Data_An_Cour!$W:$W,$L$2)</f>
        <v>3383.99</v>
      </c>
      <c r="M130" s="282"/>
      <c r="N130" s="350">
        <f t="shared" si="79"/>
        <v>-3511.888838414824</v>
      </c>
      <c r="O130" s="282"/>
      <c r="P130" s="280"/>
      <c r="Q130" s="627">
        <f>SUMIFS(BV_Data_An_Prec!$O:$O,BV_Data_An_Prec!$U:$U,$B130,BV_Data_An_Prec!$V:$V,$C130,BV_Data_An_Prec!$W:$W,$L$2)</f>
        <v>6704.76</v>
      </c>
      <c r="R130" s="282"/>
      <c r="S130" s="284">
        <f t="shared" si="80"/>
        <v>-3320.7700000000004</v>
      </c>
      <c r="T130" s="216"/>
      <c r="U130" s="216"/>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
        <v>3090</v>
      </c>
      <c r="B131" s="24" t="s">
        <v>144</v>
      </c>
      <c r="C131" s="274" t="s">
        <v>118</v>
      </c>
      <c r="D131" s="256"/>
      <c r="E131" s="227"/>
      <c r="F131" s="225">
        <f>+INDEX('Budget original'!$A$2:$AO$500,MATCH($A131,'Budget original'!$A$2:$A$500,0),MATCH(F$2,'Budget original'!$A$2:$AO$2,0))</f>
        <v>5476.1390775647142</v>
      </c>
      <c r="G131" s="277"/>
      <c r="H131" s="227"/>
      <c r="I131" s="225">
        <f>+INDEX('Budget révisé'!$A$2:$AO$500,MATCH($A131,'Budget révisé'!$A$2:$A$500,0),MATCH(I$2,'Budget révisé'!$A$2:$AO$2,0))</f>
        <v>5476.1390775647142</v>
      </c>
      <c r="J131" s="221"/>
      <c r="K131" s="227"/>
      <c r="L131" s="275">
        <f>SUMIFS(BV_Data_An_Cour!$O:$O,BV_Data_An_Cour!$U:$U,$B131,BV_Data_An_Cour!$V:$V,$C131,BV_Data_An_Cour!$W:$W,$L$2)</f>
        <v>2494</v>
      </c>
      <c r="M131" s="221"/>
      <c r="N131" s="298">
        <f t="shared" si="79"/>
        <v>-2982.1390775647142</v>
      </c>
      <c r="O131" s="221"/>
      <c r="P131" s="227"/>
      <c r="Q131" s="275">
        <f>SUMIFS(BV_Data_An_Prec!$O:$O,BV_Data_An_Prec!$U:$U,$B131,BV_Data_An_Prec!$V:$V,$C131,BV_Data_An_Prec!$W:$W,$L$2)</f>
        <v>4805.08</v>
      </c>
      <c r="R131" s="221"/>
      <c r="S131" s="278">
        <f t="shared" si="80"/>
        <v>-2311.08</v>
      </c>
      <c r="T131" s="227"/>
      <c r="U131" s="227"/>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
        <v>3091</v>
      </c>
      <c r="B132" s="24" t="s">
        <v>144</v>
      </c>
      <c r="C132" s="274" t="s">
        <v>119</v>
      </c>
      <c r="D132" s="256"/>
      <c r="E132" s="227"/>
      <c r="F132" s="225">
        <f>+INDEX('Budget original'!$A$2:$AO$500,MATCH($A132,'Budget original'!$A$2:$A$500,0),MATCH(F$2,'Budget original'!$A$2:$AO$2,0))</f>
        <v>2231.0196241930316</v>
      </c>
      <c r="G132" s="277"/>
      <c r="H132" s="227"/>
      <c r="I132" s="225">
        <f>+INDEX('Budget révisé'!$A$2:$AO$500,MATCH($A132,'Budget révisé'!$A$2:$A$500,0),MATCH(I$2,'Budget révisé'!$A$2:$AO$2,0))</f>
        <v>2231.0196241930316</v>
      </c>
      <c r="J132" s="221"/>
      <c r="K132" s="227"/>
      <c r="L132" s="275">
        <f>SUMIFS(BV_Data_An_Cour!$O:$O,BV_Data_An_Cour!$U:$U,$B132,BV_Data_An_Cour!$V:$V,$C132,BV_Data_An_Cour!$W:$W,$L$2)</f>
        <v>892.82</v>
      </c>
      <c r="M132" s="221"/>
      <c r="N132" s="298">
        <f t="shared" si="79"/>
        <v>-1338.1996241930315</v>
      </c>
      <c r="O132" s="221"/>
      <c r="P132" s="227"/>
      <c r="Q132" s="275">
        <f>SUMIFS(BV_Data_An_Prec!$O:$O,BV_Data_An_Prec!$U:$U,$B132,BV_Data_An_Prec!$V:$V,$C132,BV_Data_An_Prec!$W:$W,$L$2)</f>
        <v>1117.46</v>
      </c>
      <c r="R132" s="221"/>
      <c r="S132" s="278">
        <f t="shared" si="80"/>
        <v>-224.64</v>
      </c>
      <c r="T132" s="227"/>
      <c r="U132" s="227"/>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
        <v>3082</v>
      </c>
      <c r="B133" s="24" t="s">
        <v>144</v>
      </c>
      <c r="C133" s="285" t="s">
        <v>42</v>
      </c>
      <c r="D133" s="286"/>
      <c r="E133" s="287"/>
      <c r="F133" s="225">
        <f>+INDEX('Budget original'!$A$2:$AO$500,MATCH($A133,'Budget original'!$A$2:$A$500,0),MATCH(F$2,'Budget original'!$A$2:$AO$2,0))</f>
        <v>0</v>
      </c>
      <c r="G133" s="288"/>
      <c r="H133" s="287"/>
      <c r="I133" s="225">
        <f>+INDEX('Budget révisé'!$A$2:$AO$500,MATCH($A133,'Budget révisé'!$A$2:$A$500,0),MATCH(I$2,'Budget révisé'!$A$2:$AO$2,0))</f>
        <v>0</v>
      </c>
      <c r="J133" s="289"/>
      <c r="K133" s="287"/>
      <c r="L133" s="275">
        <f>SUMIFS(BV_Data_An_Cour!$O:$O,BV_Data_An_Cour!$U:$U,$B133,BV_Data_An_Cour!$V:$V,$C133,BV_Data_An_Cour!$W:$W,$L$2)</f>
        <v>0</v>
      </c>
      <c r="M133" s="289"/>
      <c r="N133" s="190">
        <f t="shared" si="79"/>
        <v>0</v>
      </c>
      <c r="O133" s="289"/>
      <c r="P133" s="287"/>
      <c r="Q133" s="275">
        <f>SUMIFS(BV_Data_An_Prec!$O:$O,BV_Data_An_Prec!$U:$U,$B133,BV_Data_An_Prec!$V:$V,$C133,BV_Data_An_Prec!$W:$W,$L$2)</f>
        <v>0</v>
      </c>
      <c r="R133" s="289"/>
      <c r="S133" s="291">
        <f t="shared" si="80"/>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
        <v>3092</v>
      </c>
      <c r="B134" s="24" t="s">
        <v>144</v>
      </c>
      <c r="C134" s="292" t="s">
        <v>120</v>
      </c>
      <c r="D134" s="39" t="s">
        <v>111</v>
      </c>
      <c r="E134" s="40">
        <f>F134/F$107</f>
        <v>0.26922978655450264</v>
      </c>
      <c r="F134" s="41">
        <f>+SUM(F122:F133)</f>
        <v>40749.696690812001</v>
      </c>
      <c r="G134" s="42" t="s">
        <v>111</v>
      </c>
      <c r="H134" s="40">
        <f>I134/I$107</f>
        <v>0.26922978655450264</v>
      </c>
      <c r="I134" s="41">
        <f>+SUM(I122:I133)</f>
        <v>40749.696690812001</v>
      </c>
      <c r="J134" s="42" t="s">
        <v>111</v>
      </c>
      <c r="K134" s="40">
        <f>L134/L$107</f>
        <v>0.18982344319546965</v>
      </c>
      <c r="L134" s="41">
        <f>SUM(L122:L133)</f>
        <v>32313.360000000001</v>
      </c>
      <c r="M134" s="43"/>
      <c r="N134" s="46">
        <f t="shared" ref="N134:N147" si="83">L134-I134</f>
        <v>-8436.3366908120006</v>
      </c>
      <c r="O134" s="42" t="s">
        <v>111</v>
      </c>
      <c r="P134" s="40">
        <f>Q134/Q$107</f>
        <v>0.21034369647474638</v>
      </c>
      <c r="Q134" s="41">
        <f>SUM(Q122:Q133)</f>
        <v>33158.94</v>
      </c>
      <c r="R134" s="43"/>
      <c r="S134" s="293">
        <f t="shared" ref="S134:S147" si="84">L134-Q134</f>
        <v>-845.58000000000175</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
        <v>3093</v>
      </c>
      <c r="B135" s="24" t="s">
        <v>144</v>
      </c>
      <c r="C135" s="258" t="s">
        <v>121</v>
      </c>
      <c r="D135" s="295"/>
      <c r="E135" s="172"/>
      <c r="F135" s="173">
        <f>+INDEX('Budget original'!$A$2:$AO$500,MATCH($A135,'Budget original'!$A$2:$A$500,0),MATCH(F$2,'Budget original'!$A$2:$AO$2,0))</f>
        <v>0</v>
      </c>
      <c r="G135" s="296"/>
      <c r="H135" s="172"/>
      <c r="I135" s="173">
        <f>+INDEX('Budget révisé'!$A$2:$AO$500,MATCH($A135,'Budget révisé'!$A$2:$A$500,0),MATCH(I$2,'Budget révisé'!$A$2:$AO$2,0))</f>
        <v>0</v>
      </c>
      <c r="J135" s="297"/>
      <c r="K135" s="172"/>
      <c r="L135" s="275">
        <f>SUMIFS(BV_Data_An_Cour!$O:$O,BV_Data_An_Cour!$U:$U,$B135,BV_Data_An_Cour!$V:$V,$C135,BV_Data_An_Cour!$W:$W,$L$2)</f>
        <v>0</v>
      </c>
      <c r="M135" s="297"/>
      <c r="N135" s="298">
        <f t="shared" si="83"/>
        <v>0</v>
      </c>
      <c r="O135" s="297"/>
      <c r="P135" s="172"/>
      <c r="Q135" s="275">
        <f>SUMIFS(BV_Data_An_Prec!$O:$O,BV_Data_An_Prec!$U:$U,$B135,BV_Data_An_Prec!$V:$V,$C135,BV_Data_An_Prec!$W:$W,$L$2)</f>
        <v>0</v>
      </c>
      <c r="R135" s="297"/>
      <c r="S135" s="193">
        <f t="shared" si="84"/>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
        <v>3094</v>
      </c>
      <c r="B136" s="24" t="s">
        <v>144</v>
      </c>
      <c r="C136" s="258" t="s">
        <v>122</v>
      </c>
      <c r="D136" s="295"/>
      <c r="E136" s="172"/>
      <c r="F136" s="173">
        <f>+INDEX('Budget original'!$A$2:$AO$500,MATCH($A136,'Budget original'!$A$2:$A$500,0),MATCH(F$2,'Budget original'!$A$2:$AO$2,0))</f>
        <v>0</v>
      </c>
      <c r="G136" s="296"/>
      <c r="H136" s="172"/>
      <c r="I136" s="173">
        <f>+INDEX('Budget révisé'!$A$2:$AO$500,MATCH($A136,'Budget révisé'!$A$2:$A$500,0),MATCH(I$2,'Budget révisé'!$A$2:$AO$2,0))</f>
        <v>0</v>
      </c>
      <c r="J136" s="297"/>
      <c r="K136" s="172"/>
      <c r="L136" s="275">
        <f>SUMIFS(BV_Data_An_Cour!$O:$O,BV_Data_An_Cour!$U:$U,$B136,BV_Data_An_Cour!$V:$V,$C136,BV_Data_An_Cour!$W:$W,$L$2)</f>
        <v>0</v>
      </c>
      <c r="M136" s="297"/>
      <c r="N136" s="298">
        <f t="shared" si="83"/>
        <v>0</v>
      </c>
      <c r="O136" s="297"/>
      <c r="P136" s="172"/>
      <c r="Q136" s="174">
        <f>SUMIFS(BV_Data_An_Prec!$O:$O,BV_Data_An_Prec!$U:$U,$B136,BV_Data_An_Prec!$V:$V,$C136,BV_Data_An_Prec!$W:$W,$L$2)</f>
        <v>0</v>
      </c>
      <c r="R136" s="297"/>
      <c r="S136" s="193">
        <f t="shared" si="84"/>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
        <v>3095</v>
      </c>
      <c r="B137" s="24" t="s">
        <v>144</v>
      </c>
      <c r="C137" s="320" t="s">
        <v>123</v>
      </c>
      <c r="D137" s="301"/>
      <c r="E137" s="302"/>
      <c r="F137" s="171">
        <f>+INDEX('Budget original'!$A$2:$AO$500,MATCH($A137,'Budget original'!$A$2:$A$500,0),MATCH(F$2,'Budget original'!$A$2:$AO$2,0))</f>
        <v>125.03999999999999</v>
      </c>
      <c r="G137" s="303"/>
      <c r="H137" s="302"/>
      <c r="I137" s="171">
        <f>+INDEX('Budget révisé'!$A$2:$AO$500,MATCH($A137,'Budget révisé'!$A$2:$A$500,0),MATCH(I$2,'Budget révisé'!$A$2:$AO$2,0))</f>
        <v>125.03999999999999</v>
      </c>
      <c r="J137" s="304"/>
      <c r="K137" s="302"/>
      <c r="L137" s="238">
        <f>SUMIFS(BV_Data_An_Cour!$O:$O,BV_Data_An_Cour!$U:$U,$B137,BV_Data_An_Cour!$V:$V,$C137,BV_Data_An_Cour!$W:$W,$L$2)</f>
        <v>412.36</v>
      </c>
      <c r="M137" s="304"/>
      <c r="N137" s="305">
        <f t="shared" si="83"/>
        <v>287.32000000000005</v>
      </c>
      <c r="O137" s="304"/>
      <c r="P137" s="302"/>
      <c r="Q137" s="171">
        <f>SUMIFS(BV_Data_An_Prec!$O:$O,BV_Data_An_Prec!$U:$U,$B137,BV_Data_An_Prec!$V:$V,$C137,BV_Data_An_Prec!$W:$W,$L$2)</f>
        <v>-351.13</v>
      </c>
      <c r="R137" s="304"/>
      <c r="S137" s="196">
        <f t="shared" si="84"/>
        <v>763.49</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
        <v>3096</v>
      </c>
      <c r="B138" s="24" t="s">
        <v>144</v>
      </c>
      <c r="C138" s="258" t="s">
        <v>124</v>
      </c>
      <c r="D138" s="295"/>
      <c r="E138" s="172"/>
      <c r="F138" s="173">
        <f>+INDEX('Budget original'!$A$2:$AO$500,MATCH($A138,'Budget original'!$A$2:$A$500,0),MATCH(F$2,'Budget original'!$A$2:$AO$2,0))</f>
        <v>2428.3689099999997</v>
      </c>
      <c r="G138" s="296"/>
      <c r="H138" s="172"/>
      <c r="I138" s="173">
        <f>+INDEX('Budget révisé'!$A$2:$AO$500,MATCH($A138,'Budget révisé'!$A$2:$A$500,0),MATCH(I$2,'Budget révisé'!$A$2:$AO$2,0))</f>
        <v>2428.3689099999997</v>
      </c>
      <c r="J138" s="297"/>
      <c r="K138" s="172"/>
      <c r="L138" s="275">
        <f>SUMIFS(BV_Data_An_Cour!$O:$O,BV_Data_An_Cour!$U:$U,$B138,BV_Data_An_Cour!$V:$V,$C138,BV_Data_An_Cour!$W:$W,$L$2)</f>
        <v>2728.6</v>
      </c>
      <c r="M138" s="297"/>
      <c r="N138" s="298">
        <f t="shared" si="83"/>
        <v>300.23109000000022</v>
      </c>
      <c r="O138" s="297"/>
      <c r="P138" s="172"/>
      <c r="Q138" s="174">
        <f>SUMIFS(BV_Data_An_Prec!$O:$O,BV_Data_An_Prec!$U:$U,$B138,BV_Data_An_Prec!$V:$V,$C138,BV_Data_An_Prec!$W:$W,$L$2)</f>
        <v>1770.17</v>
      </c>
      <c r="R138" s="297"/>
      <c r="S138" s="193">
        <f t="shared" si="84"/>
        <v>958.42999999999984</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
        <v>3097</v>
      </c>
      <c r="B139" s="24" t="s">
        <v>144</v>
      </c>
      <c r="C139" s="258" t="s">
        <v>125</v>
      </c>
      <c r="D139" s="295"/>
      <c r="E139" s="172"/>
      <c r="F139" s="173">
        <f>+INDEX('Budget original'!$A$2:$AO$500,MATCH($A139,'Budget original'!$A$2:$A$500,0),MATCH(F$2,'Budget original'!$A$2:$AO$2,0))</f>
        <v>297.05317500000001</v>
      </c>
      <c r="G139" s="296"/>
      <c r="H139" s="172"/>
      <c r="I139" s="173">
        <f>+INDEX('Budget révisé'!$A$2:$AO$500,MATCH($A139,'Budget révisé'!$A$2:$A$500,0),MATCH(I$2,'Budget révisé'!$A$2:$AO$2,0))</f>
        <v>297.05317500000001</v>
      </c>
      <c r="J139" s="297"/>
      <c r="K139" s="172"/>
      <c r="L139" s="275">
        <f>SUMIFS(BV_Data_An_Cour!$O:$O,BV_Data_An_Cour!$U:$U,$B139,BV_Data_An_Cour!$V:$V,$C139,BV_Data_An_Cour!$W:$W,$L$2)</f>
        <v>441.76</v>
      </c>
      <c r="M139" s="297"/>
      <c r="N139" s="298">
        <f t="shared" si="83"/>
        <v>144.70682499999998</v>
      </c>
      <c r="O139" s="297"/>
      <c r="P139" s="172"/>
      <c r="Q139" s="174">
        <f>SUMIFS(BV_Data_An_Prec!$O:$O,BV_Data_An_Prec!$U:$U,$B139,BV_Data_An_Prec!$V:$V,$C139,BV_Data_An_Prec!$W:$W,$L$2)</f>
        <v>229.67</v>
      </c>
      <c r="R139" s="297"/>
      <c r="S139" s="193">
        <f t="shared" si="84"/>
        <v>212.09</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
        <v>3098</v>
      </c>
      <c r="B140" s="24" t="s">
        <v>144</v>
      </c>
      <c r="C140" s="320" t="s">
        <v>126</v>
      </c>
      <c r="D140" s="301"/>
      <c r="E140" s="302"/>
      <c r="F140" s="171">
        <f>+INDEX('Budget original'!$A$2:$AO$500,MATCH($A140,'Budget original'!$A$2:$A$500,0),MATCH(F$2,'Budget original'!$A$2:$AO$2,0))</f>
        <v>1441.3902666666663</v>
      </c>
      <c r="G140" s="303"/>
      <c r="H140" s="302"/>
      <c r="I140" s="171">
        <f>+INDEX('Budget révisé'!$A$2:$AO$500,MATCH($A140,'Budget révisé'!$A$2:$A$500,0),MATCH(I$2,'Budget révisé'!$A$2:$AO$2,0))</f>
        <v>1441.3902666666663</v>
      </c>
      <c r="J140" s="304"/>
      <c r="K140" s="302"/>
      <c r="L140" s="238">
        <f>SUMIFS(BV_Data_An_Cour!$O:$O,BV_Data_An_Cour!$U:$U,$B140,BV_Data_An_Cour!$V:$V,$C140,BV_Data_An_Cour!$W:$W,$L$2)</f>
        <v>616.32000000000005</v>
      </c>
      <c r="M140" s="304"/>
      <c r="N140" s="305">
        <f t="shared" si="83"/>
        <v>-825.07026666666627</v>
      </c>
      <c r="O140" s="304"/>
      <c r="P140" s="302"/>
      <c r="Q140" s="171">
        <f>SUMIFS(BV_Data_An_Prec!$O:$O,BV_Data_An_Prec!$U:$U,$B140,BV_Data_An_Prec!$V:$V,$C140,BV_Data_An_Prec!$W:$W,$L$2)</f>
        <v>1235.5</v>
      </c>
      <c r="R140" s="304"/>
      <c r="S140" s="196">
        <f t="shared" si="84"/>
        <v>-619.17999999999995</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
        <v>3099</v>
      </c>
      <c r="B141" s="24" t="s">
        <v>144</v>
      </c>
      <c r="C141" s="258" t="s">
        <v>127</v>
      </c>
      <c r="D141" s="295"/>
      <c r="E141" s="172"/>
      <c r="F141" s="173">
        <f>+INDEX('Budget original'!$A$2:$AO$500,MATCH($A141,'Budget original'!$A$2:$A$500,0),MATCH(F$2,'Budget original'!$A$2:$AO$2,0))</f>
        <v>107.68716037339154</v>
      </c>
      <c r="G141" s="296"/>
      <c r="H141" s="172"/>
      <c r="I141" s="173">
        <f>+INDEX('Budget révisé'!$A$2:$AO$500,MATCH($A141,'Budget révisé'!$A$2:$A$500,0),MATCH(I$2,'Budget révisé'!$A$2:$AO$2,0))</f>
        <v>107.68716037339154</v>
      </c>
      <c r="J141" s="297"/>
      <c r="K141" s="172"/>
      <c r="L141" s="275">
        <f>SUMIFS(BV_Data_An_Cour!$O:$O,BV_Data_An_Cour!$U:$U,$B141,BV_Data_An_Cour!$V:$V,$C141,BV_Data_An_Cour!$W:$W,$L$2)</f>
        <v>15.24</v>
      </c>
      <c r="M141" s="297"/>
      <c r="N141" s="298">
        <f t="shared" si="83"/>
        <v>-92.44716037339154</v>
      </c>
      <c r="O141" s="297"/>
      <c r="P141" s="172"/>
      <c r="Q141" s="174">
        <f>SUMIFS(BV_Data_An_Prec!$O:$O,BV_Data_An_Prec!$U:$U,$B141,BV_Data_An_Prec!$V:$V,$C141,BV_Data_An_Prec!$W:$W,$L$2)</f>
        <v>28.09</v>
      </c>
      <c r="R141" s="297"/>
      <c r="S141" s="193">
        <f t="shared" si="84"/>
        <v>-12.85</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
        <v>3100</v>
      </c>
      <c r="B142" s="24" t="s">
        <v>144</v>
      </c>
      <c r="C142" s="258" t="s">
        <v>128</v>
      </c>
      <c r="D142" s="295"/>
      <c r="E142" s="172"/>
      <c r="F142" s="173">
        <f>+INDEX('Budget original'!$A$2:$AO$500,MATCH($A142,'Budget original'!$A$2:$A$500,0),MATCH(F$2,'Budget original'!$A$2:$AO$2,0))</f>
        <v>57.222126165837054</v>
      </c>
      <c r="G142" s="296"/>
      <c r="H142" s="172"/>
      <c r="I142" s="173">
        <f>+INDEX('Budget révisé'!$A$2:$AO$500,MATCH($A142,'Budget révisé'!$A$2:$A$500,0),MATCH(I$2,'Budget révisé'!$A$2:$AO$2,0))</f>
        <v>57.222126165837054</v>
      </c>
      <c r="J142" s="297"/>
      <c r="K142" s="172"/>
      <c r="L142" s="275">
        <f>SUMIFS(BV_Data_An_Cour!$O:$O,BV_Data_An_Cour!$U:$U,$B142,BV_Data_An_Cour!$V:$V,$C142,BV_Data_An_Cour!$W:$W,$L$2)</f>
        <v>0</v>
      </c>
      <c r="M142" s="297"/>
      <c r="N142" s="298">
        <f t="shared" si="83"/>
        <v>-57.222126165837054</v>
      </c>
      <c r="O142" s="297"/>
      <c r="P142" s="172"/>
      <c r="Q142" s="174">
        <f>SUMIFS(BV_Data_An_Prec!$O:$O,BV_Data_An_Prec!$U:$U,$B142,BV_Data_An_Prec!$V:$V,$C142,BV_Data_An_Prec!$W:$W,$L$2)</f>
        <v>0</v>
      </c>
      <c r="R142" s="297"/>
      <c r="S142" s="193">
        <f t="shared" si="84"/>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
        <v>3101</v>
      </c>
      <c r="B143" s="24" t="s">
        <v>144</v>
      </c>
      <c r="C143" s="258" t="s">
        <v>129</v>
      </c>
      <c r="D143" s="295"/>
      <c r="E143" s="172"/>
      <c r="F143" s="173">
        <f>+INDEX('Budget original'!$A$2:$AO$500,MATCH($A143,'Budget original'!$A$2:$A$500,0),MATCH(F$2,'Budget original'!$A$2:$AO$2,0))</f>
        <v>244.82411999999999</v>
      </c>
      <c r="G143" s="296"/>
      <c r="H143" s="172"/>
      <c r="I143" s="173">
        <f>+INDEX('Budget révisé'!$A$2:$AO$500,MATCH($A143,'Budget révisé'!$A$2:$A$500,0),MATCH(I$2,'Budget révisé'!$A$2:$AO$2,0))</f>
        <v>244.82411999999999</v>
      </c>
      <c r="J143" s="297"/>
      <c r="K143" s="172"/>
      <c r="L143" s="958">
        <f>SUMIFS(BV_Data_An_Cour!$O:$O,BV_Data_An_Cour!$U:$U,$B143,BV_Data_An_Cour!$V:$V,$C143,BV_Data_An_Cour!$W:$W,$L$2)</f>
        <v>254.03</v>
      </c>
      <c r="M143" s="297"/>
      <c r="N143" s="298">
        <f t="shared" si="83"/>
        <v>9.2058800000000076</v>
      </c>
      <c r="O143" s="297"/>
      <c r="P143" s="172"/>
      <c r="Q143" s="548">
        <f>SUMIFS(BV_Data_An_Prec!$O:$O,BV_Data_An_Prec!$U:$U,$B143,BV_Data_An_Prec!$V:$V,$C143,BV_Data_An_Prec!$W:$W,$L$2)</f>
        <v>239.58</v>
      </c>
      <c r="R143" s="297"/>
      <c r="S143" s="193">
        <f t="shared" si="84"/>
        <v>14.449999999999989</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
        <v>3102</v>
      </c>
      <c r="B144" s="24" t="s">
        <v>144</v>
      </c>
      <c r="C144" s="258" t="s">
        <v>130</v>
      </c>
      <c r="D144" s="295"/>
      <c r="E144" s="172"/>
      <c r="F144" s="173">
        <f>+INDEX('Budget original'!$A$2:$AO$500,MATCH($A144,'Budget original'!$A$2:$A$500,0),MATCH(F$2,'Budget original'!$A$2:$AO$2,0))</f>
        <v>113.04919750000001</v>
      </c>
      <c r="G144" s="296"/>
      <c r="H144" s="172"/>
      <c r="I144" s="173">
        <f>+INDEX('Budget révisé'!$A$2:$AO$500,MATCH($A144,'Budget révisé'!$A$2:$A$500,0),MATCH(I$2,'Budget révisé'!$A$2:$AO$2,0))</f>
        <v>113.04919750000001</v>
      </c>
      <c r="J144" s="297"/>
      <c r="K144" s="172"/>
      <c r="L144" s="275">
        <f>SUMIFS(BV_Data_An_Cour!$O:$O,BV_Data_An_Cour!$U:$U,$B144,BV_Data_An_Cour!$V:$V,$C144,BV_Data_An_Cour!$W:$W,$L$2)</f>
        <v>47.52</v>
      </c>
      <c r="M144" s="297"/>
      <c r="N144" s="298">
        <f t="shared" si="83"/>
        <v>-65.529197500000009</v>
      </c>
      <c r="O144" s="297"/>
      <c r="P144" s="172"/>
      <c r="Q144" s="174">
        <f>SUMIFS(BV_Data_An_Prec!$O:$O,BV_Data_An_Prec!$U:$U,$B144,BV_Data_An_Prec!$V:$V,$C144,BV_Data_An_Prec!$W:$W,$L$2)</f>
        <v>48.54</v>
      </c>
      <c r="R144" s="297"/>
      <c r="S144" s="193">
        <f t="shared" si="84"/>
        <v>-1.019999999999996</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
        <v>3103</v>
      </c>
      <c r="B145" s="24" t="s">
        <v>144</v>
      </c>
      <c r="C145" s="258" t="s">
        <v>131</v>
      </c>
      <c r="D145" s="295"/>
      <c r="E145" s="172"/>
      <c r="F145" s="173">
        <f>+INDEX('Budget original'!$A$2:$AO$500,MATCH($A145,'Budget original'!$A$2:$A$500,0),MATCH(F$2,'Budget original'!$A$2:$AO$2,0))</f>
        <v>60.343902499999984</v>
      </c>
      <c r="G145" s="296"/>
      <c r="H145" s="172"/>
      <c r="I145" s="173">
        <f>+INDEX('Budget révisé'!$A$2:$AO$500,MATCH($A145,'Budget révisé'!$A$2:$A$500,0),MATCH(I$2,'Budget révisé'!$A$2:$AO$2,0))</f>
        <v>60.343902499999984</v>
      </c>
      <c r="J145" s="297"/>
      <c r="K145" s="172"/>
      <c r="L145" s="275">
        <f>SUMIFS(BV_Data_An_Cour!$O:$O,BV_Data_An_Cour!$U:$U,$B145,BV_Data_An_Cour!$V:$V,$C145,BV_Data_An_Cour!$W:$W,$L$2)</f>
        <v>60.88</v>
      </c>
      <c r="M145" s="297"/>
      <c r="N145" s="298">
        <f t="shared" si="83"/>
        <v>0.5360975000000181</v>
      </c>
      <c r="O145" s="297"/>
      <c r="P145" s="172"/>
      <c r="Q145" s="174">
        <f>SUMIFS(BV_Data_An_Prec!$O:$O,BV_Data_An_Prec!$U:$U,$B145,BV_Data_An_Prec!$V:$V,$C145,BV_Data_An_Prec!$W:$W,$L$2)</f>
        <v>57.32</v>
      </c>
      <c r="R145" s="297"/>
      <c r="S145" s="193">
        <f t="shared" si="84"/>
        <v>3.5600000000000023</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
        <v>3104</v>
      </c>
      <c r="B146" s="24" t="s">
        <v>144</v>
      </c>
      <c r="C146" s="258" t="s">
        <v>132</v>
      </c>
      <c r="D146" s="295"/>
      <c r="E146" s="172"/>
      <c r="F146" s="173">
        <f>+INDEX('Budget original'!$A$2:$AO$500,MATCH($A146,'Budget original'!$A$2:$A$500,0),MATCH(F$2,'Budget original'!$A$2:$AO$2,0))</f>
        <v>291.0875974999999</v>
      </c>
      <c r="G146" s="296"/>
      <c r="H146" s="172"/>
      <c r="I146" s="173">
        <f>+INDEX('Budget révisé'!$A$2:$AO$500,MATCH($A146,'Budget révisé'!$A$2:$A$500,0),MATCH(I$2,'Budget révisé'!$A$2:$AO$2,0))</f>
        <v>291.0875974999999</v>
      </c>
      <c r="J146" s="297"/>
      <c r="K146" s="172"/>
      <c r="L146" s="275">
        <f>SUMIFS(BV_Data_An_Cour!$O:$O,BV_Data_An_Cour!$U:$U,$B146,BV_Data_An_Cour!$V:$V,$C146,BV_Data_An_Cour!$W:$W,$L$2)</f>
        <v>100.35</v>
      </c>
      <c r="M146" s="297"/>
      <c r="N146" s="298">
        <f t="shared" si="83"/>
        <v>-190.73759749999991</v>
      </c>
      <c r="O146" s="297"/>
      <c r="P146" s="172"/>
      <c r="Q146" s="174">
        <f>SUMIFS(BV_Data_An_Prec!$O:$O,BV_Data_An_Prec!$U:$U,$B146,BV_Data_An_Prec!$V:$V,$C146,BV_Data_An_Prec!$W:$W,$L$2)</f>
        <v>449.41</v>
      </c>
      <c r="R146" s="297"/>
      <c r="S146" s="193">
        <f t="shared" si="84"/>
        <v>-349.06000000000006</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
        <v>3105</v>
      </c>
      <c r="B147" s="24" t="s">
        <v>144</v>
      </c>
      <c r="C147" s="258" t="s">
        <v>133</v>
      </c>
      <c r="D147" s="295"/>
      <c r="E147" s="172"/>
      <c r="F147" s="173">
        <f>+INDEX('Budget original'!$A$2:$AO$500,MATCH($A147,'Budget original'!$A$2:$A$500,0),MATCH(F$2,'Budget original'!$A$2:$AO$2,0))</f>
        <v>432.47109999999998</v>
      </c>
      <c r="G147" s="296"/>
      <c r="H147" s="172"/>
      <c r="I147" s="173">
        <f>+INDEX('Budget révisé'!$A$2:$AO$500,MATCH($A147,'Budget révisé'!$A$2:$A$500,0),MATCH(I$2,'Budget révisé'!$A$2:$AO$2,0))</f>
        <v>432.47109999999998</v>
      </c>
      <c r="J147" s="297"/>
      <c r="K147" s="172"/>
      <c r="L147" s="275">
        <f>SUMIFS(BV_Data_An_Cour!$O:$O,BV_Data_An_Cour!$U:$U,$B147,BV_Data_An_Cour!$V:$V,$C147,BV_Data_An_Cour!$W:$W,$L$2)</f>
        <v>38.28</v>
      </c>
      <c r="M147" s="297"/>
      <c r="N147" s="298">
        <f t="shared" si="83"/>
        <v>-394.19110000000001</v>
      </c>
      <c r="O147" s="297"/>
      <c r="P147" s="172"/>
      <c r="Q147" s="174">
        <f>SUMIFS(BV_Data_An_Prec!$O:$O,BV_Data_An_Prec!$U:$U,$B147,BV_Data_An_Prec!$V:$V,$C147,BV_Data_An_Prec!$W:$W,$L$2)</f>
        <v>130.62</v>
      </c>
      <c r="R147" s="297"/>
      <c r="S147" s="193">
        <f t="shared" si="84"/>
        <v>-92.34</v>
      </c>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s="564" customFormat="1" ht="15.75" customHeight="1">
      <c r="A148" s="564" t="s">
        <v>3106</v>
      </c>
      <c r="B148" s="24" t="s">
        <v>144</v>
      </c>
      <c r="C148" s="258" t="s">
        <v>134</v>
      </c>
      <c r="D148" s="295"/>
      <c r="E148" s="172"/>
      <c r="F148" s="173">
        <f>+INDEX('Budget original'!$A$2:$AO$500,MATCH($A148,'Budget original'!$A$2:$A$500,0),MATCH(F$2,'Budget original'!$A$2:$AO$2,0))</f>
        <v>1150.0620562818558</v>
      </c>
      <c r="G148" s="296"/>
      <c r="H148" s="172"/>
      <c r="I148" s="173">
        <f>+INDEX('Budget révisé'!$A$2:$AO$500,MATCH($A148,'Budget révisé'!$A$2:$A$500,0),MATCH(I$2,'Budget révisé'!$A$2:$AO$2,0))</f>
        <v>1150.0620562818558</v>
      </c>
      <c r="J148" s="297"/>
      <c r="K148" s="172"/>
      <c r="L148" s="275">
        <f>AF447*W4</f>
        <v>945.7700000000001</v>
      </c>
      <c r="M148" s="297"/>
      <c r="N148" s="298">
        <f t="shared" ref="N148:N151" si="85">L148-I148</f>
        <v>-204.29205628185571</v>
      </c>
      <c r="O148" s="297"/>
      <c r="P148" s="172"/>
      <c r="Q148" s="275">
        <f>AL447*W4</f>
        <v>689.52100000000007</v>
      </c>
      <c r="R148" s="297"/>
      <c r="S148" s="193">
        <f t="shared" ref="S148:S151" si="86">L148-Q148</f>
        <v>256.24900000000002</v>
      </c>
      <c r="T148" s="223"/>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s="564" customFormat="1" ht="15.75" hidden="1" customHeight="1">
      <c r="A149" s="564" t="s">
        <v>3082</v>
      </c>
      <c r="B149" s="24" t="s">
        <v>144</v>
      </c>
      <c r="C149" s="258" t="s">
        <v>42</v>
      </c>
      <c r="D149" s="295"/>
      <c r="E149" s="172"/>
      <c r="F149" s="173">
        <f>+INDEX('Budget original'!$A$2:$AO$500,MATCH($A149,'Budget original'!$A$2:$A$500,0),MATCH(F$2,'Budget original'!$A$2:$AO$2,0))</f>
        <v>0</v>
      </c>
      <c r="G149" s="296"/>
      <c r="H149" s="172"/>
      <c r="I149" s="173">
        <f>+INDEX('Budget révisé'!$A$2:$AO$500,MATCH($A149,'Budget révisé'!$A$2:$A$500,0),MATCH(I$2,'Budget révisé'!$A$2:$AO$2,0))</f>
        <v>0</v>
      </c>
      <c r="J149" s="297"/>
      <c r="K149" s="172"/>
      <c r="L149" s="174">
        <f>SUMIFS(BV_Data_An_Cour!$O:$O,BV_Data_An_Cour!$U:$U,$B149,BV_Data_An_Cour!$V:$V,$C149,BV_Data_An_Cour!$W:$W,$L$2)</f>
        <v>0</v>
      </c>
      <c r="M149" s="297"/>
      <c r="N149" s="298">
        <f t="shared" si="85"/>
        <v>0</v>
      </c>
      <c r="O149" s="297"/>
      <c r="P149" s="172"/>
      <c r="Q149" s="174">
        <f>SUMIFS(BV_Data_An_Prec!$O:$O,BV_Data_An_Prec!$U:$U,$B149,BV_Data_An_Prec!$V:$V,$C149,BV_Data_An_Prec!$W:$W,$L$2)</f>
        <v>0</v>
      </c>
      <c r="R149" s="297"/>
      <c r="S149" s="193">
        <f t="shared" si="86"/>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s="564" customFormat="1" ht="15.75" hidden="1" customHeight="1">
      <c r="A150" s="564" t="s">
        <v>3082</v>
      </c>
      <c r="B150" s="24" t="s">
        <v>144</v>
      </c>
      <c r="C150" s="258" t="s">
        <v>42</v>
      </c>
      <c r="D150" s="295"/>
      <c r="E150" s="172"/>
      <c r="F150" s="173">
        <f>+INDEX('Budget original'!$A$2:$AO$500,MATCH($A150,'Budget original'!$A$2:$A$500,0),MATCH(F$2,'Budget original'!$A$2:$AO$2,0))</f>
        <v>0</v>
      </c>
      <c r="G150" s="296"/>
      <c r="H150" s="172"/>
      <c r="I150" s="173">
        <f>+INDEX('Budget révisé'!$A$2:$AO$500,MATCH($A150,'Budget révisé'!$A$2:$A$500,0),MATCH(I$2,'Budget révisé'!$A$2:$AO$2,0))</f>
        <v>0</v>
      </c>
      <c r="J150" s="297"/>
      <c r="K150" s="172"/>
      <c r="L150" s="174">
        <f>SUMIFS(BV_Data_An_Cour!$O:$O,BV_Data_An_Cour!$U:$U,$B150,BV_Data_An_Cour!$V:$V,$C150,BV_Data_An_Cour!$W:$W,$L$2)</f>
        <v>0</v>
      </c>
      <c r="M150" s="297"/>
      <c r="N150" s="298">
        <f t="shared" si="85"/>
        <v>0</v>
      </c>
      <c r="O150" s="297"/>
      <c r="P150" s="172"/>
      <c r="Q150" s="174">
        <f>SUMIFS(BV_Data_An_Prec!$O:$O,BV_Data_An_Prec!$U:$U,$B150,BV_Data_An_Prec!$V:$V,$C150,BV_Data_An_Prec!$W:$W,$L$2)</f>
        <v>0</v>
      </c>
      <c r="R150" s="297"/>
      <c r="S150" s="193">
        <f t="shared" si="86"/>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
        <v>3082</v>
      </c>
      <c r="B151" s="24" t="s">
        <v>144</v>
      </c>
      <c r="C151" s="258" t="s">
        <v>42</v>
      </c>
      <c r="D151" s="295"/>
      <c r="E151" s="172"/>
      <c r="F151" s="173">
        <f>+INDEX('Budget original'!$A$2:$AO$500,MATCH($A151,'Budget original'!$A$2:$A$500,0),MATCH(F$2,'Budget original'!$A$2:$AO$2,0))</f>
        <v>0</v>
      </c>
      <c r="G151" s="296"/>
      <c r="H151" s="172"/>
      <c r="I151" s="173">
        <f>+INDEX('Budget révisé'!$A$2:$AO$500,MATCH($A151,'Budget révisé'!$A$2:$A$500,0),MATCH(I$2,'Budget révisé'!$A$2:$AO$2,0))</f>
        <v>0</v>
      </c>
      <c r="J151" s="297"/>
      <c r="K151" s="172"/>
      <c r="L151" s="174">
        <f>SUMIFS(BV_Data_An_Cour!$O:$O,BV_Data_An_Cour!$U:$U,$B151,BV_Data_An_Cour!$V:$V,$C151,BV_Data_An_Cour!$W:$W,$L$2)</f>
        <v>0</v>
      </c>
      <c r="M151" s="297"/>
      <c r="N151" s="298">
        <f t="shared" si="85"/>
        <v>0</v>
      </c>
      <c r="O151" s="297"/>
      <c r="P151" s="172"/>
      <c r="Q151" s="174">
        <f>SUMIFS(BV_Data_An_Prec!$O:$O,BV_Data_An_Prec!$U:$U,$B151,BV_Data_An_Prec!$V:$V,$C151,BV_Data_An_Prec!$W:$W,$L$2)</f>
        <v>0</v>
      </c>
      <c r="R151" s="297"/>
      <c r="S151" s="193">
        <f t="shared" si="86"/>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
        <v>3107</v>
      </c>
      <c r="B152" s="24" t="s">
        <v>144</v>
      </c>
      <c r="C152" s="292" t="s">
        <v>135</v>
      </c>
      <c r="D152" s="39" t="s">
        <v>111</v>
      </c>
      <c r="E152" s="40">
        <f>F152/F$107</f>
        <v>4.4587424708045269E-2</v>
      </c>
      <c r="F152" s="41">
        <f>+SUM(F135:F151)</f>
        <v>6748.5996119877509</v>
      </c>
      <c r="G152" s="42" t="s">
        <v>111</v>
      </c>
      <c r="H152" s="40">
        <f>I152/I$107</f>
        <v>4.4587424708045269E-2</v>
      </c>
      <c r="I152" s="41">
        <f>+SUM(I135:I151)</f>
        <v>6748.5996119877509</v>
      </c>
      <c r="J152" s="42" t="s">
        <v>111</v>
      </c>
      <c r="K152" s="40">
        <f>L152/L$107</f>
        <v>3.3255947153385021E-2</v>
      </c>
      <c r="L152" s="41">
        <f>+SUM(L135:L151)</f>
        <v>5661.1100000000006</v>
      </c>
      <c r="M152" s="44"/>
      <c r="N152" s="41">
        <f t="shared" ref="N152" si="87">L152-I152</f>
        <v>-1087.4896119877503</v>
      </c>
      <c r="O152" s="42" t="s">
        <v>111</v>
      </c>
      <c r="P152" s="40">
        <f>Q152/Q$107</f>
        <v>2.871886507701546E-2</v>
      </c>
      <c r="Q152" s="41">
        <f>+SUM(Q135:Q151)</f>
        <v>4527.2910000000002</v>
      </c>
      <c r="R152" s="44"/>
      <c r="S152" s="310">
        <f t="shared" ref="S152" si="88">L152-Q152</f>
        <v>1133.8190000000004</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
        <v>144</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
        <v>3108</v>
      </c>
      <c r="B154" s="24" t="s">
        <v>144</v>
      </c>
      <c r="C154" s="292" t="s">
        <v>136</v>
      </c>
      <c r="D154" s="39" t="s">
        <v>111</v>
      </c>
      <c r="E154" s="40">
        <f>F154/F$107</f>
        <v>0.70526705227643771</v>
      </c>
      <c r="F154" s="41">
        <f>F121+F134+F152</f>
        <v>106746.80106567593</v>
      </c>
      <c r="G154" s="42" t="s">
        <v>111</v>
      </c>
      <c r="H154" s="40">
        <f>I154/I$107</f>
        <v>0.70526705227643771</v>
      </c>
      <c r="I154" s="41">
        <f>I121+I134+I152</f>
        <v>106746.80106567593</v>
      </c>
      <c r="J154" s="42" t="s">
        <v>111</v>
      </c>
      <c r="K154" s="40">
        <f>L154/L$107</f>
        <v>0.6557254513785884</v>
      </c>
      <c r="L154" s="41">
        <f>L121+L134+L152</f>
        <v>111623.16000000002</v>
      </c>
      <c r="M154" s="44"/>
      <c r="N154" s="46">
        <f>L154-I154</f>
        <v>4876.3589343240892</v>
      </c>
      <c r="O154" s="42" t="s">
        <v>111</v>
      </c>
      <c r="P154" s="40">
        <f>Q154/Q$107</f>
        <v>0.5650420881630881</v>
      </c>
      <c r="Q154" s="41">
        <f>Q121+Q134+Q152</f>
        <v>89074.201000000001</v>
      </c>
      <c r="R154" s="44"/>
      <c r="S154" s="293">
        <f>L154-Q154</f>
        <v>22548.959000000017</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
        <v>3109</v>
      </c>
      <c r="B155" s="24" t="s">
        <v>144</v>
      </c>
      <c r="C155" s="258" t="s">
        <v>152</v>
      </c>
      <c r="D155" s="408"/>
      <c r="E155" s="409"/>
      <c r="F155" s="173">
        <f>+INDEX('Budget original'!$A$2:$AO$500,MATCH($A155,'Budget original'!$A$2:$A$500,0),MATCH(F$2,'Budget original'!$A$2:$AO$2,0))</f>
        <v>0</v>
      </c>
      <c r="G155" s="410"/>
      <c r="H155" s="409"/>
      <c r="I155" s="173">
        <f>+INDEX('Budget révisé'!$A$2:$AO$500,MATCH($A155,'Budget révisé'!$A$2:$A$500,0),MATCH(I$2,'Budget révisé'!$A$2:$AO$2,0))</f>
        <v>0</v>
      </c>
      <c r="J155" s="410"/>
      <c r="K155" s="959"/>
      <c r="L155" s="958">
        <v>0</v>
      </c>
      <c r="M155" s="297"/>
      <c r="N155" s="298">
        <f t="shared" ref="N155:N157" si="89">L155-I155</f>
        <v>0</v>
      </c>
      <c r="O155" s="410"/>
      <c r="P155" s="409"/>
      <c r="Q155" s="174">
        <f>-SUMIFS(BV_Data_An_Prec!$O:$O,BV_Data_An_Prec!$U:$U,$B155,BV_Data_An_Prec!$V:$V,$C155,BV_Data_An_Prec!$W:$W,$L$2)</f>
        <v>0</v>
      </c>
      <c r="R155" s="297"/>
      <c r="S155" s="193">
        <f t="shared" ref="S155:S157" si="90">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
        <v>3110</v>
      </c>
      <c r="B156" s="24" t="s">
        <v>144</v>
      </c>
      <c r="C156" s="258" t="s">
        <v>153</v>
      </c>
      <c r="D156" s="408"/>
      <c r="E156" s="409"/>
      <c r="F156" s="173">
        <f>+INDEX('Budget original'!$A$2:$AO$500,MATCH($A156,'Budget original'!$A$2:$A$500,0),MATCH(F$2,'Budget original'!$A$2:$AO$2,0))</f>
        <v>0</v>
      </c>
      <c r="G156" s="410"/>
      <c r="H156" s="409"/>
      <c r="I156" s="173">
        <f>+INDEX('Budget révisé'!$A$2:$AO$500,MATCH($A156,'Budget révisé'!$A$2:$A$500,0),MATCH(I$2,'Budget révisé'!$A$2:$AO$2,0))</f>
        <v>0</v>
      </c>
      <c r="J156" s="410"/>
      <c r="K156" s="959"/>
      <c r="L156" s="275">
        <f>-SUMIFS(BV_Data_An_Cour!$O:$O,BV_Data_An_Cour!$U:$U,$B156,BV_Data_An_Cour!$V:$V,$C156,BV_Data_An_Cour!$W:$W,$L$2)</f>
        <v>0</v>
      </c>
      <c r="M156" s="297"/>
      <c r="N156" s="298">
        <f t="shared" si="89"/>
        <v>0</v>
      </c>
      <c r="O156" s="410"/>
      <c r="P156" s="409"/>
      <c r="Q156" s="174">
        <f>-SUMIFS(BV_Data_An_Prec!$O:$O,BV_Data_An_Prec!$U:$U,$B156,BV_Data_An_Prec!$V:$V,$C156,BV_Data_An_Prec!$W:$W,$L$2)</f>
        <v>0</v>
      </c>
      <c r="R156" s="297"/>
      <c r="S156" s="193">
        <f t="shared" si="90"/>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
        <v>3111</v>
      </c>
      <c r="B157" s="24" t="s">
        <v>144</v>
      </c>
      <c r="C157" s="258" t="s">
        <v>154</v>
      </c>
      <c r="D157" s="295"/>
      <c r="E157" s="172"/>
      <c r="F157" s="173">
        <f>+INDEX('Budget original'!$A$2:$AO$500,MATCH($A157,'Budget original'!$A$2:$A$500,0),MATCH(F$2,'Budget original'!$A$2:$AO$2,0))</f>
        <v>0</v>
      </c>
      <c r="G157" s="296"/>
      <c r="H157" s="172"/>
      <c r="I157" s="173">
        <f>+INDEX('Budget révisé'!$A$2:$AO$500,MATCH($A157,'Budget révisé'!$A$2:$A$500,0),MATCH(I$2,'Budget révisé'!$A$2:$AO$2,0))</f>
        <v>0</v>
      </c>
      <c r="J157" s="297"/>
      <c r="K157" s="227"/>
      <c r="L157" s="275">
        <f>-SUMIFS(BV_Data_An_Cour!$O:$O,BV_Data_An_Cour!$U:$U,$B157,BV_Data_An_Cour!$V:$V,$C157,BV_Data_An_Cour!$W:$W,$L$2)</f>
        <v>0</v>
      </c>
      <c r="M157" s="297"/>
      <c r="N157" s="298">
        <f t="shared" si="89"/>
        <v>0</v>
      </c>
      <c r="O157" s="297"/>
      <c r="P157" s="172"/>
      <c r="Q157" s="174">
        <f>-SUMIFS(BV_Data_An_Prec!$O:$O,BV_Data_An_Prec!$U:$U,$B157,BV_Data_An_Prec!$V:$V,$C157,BV_Data_An_Prec!$W:$W,$L$2)</f>
        <v>0</v>
      </c>
      <c r="R157" s="297"/>
      <c r="S157" s="193">
        <f t="shared" si="90"/>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s="564" customFormat="1" ht="15.75" customHeight="1">
      <c r="A158" s="564" t="s">
        <v>3112</v>
      </c>
      <c r="B158" s="24" t="s">
        <v>144</v>
      </c>
      <c r="C158" s="258" t="s">
        <v>141</v>
      </c>
      <c r="D158" s="295"/>
      <c r="E158" s="172"/>
      <c r="F158" s="173">
        <f>+INDEX('Budget original'!$A$2:$AO$500,MATCH($A158,'Budget original'!$A$2:$A$500,0),MATCH(F$2,'Budget original'!$A$2:$AO$2,0))</f>
        <v>16386.11650485437</v>
      </c>
      <c r="G158" s="296"/>
      <c r="H158" s="172"/>
      <c r="I158" s="173">
        <f>+INDEX('Budget révisé'!$A$2:$AO$500,MATCH($A158,'Budget révisé'!$A$2:$A$500,0),MATCH(I$2,'Budget révisé'!$A$2:$AO$2,0))</f>
        <v>16386.11650485437</v>
      </c>
      <c r="J158" s="1339">
        <f>L158/399</f>
        <v>27.989974937343359</v>
      </c>
      <c r="K158" s="618">
        <f>J158/J96</f>
        <v>0.87468671679197996</v>
      </c>
      <c r="L158" s="958">
        <f>349*J96</f>
        <v>11168</v>
      </c>
      <c r="M158" s="297"/>
      <c r="N158" s="298">
        <f t="shared" ref="N158" si="91">L158-I158</f>
        <v>-5218.1165048543699</v>
      </c>
      <c r="O158" s="297"/>
      <c r="P158" s="172"/>
      <c r="Q158" s="174">
        <f>349*O96</f>
        <v>13611</v>
      </c>
      <c r="R158" s="297"/>
      <c r="S158" s="193">
        <f t="shared" ref="S158" si="92">L158-Q158</f>
        <v>-2443</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s="564" customFormat="1" ht="15.75" hidden="1" customHeight="1">
      <c r="A159" s="564" t="s">
        <v>3082</v>
      </c>
      <c r="B159" s="24" t="s">
        <v>144</v>
      </c>
      <c r="C159" s="258" t="s">
        <v>42</v>
      </c>
      <c r="D159" s="295"/>
      <c r="E159" s="172"/>
      <c r="F159" s="173">
        <f>+INDEX('Budget original'!$A$2:$AO$500,MATCH($A159,'Budget original'!$A$2:$A$500,0),MATCH(F$2,'Budget original'!$A$2:$AO$2,0))</f>
        <v>0</v>
      </c>
      <c r="G159" s="296"/>
      <c r="H159" s="172"/>
      <c r="I159" s="173">
        <f>+INDEX('Budget révisé'!$A$2:$AO$500,MATCH($A159,'Budget révisé'!$A$2:$A$500,0),MATCH(I$2,'Budget révisé'!$A$2:$AO$2,0))</f>
        <v>0</v>
      </c>
      <c r="J159" s="297"/>
      <c r="K159" s="227"/>
      <c r="L159" s="958">
        <f>-SUMIFS(BV_Data_An_Cour!$O:$O,BV_Data_An_Cour!$U:$U,$B159,BV_Data_An_Cour!$V:$V,$C159,BV_Data_An_Cour!$W:$W,$L$2)</f>
        <v>0</v>
      </c>
      <c r="M159" s="297"/>
      <c r="N159" s="298">
        <f t="shared" ref="N159:N161" si="93">L159-I159</f>
        <v>0</v>
      </c>
      <c r="O159" s="297"/>
      <c r="P159" s="172"/>
      <c r="Q159" s="174">
        <f>-SUMIFS(BV_Data_An_Prec!$O:$O,BV_Data_An_Prec!$U:$U,$B159,BV_Data_An_Prec!$V:$V,$C159,BV_Data_An_Prec!$W:$W,$L$2)</f>
        <v>0</v>
      </c>
      <c r="R159" s="297"/>
      <c r="S159" s="193">
        <f t="shared" ref="S159:S161" si="94">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s="564" customFormat="1" ht="15.75" hidden="1" customHeight="1">
      <c r="A160" s="564" t="s">
        <v>3082</v>
      </c>
      <c r="B160" s="24" t="s">
        <v>144</v>
      </c>
      <c r="C160" s="258" t="s">
        <v>42</v>
      </c>
      <c r="D160" s="295"/>
      <c r="E160" s="172"/>
      <c r="F160" s="173">
        <f>+INDEX('Budget original'!$A$2:$AO$500,MATCH($A160,'Budget original'!$A$2:$A$500,0),MATCH(F$2,'Budget original'!$A$2:$AO$2,0))</f>
        <v>0</v>
      </c>
      <c r="G160" s="296"/>
      <c r="H160" s="172"/>
      <c r="I160" s="173">
        <f>+INDEX('Budget révisé'!$A$2:$AO$500,MATCH($A160,'Budget révisé'!$A$2:$A$500,0),MATCH(I$2,'Budget révisé'!$A$2:$AO$2,0))</f>
        <v>0</v>
      </c>
      <c r="J160" s="297"/>
      <c r="K160" s="172"/>
      <c r="L160" s="548">
        <f>-SUMIFS(BV_Data_An_Cour!$O:$O,BV_Data_An_Cour!$U:$U,$B160,BV_Data_An_Cour!$V:$V,$C160,BV_Data_An_Cour!$W:$W,$L$2)</f>
        <v>0</v>
      </c>
      <c r="M160" s="297"/>
      <c r="N160" s="298">
        <f t="shared" si="93"/>
        <v>0</v>
      </c>
      <c r="O160" s="297"/>
      <c r="P160" s="172"/>
      <c r="Q160" s="174">
        <f>-SUMIFS(BV_Data_An_Prec!$O:$O,BV_Data_An_Prec!$U:$U,$B160,BV_Data_An_Prec!$V:$V,$C160,BV_Data_An_Prec!$W:$W,$L$2)</f>
        <v>0</v>
      </c>
      <c r="R160" s="297"/>
      <c r="S160" s="193">
        <f t="shared" si="94"/>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
        <v>3082</v>
      </c>
      <c r="B161" s="24" t="s">
        <v>144</v>
      </c>
      <c r="C161" s="320" t="s">
        <v>42</v>
      </c>
      <c r="D161" s="301"/>
      <c r="E161" s="302"/>
      <c r="F161" s="173">
        <f>+INDEX('Budget original'!$A$2:$AO$500,MATCH($A161,'Budget original'!$A$2:$A$500,0),MATCH(F$2,'Budget original'!$A$2:$AO$2,0))</f>
        <v>0</v>
      </c>
      <c r="G161" s="296"/>
      <c r="H161" s="172"/>
      <c r="I161" s="173">
        <f>+INDEX('Budget révisé'!$A$2:$AO$500,MATCH($A161,'Budget révisé'!$A$2:$A$500,0),MATCH(I$2,'Budget révisé'!$A$2:$AO$2,0))</f>
        <v>0</v>
      </c>
      <c r="J161" s="297"/>
      <c r="K161" s="172"/>
      <c r="L161" s="548">
        <f>-SUMIFS(BV_Data_An_Cour!$O:$O,BV_Data_An_Cour!$U:$U,$B161,BV_Data_An_Cour!$V:$V,$C161,BV_Data_An_Cour!$W:$W,$L$2)</f>
        <v>0</v>
      </c>
      <c r="M161" s="297"/>
      <c r="N161" s="298">
        <f t="shared" si="93"/>
        <v>0</v>
      </c>
      <c r="O161" s="297"/>
      <c r="P161" s="172"/>
      <c r="Q161" s="174">
        <f>-SUMIFS(BV_Data_An_Prec!$O:$O,BV_Data_An_Prec!$U:$U,$B161,BV_Data_An_Prec!$V:$V,$C161,BV_Data_An_Prec!$W:$W,$L$2)</f>
        <v>0</v>
      </c>
      <c r="R161" s="297"/>
      <c r="S161" s="193">
        <f t="shared" si="94"/>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16386.11650485437</v>
      </c>
      <c r="G162" s="42"/>
      <c r="H162" s="40"/>
      <c r="I162" s="41">
        <f>+SUM(I155:I161)</f>
        <v>16386.11650485437</v>
      </c>
      <c r="J162" s="42"/>
      <c r="K162" s="40"/>
      <c r="L162" s="41">
        <f>+SUM(L155:L161)</f>
        <v>11168</v>
      </c>
      <c r="M162" s="44"/>
      <c r="N162" s="41">
        <f>SUM(N157:N157)</f>
        <v>0</v>
      </c>
      <c r="O162" s="42"/>
      <c r="P162" s="40"/>
      <c r="Q162" s="41">
        <f>+SUM(Q155:Q161)</f>
        <v>13611</v>
      </c>
      <c r="R162" s="44"/>
      <c r="S162" s="310">
        <f>+SUM(S155:S161)</f>
        <v>-2443</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60995.884161795118</v>
      </c>
      <c r="G164" s="338"/>
      <c r="H164" s="336"/>
      <c r="I164" s="337">
        <f>I107-I154+I162</f>
        <v>60995.884161795118</v>
      </c>
      <c r="J164" s="339"/>
      <c r="K164" s="340"/>
      <c r="L164" s="337">
        <f>L107-L154+L162</f>
        <v>69773.339999999953</v>
      </c>
      <c r="M164" s="339"/>
      <c r="N164" s="337">
        <f>L164-I164</f>
        <v>8777.4558382048344</v>
      </c>
      <c r="O164" s="339"/>
      <c r="P164" s="340"/>
      <c r="Q164" s="337">
        <f>Q107-Q154+Q162</f>
        <v>82178.509000000049</v>
      </c>
      <c r="R164" s="339"/>
      <c r="S164" s="341">
        <f>L164-Q164</f>
        <v>-12405.169000000096</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1192" t="str">
        <f>C1</f>
        <v>Volks</v>
      </c>
      <c r="D167" s="19"/>
      <c r="E167" s="19"/>
      <c r="F167" s="19"/>
      <c r="G167" s="19"/>
      <c r="H167" s="18"/>
      <c r="I167" s="18"/>
      <c r="J167" s="18"/>
      <c r="K167" s="5" t="s">
        <v>155</v>
      </c>
      <c r="L167" s="19"/>
      <c r="M167" s="19"/>
      <c r="N167" s="18"/>
      <c r="O167" s="18"/>
      <c r="P167" s="19"/>
      <c r="Q167" s="18"/>
      <c r="R167" s="19"/>
      <c r="S167" s="6" t="str">
        <f>$S$1</f>
        <v>Réalisé, Mai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426" t="s">
        <v>77</v>
      </c>
      <c r="E169" s="1427"/>
      <c r="F169" s="1428"/>
      <c r="G169" s="1429" t="s">
        <v>145</v>
      </c>
      <c r="H169" s="1427"/>
      <c r="I169" s="1428"/>
      <c r="J169" s="1429" t="s">
        <v>79</v>
      </c>
      <c r="K169" s="1427"/>
      <c r="L169" s="1428"/>
      <c r="M169" s="1429" t="s">
        <v>80</v>
      </c>
      <c r="N169" s="1428"/>
      <c r="O169" s="1426" t="s">
        <v>81</v>
      </c>
      <c r="P169" s="1427"/>
      <c r="Q169" s="1428"/>
      <c r="R169" s="1429" t="s">
        <v>82</v>
      </c>
      <c r="S169" s="1430"/>
      <c r="T169" s="525"/>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
        <v>155</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
        <v>3113</v>
      </c>
      <c r="B171" s="24" t="s">
        <v>155</v>
      </c>
      <c r="C171" s="258" t="s">
        <v>159</v>
      </c>
      <c r="D171" s="191">
        <f>+INDEX('Budget original'!$A$2:$AO$500,MATCH($A171,'Budget original'!$A$2:$A$500,0),MATCH(D$2,'Budget original'!$A$2:$AO$2,0))</f>
        <v>605.45197551340232</v>
      </c>
      <c r="E171" s="191">
        <f>+INDEX('Budget original'!$A$2:$AO$500,MATCH($A171,'Budget original'!$A$2:$A$500,0),MATCH(E$2,'Budget original'!$A$2:$AO$2,0))</f>
        <v>150152.08992732377</v>
      </c>
      <c r="F171" s="191">
        <f>+INDEX('Budget original'!$A$2:$AO$500,MATCH($A171,'Budget original'!$A$2:$A$500,0),MATCH(F$2,'Budget original'!$A$2:$AO$2,0))</f>
        <v>112764.21953542015</v>
      </c>
      <c r="G171" s="319">
        <f>+INDEX('Budget révisé'!$A$2:$AO$500,MATCH($A171,'Budget révisé'!$A$2:$A$500,0),MATCH(G$2,'Budget révisé'!$A$2:$AO$2,0))</f>
        <v>605.45197551340232</v>
      </c>
      <c r="H171" s="191">
        <f>+INDEX('Budget révisé'!$A$2:$AO$500,MATCH($A171,'Budget révisé'!$A$2:$A$500,0),MATCH(H$2,'Budget révisé'!$A$2:$AO$2,0))</f>
        <v>150152.08992732377</v>
      </c>
      <c r="I171" s="191">
        <f>+INDEX('Budget révisé'!$A$2:$AO$500,MATCH($A171,'Budget révisé'!$A$2:$A$500,0),MATCH(I$2,'Budget révisé'!$A$2:$AO$2,0))</f>
        <v>112764.21953542015</v>
      </c>
      <c r="J171" s="319">
        <f>-SUMIFS(BV_Data_An_Cour!$O:$O,BV_Data_An_Cour!$U:$U,$B171,BV_Data_An_Cour!$V:$V,$C171,BV_Data_An_Cour!$W:$W,J$2)</f>
        <v>617</v>
      </c>
      <c r="K171" s="173">
        <f>-SUMIFS(BV_Data_An_Cour!$O:$O,BV_Data_An_Cour!$X:$X,"Oui",BV_Data_An_Cour!$U:$U,$B171,BV_Data_An_Cour!$V:$V,$C171)</f>
        <v>170673.29</v>
      </c>
      <c r="L171" s="174">
        <f>-SUMIFS(BV_Data_An_Cour!$O:$O,BV_Data_An_Cour!$U:$U,$B171,BV_Data_An_Cour!$V:$V,$C171,BV_Data_An_Cour!$W:$W,$L$2)</f>
        <v>133809.87</v>
      </c>
      <c r="M171" s="318">
        <f>(K171-H171)/H171</f>
        <v>0.13666942686318154</v>
      </c>
      <c r="N171" s="298">
        <f>L171-I171</f>
        <v>21045.650464579841</v>
      </c>
      <c r="O171" s="319">
        <f>-SUMIFS(BV_Data_An_Prec!$O:$O,BV_Data_An_Prec!$U:$U,$B171,BV_Data_An_Prec!$V:$V,$C171,BV_Data_An_Prec!$W:$W,O$2)</f>
        <v>554</v>
      </c>
      <c r="P171" s="173">
        <f>-SUMIFS(BV_Data_An_Prec!$O:$O,BV_Data_An_Prec!$X:$X,"Oui",BV_Data_An_Prec!$U:$U,$B171,BV_Data_An_Prec!$V:$V,$C171)</f>
        <v>120082.12</v>
      </c>
      <c r="Q171" s="174">
        <f>-SUMIFS(BV_Data_An_Prec!$O:$O,BV_Data_An_Prec!$U:$U,$B171,BV_Data_An_Prec!$V:$V,$C171,BV_Data_An_Prec!$W:$W,$L$2)</f>
        <v>91878.689999999988</v>
      </c>
      <c r="R171" s="318">
        <f>IF(O171=0,0,J171/O171)</f>
        <v>1.1137184115523466</v>
      </c>
      <c r="S171" s="193">
        <f>L171-Q171</f>
        <v>41931.180000000008</v>
      </c>
      <c r="T171" s="223"/>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
        <v>3114</v>
      </c>
      <c r="B172" s="24" t="s">
        <v>155</v>
      </c>
      <c r="C172" s="258" t="s">
        <v>160</v>
      </c>
      <c r="D172" s="191"/>
      <c r="E172" s="343"/>
      <c r="F172" s="344">
        <f>F171/E171</f>
        <v>0.751</v>
      </c>
      <c r="G172" s="319"/>
      <c r="H172" s="343"/>
      <c r="I172" s="344">
        <f>I171/H171</f>
        <v>0.751</v>
      </c>
      <c r="J172" s="319"/>
      <c r="K172" s="172"/>
      <c r="L172" s="229">
        <f>IF(L171=0,0,L171/K171)</f>
        <v>0.78401178063655996</v>
      </c>
      <c r="M172" s="318"/>
      <c r="N172" s="298"/>
      <c r="O172" s="319"/>
      <c r="P172" s="172"/>
      <c r="Q172" s="344">
        <f>IF(Q171=0,0,Q171/P171)</f>
        <v>0.76513214456906653</v>
      </c>
      <c r="R172" s="319"/>
      <c r="S172" s="193"/>
      <c r="T172" s="223"/>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
        <v>155</v>
      </c>
      <c r="B173" s="24" t="s">
        <v>155</v>
      </c>
      <c r="C173" s="320"/>
      <c r="D173" s="407"/>
      <c r="E173" s="1382">
        <f t="shared" ref="E173" si="95">IFERROR(E171/D171,0)</f>
        <v>248</v>
      </c>
      <c r="F173" s="353"/>
      <c r="G173" s="333"/>
      <c r="H173" s="1382">
        <f t="shared" ref="H173" si="96">IFERROR(H171/G171,0)</f>
        <v>248</v>
      </c>
      <c r="I173" s="353"/>
      <c r="J173" s="333"/>
      <c r="K173" s="1382">
        <f t="shared" ref="K173" si="97">IFERROR(K171/J171,0)</f>
        <v>276.61797406807131</v>
      </c>
      <c r="L173" s="353"/>
      <c r="M173" s="355"/>
      <c r="N173" s="305"/>
      <c r="O173" s="333"/>
      <c r="P173" s="1382">
        <f t="shared" ref="P173" si="98">IFERROR(P171/O171,0)</f>
        <v>216.75472924187724</v>
      </c>
      <c r="Q173" s="353"/>
      <c r="R173" s="333"/>
      <c r="S173" s="196"/>
      <c r="T173" s="223"/>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
        <v>3115</v>
      </c>
      <c r="B174" s="24" t="s">
        <v>155</v>
      </c>
      <c r="C174" s="345" t="s">
        <v>161</v>
      </c>
      <c r="D174" s="351">
        <f>+INDEX('Budget original'!$A$2:$AO$500,MATCH($A174,'Budget original'!$A$2:$A$500,0),MATCH(D$2,'Budget original'!$A$2:$AO$2,0))</f>
        <v>369.68120613100507</v>
      </c>
      <c r="E174" s="191">
        <f>+INDEX('Budget original'!$A$2:$AO$500,MATCH($A174,'Budget original'!$A$2:$A$500,0),MATCH(E$2,'Budget original'!$A$2:$AO$2,0))</f>
        <v>73232.969944315497</v>
      </c>
      <c r="F174" s="191">
        <f>+INDEX('Budget original'!$A$2:$AO$500,MATCH($A174,'Budget original'!$A$2:$A$500,0),MATCH(F$2,'Budget original'!$A$2:$AO$2,0))</f>
        <v>51589.046902472815</v>
      </c>
      <c r="G174" s="348">
        <f>+INDEX('Budget révisé'!$A$2:$AO$500,MATCH($A174,'Budget révisé'!$A$2:$A$500,0),MATCH(G$2,'Budget révisé'!$A$2:$AO$2,0))</f>
        <v>369.68120613100507</v>
      </c>
      <c r="H174" s="191">
        <f>+INDEX('Budget révisé'!$A$2:$AO$500,MATCH($A174,'Budget révisé'!$A$2:$A$500,0),MATCH(H$2,'Budget révisé'!$A$2:$AO$2,0))</f>
        <v>73232.969944315497</v>
      </c>
      <c r="I174" s="191">
        <f>+INDEX('Budget révisé'!$A$2:$AO$500,MATCH($A174,'Budget révisé'!$A$2:$A$500,0),MATCH(I$2,'Budget révisé'!$A$2:$AO$2,0))</f>
        <v>51589.046902472815</v>
      </c>
      <c r="J174" s="348">
        <f>-SUMIFS(BV_Data_An_Cour!$O:$O,BV_Data_An_Cour!$U:$U,$B174,BV_Data_An_Cour!$V:$V,$C174,BV_Data_An_Cour!$W:$W,J$2)</f>
        <v>348</v>
      </c>
      <c r="K174" s="180">
        <f>-SUMIFS(BV_Data_An_Cour!$O:$O,BV_Data_An_Cour!$X:$X,"Oui",BV_Data_An_Cour!$U:$U,$B174,BV_Data_An_Cour!$V:$V,$C174)</f>
        <v>39926.589999999997</v>
      </c>
      <c r="L174" s="174">
        <f>-SUMIFS(BV_Data_An_Cour!$O:$O,BV_Data_An_Cour!$U:$U,$B174,BV_Data_An_Cour!$V:$V,$C174,BV_Data_An_Cour!$W:$W,$L$2)</f>
        <v>29560.799999999996</v>
      </c>
      <c r="M174" s="318">
        <f>(K174-H174)/H174</f>
        <v>-0.45480034429357202</v>
      </c>
      <c r="N174" s="350">
        <f>L174-I174</f>
        <v>-22028.24690247282</v>
      </c>
      <c r="O174" s="348">
        <f>-SUMIFS(BV_Data_An_Prec!$O:$O,BV_Data_An_Prec!$U:$U,$B174,BV_Data_An_Prec!$V:$V,$C174,BV_Data_An_Prec!$W:$W,O$2)</f>
        <v>246</v>
      </c>
      <c r="P174" s="180">
        <f>-SUMIFS(BV_Data_An_Prec!$O:$O,BV_Data_An_Prec!$X:$X,"Oui",BV_Data_An_Prec!$U:$U,$B174,BV_Data_An_Prec!$V:$V,$C174)</f>
        <v>59705.25</v>
      </c>
      <c r="Q174" s="174">
        <f>-SUMIFS(BV_Data_An_Prec!$O:$O,BV_Data_An_Prec!$U:$U,$B174,BV_Data_An_Prec!$V:$V,$C174,BV_Data_An_Prec!$W:$W,$L$2)</f>
        <v>42420.630000000005</v>
      </c>
      <c r="R174" s="318">
        <f>IF(O174=0,0,J174/O174)</f>
        <v>1.4146341463414633</v>
      </c>
      <c r="S174" s="193">
        <f>L174-Q174</f>
        <v>-12859.830000000009</v>
      </c>
      <c r="T174" s="223"/>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
        <v>3114</v>
      </c>
      <c r="B175" s="24" t="s">
        <v>155</v>
      </c>
      <c r="C175" s="258" t="s">
        <v>160</v>
      </c>
      <c r="D175" s="172"/>
      <c r="E175" s="172"/>
      <c r="F175" s="344">
        <f>F174/E174</f>
        <v>0.70445110913431241</v>
      </c>
      <c r="G175" s="297"/>
      <c r="H175" s="172"/>
      <c r="I175" s="344">
        <f>I174/H174</f>
        <v>0.70445110913431241</v>
      </c>
      <c r="J175" s="297"/>
      <c r="K175" s="172"/>
      <c r="L175" s="344">
        <f>IF(L174=0,0,L174/K174)</f>
        <v>0.74037878015628178</v>
      </c>
      <c r="M175" s="356"/>
      <c r="N175" s="326"/>
      <c r="O175" s="297"/>
      <c r="P175" s="172"/>
      <c r="Q175" s="344">
        <f>IF(Q174=0,0,Q174/P174)</f>
        <v>0.71050083535367503</v>
      </c>
      <c r="R175" s="356"/>
      <c r="S175" s="327"/>
      <c r="T175" s="216"/>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
        <v>155</v>
      </c>
      <c r="B176" s="24" t="s">
        <v>155</v>
      </c>
      <c r="C176" s="320"/>
      <c r="D176" s="302"/>
      <c r="E176" s="1382">
        <f t="shared" ref="E176" si="99">IFERROR(E174/D174,0)</f>
        <v>198.09762771214207</v>
      </c>
      <c r="F176" s="353"/>
      <c r="G176" s="333"/>
      <c r="H176" s="1382">
        <f t="shared" ref="H176" si="100">IFERROR(H174/G174,0)</f>
        <v>198.09762771214207</v>
      </c>
      <c r="I176" s="353"/>
      <c r="J176" s="333"/>
      <c r="K176" s="1382">
        <f t="shared" ref="K176" si="101">IFERROR(K174/J174,0)</f>
        <v>114.7315804597701</v>
      </c>
      <c r="L176" s="353"/>
      <c r="M176" s="355"/>
      <c r="N176" s="305"/>
      <c r="O176" s="333"/>
      <c r="P176" s="1382">
        <f t="shared" ref="P176" si="102">IFERROR(P174/O174,0)</f>
        <v>242.70426829268294</v>
      </c>
      <c r="Q176" s="353"/>
      <c r="R176" s="360"/>
      <c r="S176" s="331"/>
      <c r="T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
        <v>3116</v>
      </c>
      <c r="B177" s="24" t="s">
        <v>155</v>
      </c>
      <c r="C177" s="258" t="s">
        <v>162</v>
      </c>
      <c r="D177" s="191">
        <f>+INDEX('Budget original'!$A$2:$AO$500,MATCH($A177,'Budget original'!$A$2:$A$500,0),MATCH(D$2,'Budget original'!$A$2:$AO$2,0))</f>
        <v>289.89671921210072</v>
      </c>
      <c r="E177" s="191">
        <f>+INDEX('Budget original'!$A$2:$AO$500,MATCH($A177,'Budget original'!$A$2:$A$500,0),MATCH(E$2,'Budget original'!$A$2:$AO$2,0))</f>
        <v>62439.914636648107</v>
      </c>
      <c r="F177" s="191">
        <f>+INDEX('Budget original'!$A$2:$AO$500,MATCH($A177,'Budget original'!$A$2:$A$500,0),MATCH(F$2,'Budget original'!$A$2:$AO$2,0))</f>
        <v>46064.551706321436</v>
      </c>
      <c r="G177" s="319">
        <f>+INDEX('Budget révisé'!$A$2:$AO$500,MATCH($A177,'Budget révisé'!$A$2:$A$500,0),MATCH(G$2,'Budget révisé'!$A$2:$AO$2,0))</f>
        <v>289.89671921210072</v>
      </c>
      <c r="H177" s="191">
        <f>+INDEX('Budget révisé'!$A$2:$AO$500,MATCH($A177,'Budget révisé'!$A$2:$A$500,0),MATCH(H$2,'Budget révisé'!$A$2:$AO$2,0))</f>
        <v>62439.914636648107</v>
      </c>
      <c r="I177" s="191">
        <f>+INDEX('Budget révisé'!$A$2:$AO$500,MATCH($A177,'Budget révisé'!$A$2:$A$500,0),MATCH(I$2,'Budget révisé'!$A$2:$AO$2,0))</f>
        <v>46064.551706321436</v>
      </c>
      <c r="J177" s="319">
        <f>-SUMIFS(BV_Data_An_Cour!$O:$O,BV_Data_An_Cour!$U:$U,$B177,BV_Data_An_Cour!$V:$V,$C177,BV_Data_An_Cour!$W:$W,J$2)</f>
        <v>180</v>
      </c>
      <c r="K177" s="180">
        <f>-SUMIFS(BV_Data_An_Cour!$O:$O,BV_Data_An_Cour!$X:$X,"Oui",BV_Data_An_Cour!$U:$U,$B177,BV_Data_An_Cour!$V:$V,$C177)</f>
        <v>43001.05</v>
      </c>
      <c r="L177" s="174">
        <f>-SUMIFS(BV_Data_An_Cour!$O:$O,BV_Data_An_Cour!$U:$U,$B177,BV_Data_An_Cour!$V:$V,$C177,BV_Data_An_Cour!$W:$W,$L$2)</f>
        <v>30035.910000000003</v>
      </c>
      <c r="M177" s="318">
        <f>(K177-H177)/H177</f>
        <v>-0.31132112767557779</v>
      </c>
      <c r="N177" s="298">
        <f t="shared" ref="N177:N178" si="103">L177-I177</f>
        <v>-16028.641706321432</v>
      </c>
      <c r="O177" s="319">
        <f>-SUMIFS(BV_Data_An_Prec!$O:$O,BV_Data_An_Prec!$U:$U,$B177,BV_Data_An_Prec!$V:$V,$C177,BV_Data_An_Prec!$W:$W,O$2)</f>
        <v>302</v>
      </c>
      <c r="P177" s="180">
        <f>-SUMIFS(BV_Data_An_Prec!$O:$O,BV_Data_An_Prec!$X:$X,"Oui",BV_Data_An_Prec!$U:$U,$B177,BV_Data_An_Prec!$V:$V,$C177)</f>
        <v>52572.99</v>
      </c>
      <c r="Q177" s="174">
        <f>-SUMIFS(BV_Data_An_Prec!$O:$O,BV_Data_An_Prec!$U:$U,$B177,BV_Data_An_Prec!$V:$V,$C177,BV_Data_An_Prec!$W:$W,$L$2)</f>
        <v>39366.6</v>
      </c>
      <c r="R177" s="318">
        <f>IF(O177=0,0,J177/O177)</f>
        <v>0.59602649006622521</v>
      </c>
      <c r="S177" s="193">
        <f>L177-Q177</f>
        <v>-9330.6899999999951</v>
      </c>
      <c r="T177" s="223"/>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
        <v>3114</v>
      </c>
      <c r="B178" s="24" t="s">
        <v>155</v>
      </c>
      <c r="C178" s="258" t="s">
        <v>160</v>
      </c>
      <c r="D178" s="191"/>
      <c r="E178" s="343"/>
      <c r="F178" s="344">
        <f>F177/E177</f>
        <v>0.73774206730392589</v>
      </c>
      <c r="G178" s="319"/>
      <c r="H178" s="343"/>
      <c r="I178" s="344">
        <f>I177/H177</f>
        <v>0.73774206730392589</v>
      </c>
      <c r="J178" s="319"/>
      <c r="K178" s="343"/>
      <c r="L178" s="344">
        <f>IF(L177=0,0,L177/K177)</f>
        <v>0.69849247867203246</v>
      </c>
      <c r="M178" s="318"/>
      <c r="N178" s="298">
        <f t="shared" si="103"/>
        <v>-3.9249588631893428E-2</v>
      </c>
      <c r="O178" s="319"/>
      <c r="P178" s="343"/>
      <c r="Q178" s="344">
        <f>IF(Q177=0,0,Q177/P177)</f>
        <v>0.74879895550928333</v>
      </c>
      <c r="R178" s="319">
        <f>O178-K178</f>
        <v>0</v>
      </c>
      <c r="S178" s="193"/>
      <c r="T178" s="223"/>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
        <v>155</v>
      </c>
      <c r="B179" s="24" t="s">
        <v>155</v>
      </c>
      <c r="C179" s="258"/>
      <c r="D179" s="191"/>
      <c r="E179" s="1382">
        <f t="shared" ref="E179" si="104">IFERROR(E177/D177,0)</f>
        <v>215.38675845091032</v>
      </c>
      <c r="F179" s="353"/>
      <c r="G179" s="333"/>
      <c r="H179" s="1382">
        <f t="shared" ref="H179" si="105">IFERROR(H177/G177,0)</f>
        <v>215.38675845091032</v>
      </c>
      <c r="I179" s="353"/>
      <c r="J179" s="333"/>
      <c r="K179" s="1382">
        <f t="shared" ref="K179" si="106">IFERROR(K177/J177,0)</f>
        <v>238.89472222222224</v>
      </c>
      <c r="L179" s="353"/>
      <c r="M179" s="355"/>
      <c r="N179" s="305"/>
      <c r="O179" s="333"/>
      <c r="P179" s="1382">
        <f t="shared" ref="P179" si="107">IFERROR(P177/O177,0)</f>
        <v>174.08274834437086</v>
      </c>
      <c r="Q179" s="344"/>
      <c r="R179" s="205"/>
      <c r="S179" s="193"/>
      <c r="T179" s="223"/>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
        <v>3117</v>
      </c>
      <c r="B180" s="24" t="s">
        <v>155</v>
      </c>
      <c r="C180" s="345" t="s">
        <v>163</v>
      </c>
      <c r="D180" s="351">
        <f>+INDEX('Budget original'!$A$2:$AO$500,MATCH($A180,'Budget original'!$A$2:$A$500,0),MATCH(D$2,'Budget original'!$A$2:$AO$2,0))</f>
        <v>0</v>
      </c>
      <c r="E180" s="191">
        <f>+INDEX('Budget original'!$A$2:$AO$500,MATCH($A180,'Budget original'!$A$2:$A$500,0),MATCH(E$2,'Budget original'!$A$2:$AO$2,0))</f>
        <v>286.11054215882911</v>
      </c>
      <c r="F180" s="191">
        <f>+INDEX('Budget original'!$A$2:$AO$500,MATCH($A180,'Budget original'!$A$2:$A$500,0),MATCH(F$2,'Budget original'!$A$2:$AO$2,0))</f>
        <v>108.19286283275366</v>
      </c>
      <c r="G180" s="348">
        <f>+INDEX('Budget révisé'!$A$2:$AO$500,MATCH($A180,'Budget révisé'!$A$2:$A$500,0),MATCH(G$2,'Budget révisé'!$A$2:$AO$2,0))</f>
        <v>0</v>
      </c>
      <c r="H180" s="191">
        <f>+INDEX('Budget révisé'!$A$2:$AO$500,MATCH($A180,'Budget révisé'!$A$2:$A$500,0),MATCH(H$2,'Budget révisé'!$A$2:$AO$2,0))</f>
        <v>286.11054215882911</v>
      </c>
      <c r="I180" s="191">
        <f>+INDEX('Budget révisé'!$A$2:$AO$500,MATCH($A180,'Budget révisé'!$A$2:$A$500,0),MATCH(I$2,'Budget révisé'!$A$2:$AO$2,0))</f>
        <v>108.19286283275366</v>
      </c>
      <c r="J180" s="348">
        <f>-SUMIFS(BV_Data_An_Cour!$O:$O,BV_Data_An_Cour!$U:$U,$B180,BV_Data_An_Cour!$V:$V,$C180,BV_Data_An_Cour!$W:$W,J$2)</f>
        <v>0</v>
      </c>
      <c r="K180" s="180">
        <f>-SUMIFS(BV_Data_An_Cour!$O:$O,BV_Data_An_Cour!$X:$X,"Oui",BV_Data_An_Cour!$U:$U,$B180,BV_Data_An_Cour!$V:$V,$C180)</f>
        <v>2755.12</v>
      </c>
      <c r="L180" s="175">
        <f>-SUMIFS(BV_Data_An_Cour!$O:$O,BV_Data_An_Cour!$U:$U,$B180,BV_Data_An_Cour!$V:$V,$C180,BV_Data_An_Cour!$W:$W,$L$2)</f>
        <v>2325.12</v>
      </c>
      <c r="M180" s="349">
        <f>IF(H180=0,0,(K180-H180)/H180)</f>
        <v>8.6295647801420223</v>
      </c>
      <c r="N180" s="350">
        <f>L180-I180</f>
        <v>2216.9271371672462</v>
      </c>
      <c r="O180" s="348">
        <f>-SUMIFS(BV_Data_An_Prec!$O:$O,BV_Data_An_Prec!$U:$U,$B180,BV_Data_An_Prec!$V:$V,$C180,BV_Data_An_Prec!$W:$W,O$2)</f>
        <v>0</v>
      </c>
      <c r="P180" s="180">
        <f>-SUMIFS(BV_Data_An_Prec!$O:$O,BV_Data_An_Prec!$X:$X,"Oui",BV_Data_An_Prec!$U:$U,$B180,BV_Data_An_Prec!$V:$V,$C180)</f>
        <v>504.86</v>
      </c>
      <c r="Q180" s="175">
        <f>-SUMIFS(BV_Data_An_Prec!$O:$O,BV_Data_An_Prec!$U:$U,$B180,BV_Data_An_Prec!$V:$V,$C180,BV_Data_An_Prec!$W:$W,$L$2)</f>
        <v>468.08000000000004</v>
      </c>
      <c r="R180" s="318">
        <f>IF(O180=0,0,J180/O180)</f>
        <v>0</v>
      </c>
      <c r="S180" s="195">
        <f>L180-Q180</f>
        <v>1857.04</v>
      </c>
      <c r="T180" s="223"/>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
        <v>3114</v>
      </c>
      <c r="B181" s="24" t="s">
        <v>155</v>
      </c>
      <c r="C181" s="258" t="s">
        <v>160</v>
      </c>
      <c r="D181" s="363"/>
      <c r="E181" s="364"/>
      <c r="F181" s="344">
        <f>IFERROR(F180/E180,0)</f>
        <v>0.37815056382191031</v>
      </c>
      <c r="G181" s="307"/>
      <c r="H181" s="364"/>
      <c r="I181" s="344">
        <f>IFERROR(I180/H180,0)</f>
        <v>0.37815056382191031</v>
      </c>
      <c r="J181" s="365"/>
      <c r="K181" s="364">
        <f>IF(J181&lt;=0,0,L181/J181)</f>
        <v>0</v>
      </c>
      <c r="L181" s="344">
        <f>IF(L180=0,0,L180/K180)</f>
        <v>0.84392694329103635</v>
      </c>
      <c r="M181" s="319">
        <f>J181-G181</f>
        <v>0</v>
      </c>
      <c r="N181" s="366"/>
      <c r="O181" s="365"/>
      <c r="P181" s="364">
        <f>IF(O181&lt;=0,0,Q181/O181)</f>
        <v>0</v>
      </c>
      <c r="Q181" s="344">
        <f>IF(Q180=0,0,Q180/P180)</f>
        <v>0.92714812027096627</v>
      </c>
      <c r="R181" s="297"/>
      <c r="S181" s="367"/>
      <c r="T181" s="519"/>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
        <v>155</v>
      </c>
      <c r="B182" s="24" t="s">
        <v>155</v>
      </c>
      <c r="C182" s="320"/>
      <c r="D182" s="368"/>
      <c r="E182" s="369"/>
      <c r="F182" s="353"/>
      <c r="G182" s="370"/>
      <c r="H182" s="369"/>
      <c r="I182" s="353"/>
      <c r="J182" s="371"/>
      <c r="K182" s="178"/>
      <c r="L182" s="353"/>
      <c r="M182" s="333"/>
      <c r="N182" s="372"/>
      <c r="O182" s="371"/>
      <c r="P182" s="178"/>
      <c r="Q182" s="353"/>
      <c r="R182" s="304"/>
      <c r="S182" s="373"/>
      <c r="T182" s="519"/>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
        <v>3118</v>
      </c>
      <c r="B183" s="24" t="s">
        <v>155</v>
      </c>
      <c r="C183" s="258" t="s">
        <v>164</v>
      </c>
      <c r="D183" s="172"/>
      <c r="E183" s="172"/>
      <c r="F183" s="298">
        <f>+INDEX('Budget original'!$A$2:$AO$500,MATCH($A183,'Budget original'!$A$2:$A$500,0),MATCH(F$2,'Budget original'!$A$2:$AO$2,0))</f>
        <v>-4411.4934015380704</v>
      </c>
      <c r="G183" s="297"/>
      <c r="H183" s="191"/>
      <c r="I183" s="191">
        <f>+INDEX('Budget révisé'!$A$2:$AO$500,MATCH($A183,'Budget révisé'!$A$2:$A$500,0),MATCH(I$2,'Budget révisé'!$A$2:$AO$2,0))</f>
        <v>-4411.4934015380704</v>
      </c>
      <c r="J183" s="319"/>
      <c r="K183" s="191"/>
      <c r="L183" s="191">
        <f>-SUMIFS(BV_Data_An_Cour!$O:$O,BV_Data_An_Cour!$U:$U,$B183,BV_Data_An_Cour!$V:$V,$C183,BV_Data_An_Cour!$W:$W,$L$2)</f>
        <v>-2987.28</v>
      </c>
      <c r="M183" s="365"/>
      <c r="N183" s="298">
        <f t="shared" ref="N183:N184" si="108">L183-I183</f>
        <v>1424.2134015380702</v>
      </c>
      <c r="O183" s="319"/>
      <c r="P183" s="191"/>
      <c r="Q183" s="174">
        <f>-SUMIFS(BV_Data_An_Prec!$O:$O,BV_Data_An_Prec!$U:$U,$B183,BV_Data_An_Prec!$V:$V,$C183,BV_Data_An_Prec!$W:$W,$L$2)</f>
        <v>-4646.71</v>
      </c>
      <c r="R183" s="203"/>
      <c r="S183" s="193">
        <f t="shared" ref="S183:S184" si="109">L183-Q183</f>
        <v>1659.4299999999998</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
        <v>3119</v>
      </c>
      <c r="B184" s="24" t="s">
        <v>155</v>
      </c>
      <c r="C184" s="374" t="s">
        <v>165</v>
      </c>
      <c r="D184" s="58">
        <f t="shared" ref="D184" si="110">D171+D174+D177+D180+D183</f>
        <v>1265.029900856508</v>
      </c>
      <c r="E184" s="58">
        <f t="shared" ref="E184:G184" si="111">E171+E174+E177+E180+E183</f>
        <v>286111.08505044621</v>
      </c>
      <c r="F184" s="59">
        <f t="shared" si="111"/>
        <v>206114.51760550909</v>
      </c>
      <c r="G184" s="60">
        <f t="shared" si="111"/>
        <v>1265.029900856508</v>
      </c>
      <c r="H184" s="58">
        <f t="shared" ref="H184:I184" si="112">H171+H174+H177+H180+H183</f>
        <v>286111.08505044621</v>
      </c>
      <c r="I184" s="59">
        <f t="shared" si="112"/>
        <v>206114.51760550909</v>
      </c>
      <c r="J184" s="60">
        <f t="shared" ref="J184:L184" si="113">J171+J174+J177+J180+J183</f>
        <v>1145</v>
      </c>
      <c r="K184" s="58">
        <f t="shared" si="113"/>
        <v>256356.05</v>
      </c>
      <c r="L184" s="59">
        <f t="shared" si="113"/>
        <v>192744.41999999998</v>
      </c>
      <c r="M184" s="61">
        <f>(K184-H184)/H184</f>
        <v>-0.10399819023160152</v>
      </c>
      <c r="N184" s="59">
        <f t="shared" si="108"/>
        <v>-13370.097605509101</v>
      </c>
      <c r="O184" s="60">
        <f t="shared" ref="O184:Q184" si="114">O171+O174+O177+O180+O183</f>
        <v>1102</v>
      </c>
      <c r="P184" s="58">
        <f t="shared" si="114"/>
        <v>232865.21999999997</v>
      </c>
      <c r="Q184" s="59">
        <f t="shared" si="114"/>
        <v>169487.29</v>
      </c>
      <c r="R184" s="375">
        <f>IF(O184=0,0,J184/O184)</f>
        <v>1.0390199637023594</v>
      </c>
      <c r="S184" s="376">
        <f t="shared" si="109"/>
        <v>23257.129999999976</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
        <v>3120</v>
      </c>
      <c r="B185" s="24" t="s">
        <v>155</v>
      </c>
      <c r="C185" s="377" t="s">
        <v>166</v>
      </c>
      <c r="D185" s="62"/>
      <c r="E185" s="1383">
        <f>IF(D184=0,0,E184/D184)</f>
        <v>226.16942481496309</v>
      </c>
      <c r="F185" s="63">
        <f>F184/E184</f>
        <v>0.72040032132682874</v>
      </c>
      <c r="G185" s="64"/>
      <c r="H185" s="1383">
        <f>IF(G184=0,0,H184/G184)</f>
        <v>226.16942481496309</v>
      </c>
      <c r="I185" s="326">
        <f>I184/H184</f>
        <v>0.72040032132682874</v>
      </c>
      <c r="J185" s="64"/>
      <c r="K185" s="1383">
        <f>IF(J184=0,0,K184/J184)</f>
        <v>223.89174672489082</v>
      </c>
      <c r="L185" s="326">
        <f>IF(L184=0,0,L184/K184)</f>
        <v>0.7518621854253098</v>
      </c>
      <c r="M185" s="64"/>
      <c r="N185" s="63">
        <f>N184/I184</f>
        <v>-6.4867325993497815E-2</v>
      </c>
      <c r="O185" s="64"/>
      <c r="P185" s="1383">
        <f>IF(O184=0,0,P184/O184)</f>
        <v>211.31145190562611</v>
      </c>
      <c r="Q185" s="326">
        <f>IF(Q184=0,0,Q184/P184)</f>
        <v>0.72783428113481274</v>
      </c>
      <c r="R185" s="64"/>
      <c r="S185" s="327">
        <f>S184/Q184</f>
        <v>0.13722049600297448</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
        <v>155</v>
      </c>
      <c r="B186" s="24" t="s">
        <v>155</v>
      </c>
      <c r="C186" s="378"/>
      <c r="D186" s="217"/>
      <c r="E186" s="218"/>
      <c r="F186" s="219"/>
      <c r="G186" s="220"/>
      <c r="H186" s="218"/>
      <c r="I186" s="219">
        <f>H184-I184</f>
        <v>79996.567444937129</v>
      </c>
      <c r="J186" s="220"/>
      <c r="K186" s="218"/>
      <c r="L186" s="219">
        <f>K184-L184</f>
        <v>63611.630000000005</v>
      </c>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9.5" customHeight="1">
      <c r="A187" s="564" t="s">
        <v>3121</v>
      </c>
      <c r="B187" s="24" t="s">
        <v>155</v>
      </c>
      <c r="C187" s="285" t="s">
        <v>167</v>
      </c>
      <c r="D187" s="222"/>
      <c r="E187" s="222">
        <f>+INDEX('Budget original'!$A$2:$AO$500,MATCH($A187,'Budget original'!$A$2:$A$500,0),MATCH(E$2,'Budget original'!$A$2:$AO$2,0))</f>
        <v>35279.231557541265</v>
      </c>
      <c r="F187" s="222">
        <f>+INDEX('Budget original'!$A$2:$AO$500,MATCH($A187,'Budget original'!$A$2:$A$500,0),MATCH(F$2,'Budget original'!$A$2:$AO$2,0))</f>
        <v>7730.5860993154811</v>
      </c>
      <c r="G187" s="224"/>
      <c r="H187" s="222">
        <f>+INDEX('Budget révisé'!$A$2:$AO$500,MATCH($A187,'Budget révisé'!$A$2:$A$500,0),MATCH(H$2,'Budget révisé'!$A$2:$AO$2,0))</f>
        <v>35279.231557541265</v>
      </c>
      <c r="I187" s="222">
        <f>+INDEX('Budget révisé'!$A$2:$AO$500,MATCH($A187,'Budget révisé'!$A$2:$A$500,0),MATCH(I$2,'Budget révisé'!$A$2:$AO$2,0))</f>
        <v>7730.5860993154811</v>
      </c>
      <c r="J187" s="224"/>
      <c r="K187" s="225">
        <f>-SUMIFS(BV_Data_An_Cour!$O:$O,BV_Data_An_Cour!$X:$X,"Oui",BV_Data_An_Cour!$U:$U,$B187,BV_Data_An_Cour!$V:$V,$C187)</f>
        <v>29552.660000000003</v>
      </c>
      <c r="L187" s="275">
        <f>-SUMIFS(BV_Data_An_Cour!$O:$O,BV_Data_An_Cour!$U:$U,$B187,BV_Data_An_Cour!$V:$V,$C187,BV_Data_An_Cour!$W:$W,$L$2)</f>
        <v>6749.3900000000031</v>
      </c>
      <c r="M187" s="505">
        <f>IF(H187=0,0,(K187-H187)/H187)</f>
        <v>-0.16232132347330433</v>
      </c>
      <c r="N187" s="226">
        <f>L187-I187</f>
        <v>-981.19609931547802</v>
      </c>
      <c r="O187" s="224"/>
      <c r="P187" s="225">
        <f>-SUMIFS(BV_Data_An_Prec!$O:$O,BV_Data_An_Prec!$X:$X,"Oui",BV_Data_An_Prec!$U:$U,$B187,BV_Data_An_Prec!$V:$V,$C187)</f>
        <v>29762.71</v>
      </c>
      <c r="Q187" s="275">
        <f>-SUMIFS(BV_Data_An_Prec!$O:$O,BV_Data_An_Prec!$U:$U,$B187,BV_Data_An_Prec!$V:$V,$C187,BV_Data_An_Prec!$W:$W,$L$2)</f>
        <v>5379.739999999998</v>
      </c>
      <c r="R187" s="380">
        <f>IF(O187=0,0,J187/O187)</f>
        <v>0</v>
      </c>
      <c r="S187" s="278">
        <f>L187-Q187</f>
        <v>1369.6500000000051</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21" customHeight="1">
      <c r="A188" s="564" t="s">
        <v>3114</v>
      </c>
      <c r="B188" s="24" t="s">
        <v>155</v>
      </c>
      <c r="C188" s="285" t="s">
        <v>160</v>
      </c>
      <c r="D188" s="227"/>
      <c r="E188" s="228"/>
      <c r="F188" s="229">
        <f>IFERROR(F187/E187,0)</f>
        <v>0.21912569401367804</v>
      </c>
      <c r="G188" s="221"/>
      <c r="H188" s="228"/>
      <c r="I188" s="229">
        <f>IFERROR(I187/H187,0)</f>
        <v>0.21912569401367804</v>
      </c>
      <c r="J188" s="230"/>
      <c r="K188" s="231"/>
      <c r="L188" s="229">
        <f>IF(L187=0,0,L187/K187)</f>
        <v>0.22838519442919866</v>
      </c>
      <c r="M188" s="230"/>
      <c r="N188" s="232"/>
      <c r="O188" s="230"/>
      <c r="P188" s="231"/>
      <c r="Q188" s="229">
        <f>IF(Q187=0,0,Q187/P187)</f>
        <v>0.18075437350967025</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
        <v>155</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
        <v>3122</v>
      </c>
      <c r="B190" s="24" t="s">
        <v>155</v>
      </c>
      <c r="C190" s="285" t="s">
        <v>168</v>
      </c>
      <c r="D190" s="227"/>
      <c r="E190" s="222">
        <f>+INDEX('Budget original'!$A$2:$AO$500,MATCH($A190,'Budget original'!$A$2:$A$500,0),MATCH(E$2,'Budget original'!$A$2:$AO$2,0))</f>
        <v>0</v>
      </c>
      <c r="F190" s="222">
        <f>+INDEX('Budget original'!$A$2:$AO$500,MATCH($A190,'Budget original'!$A$2:$A$500,0),MATCH(F$2,'Budget original'!$A$2:$AO$2,0))</f>
        <v>0</v>
      </c>
      <c r="G190" s="221"/>
      <c r="H190" s="222">
        <f>+INDEX('Budget révisé'!$A$2:$AO$500,MATCH($A190,'Budget révisé'!$A$2:$A$500,0),MATCH(H$2,'Budget révisé'!$A$2:$AO$2,0))</f>
        <v>0</v>
      </c>
      <c r="I190" s="222">
        <f>+INDEX('Budget révisé'!$A$2:$AO$500,MATCH($A190,'Budget révisé'!$A$2:$A$500,0),MATCH(I$2,'Budget révisé'!$A$2:$AO$2,0))</f>
        <v>0</v>
      </c>
      <c r="J190" s="230"/>
      <c r="K190" s="225">
        <f>-SUMIFS(BV_Data_An_Cour!$O:$O,BV_Data_An_Cour!$X:$X,"Oui",BV_Data_An_Cour!$U:$U,$B190,BV_Data_An_Cour!$V:$V,$C190)</f>
        <v>0</v>
      </c>
      <c r="L190" s="229"/>
      <c r="M190" s="230"/>
      <c r="N190" s="232"/>
      <c r="O190" s="230"/>
      <c r="P190" s="225">
        <f>-SUMIFS(BV_Data_An_Prec!$O:$O,BV_Data_An_Prec!$X:$X,"Oui",BV_Data_An_Prec!$U:$U,$B190,BV_Data_An_Prec!$V:$V,$C190)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
        <v>3114</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
        <v>155</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24.75" customHeight="1" thickTop="1">
      <c r="A193" s="564" t="s">
        <v>3123</v>
      </c>
      <c r="B193" s="24" t="s">
        <v>155</v>
      </c>
      <c r="C193" s="263" t="s">
        <v>169</v>
      </c>
      <c r="D193" s="26"/>
      <c r="E193" s="26">
        <f t="shared" ref="E193:F193" si="115">E184+E187+E190</f>
        <v>321390.31660798751</v>
      </c>
      <c r="F193" s="28">
        <f t="shared" si="115"/>
        <v>213845.10370482458</v>
      </c>
      <c r="G193" s="29"/>
      <c r="H193" s="26">
        <f t="shared" ref="H193:I193" si="116">H184+H187+H190</f>
        <v>321390.31660798751</v>
      </c>
      <c r="I193" s="28">
        <f t="shared" si="116"/>
        <v>213845.10370482458</v>
      </c>
      <c r="J193" s="29"/>
      <c r="K193" s="26">
        <f>K184+K187+K190</f>
        <v>285908.70999999996</v>
      </c>
      <c r="L193" s="28">
        <f t="shared" ref="L193" si="117">L184+L187+L190</f>
        <v>199493.81</v>
      </c>
      <c r="M193" s="70">
        <f>L194-I194</f>
        <v>3.2378456388355681E-2</v>
      </c>
      <c r="N193" s="28">
        <f>L193-I193</f>
        <v>-14351.29370482458</v>
      </c>
      <c r="O193" s="29"/>
      <c r="P193" s="26">
        <f>P184+P187+P190</f>
        <v>262627.93</v>
      </c>
      <c r="Q193" s="28">
        <f t="shared" ref="Q193" si="118">Q184+Q187+Q190</f>
        <v>174867.03</v>
      </c>
      <c r="R193" s="70">
        <f>L194-Q194</f>
        <v>3.1917906480990133E-2</v>
      </c>
      <c r="S193" s="357">
        <f>L193-Q193</f>
        <v>24626.78</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24" customHeight="1" thickBot="1">
      <c r="A194" s="564" t="s">
        <v>155</v>
      </c>
      <c r="B194" s="24" t="s">
        <v>155</v>
      </c>
      <c r="C194" s="358"/>
      <c r="D194" s="359"/>
      <c r="E194" s="359"/>
      <c r="F194" s="34">
        <f>F193/E193</f>
        <v>0.66537506780473388</v>
      </c>
      <c r="G194" s="31"/>
      <c r="H194" s="359"/>
      <c r="I194" s="34">
        <f>I193/H193</f>
        <v>0.66537506780473388</v>
      </c>
      <c r="J194" s="31"/>
      <c r="K194" s="359"/>
      <c r="L194" s="34">
        <f>L193/K193</f>
        <v>0.69775352419308956</v>
      </c>
      <c r="M194" s="33"/>
      <c r="N194" s="34">
        <f>N193/I193</f>
        <v>-6.7110695808280038E-2</v>
      </c>
      <c r="O194" s="31"/>
      <c r="P194" s="359"/>
      <c r="Q194" s="34">
        <f>Q193/P193</f>
        <v>0.66583561771209943</v>
      </c>
      <c r="R194" s="33"/>
      <c r="S194" s="266">
        <f>L193/S193</f>
        <v>8.1006859199619274</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
        <v>155</v>
      </c>
      <c r="B195" s="24" t="s">
        <v>155</v>
      </c>
      <c r="C195" s="267"/>
      <c r="D195" s="235"/>
      <c r="E195" s="235"/>
      <c r="F195" s="236"/>
      <c r="G195" s="234"/>
      <c r="H195" s="235"/>
      <c r="I195" s="236"/>
      <c r="J195" s="234"/>
      <c r="K195" s="233"/>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
        <v>3124</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
        <v>3125</v>
      </c>
      <c r="B197" s="24" t="s">
        <v>155</v>
      </c>
      <c r="C197" s="299" t="s">
        <v>112</v>
      </c>
      <c r="D197" s="172"/>
      <c r="E197" s="172"/>
      <c r="F197" s="173">
        <f>+INDEX('Budget original'!$A$2:$AO$500,MATCH($A197,'Budget original'!$A$2:$A$500,0),MATCH(F$2,'Budget original'!$A$2:$AO$2,0))</f>
        <v>11574.768390804598</v>
      </c>
      <c r="G197" s="297"/>
      <c r="H197" s="172"/>
      <c r="I197" s="173">
        <f>+INDEX('Budget révisé'!$A$2:$AO$500,MATCH($A197,'Budget révisé'!$A$2:$A$500,0),MATCH(I$2,'Budget révisé'!$A$2:$AO$2,0))</f>
        <v>11574.768390804598</v>
      </c>
      <c r="J197" s="297"/>
      <c r="K197" s="172"/>
      <c r="L197" s="174">
        <f>SUMIFS(BV_Data_An_Cour!$O:$O,BV_Data_An_Cour!$U:$U,$B197,BV_Data_An_Cour!$V:$V,$C197,BV_Data_An_Cour!$W:$W,$L$2)</f>
        <v>8901.44</v>
      </c>
      <c r="M197" s="297"/>
      <c r="N197" s="298">
        <f t="shared" ref="N197:N208" si="119">L197-I197</f>
        <v>-2673.3283908045978</v>
      </c>
      <c r="O197" s="297"/>
      <c r="P197" s="172"/>
      <c r="Q197" s="174">
        <f>SUMIFS(BV_Data_An_Prec!$O:$O,BV_Data_An_Prec!$U:$U,$B197,BV_Data_An_Prec!$V:$V,$C197,BV_Data_An_Prec!$W:$W,$L$2)</f>
        <v>10025.44</v>
      </c>
      <c r="R197" s="297"/>
      <c r="S197" s="393">
        <f>L197-Q197</f>
        <v>-1124</v>
      </c>
      <c r="T197" s="227"/>
      <c r="U197" s="227"/>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
        <v>3126</v>
      </c>
      <c r="B198" s="24" t="s">
        <v>155</v>
      </c>
      <c r="C198" s="300" t="s">
        <v>113</v>
      </c>
      <c r="D198" s="295"/>
      <c r="E198" s="172"/>
      <c r="F198" s="171">
        <f>+INDEX('Budget original'!$A$2:$AO$500,MATCH($A198,'Budget original'!$A$2:$A$500,0),MATCH(F$2,'Budget original'!$A$2:$AO$2,0))</f>
        <v>9816.5681076743313</v>
      </c>
      <c r="G198" s="296"/>
      <c r="H198" s="172"/>
      <c r="I198" s="171">
        <f>+INDEX('Budget révisé'!$A$2:$AO$500,MATCH($A198,'Budget révisé'!$A$2:$A$500,0),MATCH(I$2,'Budget révisé'!$A$2:$AO$2,0))</f>
        <v>9816.5681076743313</v>
      </c>
      <c r="J198" s="297"/>
      <c r="K198" s="172"/>
      <c r="L198" s="174">
        <f>SUMIFS(BV_Data_An_Cour!$O:$O,BV_Data_An_Cour!$U:$U,$B198,BV_Data_An_Cour!$V:$V,$C198,BV_Data_An_Cour!$W:$W,$L$2)</f>
        <v>7896.83</v>
      </c>
      <c r="M198" s="297"/>
      <c r="N198" s="298">
        <f t="shared" si="119"/>
        <v>-1919.7381076743313</v>
      </c>
      <c r="O198" s="297"/>
      <c r="P198" s="172"/>
      <c r="Q198" s="174">
        <f>SUMIFS(BV_Data_An_Prec!$O:$O,BV_Data_An_Prec!$U:$U,$B198,BV_Data_An_Prec!$V:$V,$C198,BV_Data_An_Prec!$W:$W,$L$2)</f>
        <v>8664.7900000000009</v>
      </c>
      <c r="R198" s="297"/>
      <c r="S198" s="193">
        <f t="shared" ref="S198:S227" si="120">L198-Q198</f>
        <v>-767.96000000000095</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29.25" customHeight="1">
      <c r="A199" s="564" t="s">
        <v>3127</v>
      </c>
      <c r="B199" s="24" t="s">
        <v>155</v>
      </c>
      <c r="C199" s="299" t="s">
        <v>114</v>
      </c>
      <c r="D199" s="386"/>
      <c r="E199" s="346"/>
      <c r="F199" s="173">
        <f>+INDEX('Budget original'!$A$2:$AO$500,MATCH($A199,'Budget original'!$A$2:$A$500,0),MATCH(F$2,'Budget original'!$A$2:$AO$2,0))</f>
        <v>14779.948499279693</v>
      </c>
      <c r="G199" s="387"/>
      <c r="H199" s="346"/>
      <c r="I199" s="173">
        <f>+INDEX('Budget révisé'!$A$2:$AO$500,MATCH($A199,'Budget révisé'!$A$2:$A$500,0),MATCH(I$2,'Budget révisé'!$A$2:$AO$2,0))</f>
        <v>14779.948499279693</v>
      </c>
      <c r="J199" s="362"/>
      <c r="K199" s="346"/>
      <c r="L199" s="239">
        <f>SUMIFS(BV_Data_An_Cour!$O:$O,BV_Data_An_Cour!$U:$U,$B199,BV_Data_An_Cour!$V:$V,$C199,BV_Data_An_Cour!$W:$W,$L$2)</f>
        <v>23017.51</v>
      </c>
      <c r="M199" s="362"/>
      <c r="N199" s="350">
        <f t="shared" si="119"/>
        <v>8237.561500720305</v>
      </c>
      <c r="O199" s="362"/>
      <c r="P199" s="346"/>
      <c r="Q199" s="175">
        <f>SUMIFS(BV_Data_An_Prec!$O:$O,BV_Data_An_Prec!$U:$U,$B199,BV_Data_An_Prec!$V:$V,$C199,BV_Data_An_Prec!$W:$W,$L$2)</f>
        <v>8179.31</v>
      </c>
      <c r="R199" s="362"/>
      <c r="S199" s="195">
        <f t="shared" si="120"/>
        <v>14838.199999999997</v>
      </c>
      <c r="T199" s="216"/>
      <c r="U199" s="216" t="s">
        <v>3430</v>
      </c>
      <c r="V199" s="216"/>
      <c r="W199" s="216"/>
      <c r="X199" s="216"/>
      <c r="Y199" s="216">
        <f>(45000*1.3)/12</f>
        <v>4875</v>
      </c>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21.75" customHeight="1">
      <c r="A200" s="564" t="s">
        <v>3128</v>
      </c>
      <c r="B200" s="24" t="s">
        <v>155</v>
      </c>
      <c r="C200" s="299" t="s">
        <v>115</v>
      </c>
      <c r="D200" s="295"/>
      <c r="E200" s="172"/>
      <c r="F200" s="173">
        <f>+INDEX('Budget original'!$A$2:$AO$500,MATCH($A200,'Budget original'!$A$2:$A$500,0),MATCH(F$2,'Budget original'!$A$2:$AO$2,0))</f>
        <v>32573.40890000877</v>
      </c>
      <c r="G200" s="296"/>
      <c r="H200" s="172"/>
      <c r="I200" s="173">
        <f>+INDEX('Budget révisé'!$A$2:$AO$500,MATCH($A200,'Budget révisé'!$A$2:$A$500,0),MATCH(I$2,'Budget révisé'!$A$2:$AO$2,0))</f>
        <v>32573.40890000877</v>
      </c>
      <c r="J200" s="297"/>
      <c r="K200" s="172"/>
      <c r="L200" s="174">
        <f>SUMIFS(BV_Data_An_Cour!$O:$O,BV_Data_An_Cour!$U:$U,$B200,BV_Data_An_Cour!$V:$V,$C200,BV_Data_An_Cour!$W:$W,$L$2)</f>
        <v>25133.54</v>
      </c>
      <c r="M200" s="297"/>
      <c r="N200" s="298">
        <f t="shared" si="119"/>
        <v>-7439.8689000087688</v>
      </c>
      <c r="O200" s="297"/>
      <c r="P200" s="172"/>
      <c r="Q200" s="174">
        <f>SUMIFS(BV_Data_An_Prec!$O:$O,BV_Data_An_Prec!$U:$U,$B200,BV_Data_An_Prec!$V:$V,$C200,BV_Data_An_Prec!$W:$W,$L$2)</f>
        <v>24491.9</v>
      </c>
      <c r="R200" s="297"/>
      <c r="S200" s="193">
        <f t="shared" si="120"/>
        <v>641.63999999999942</v>
      </c>
      <c r="T200" s="216"/>
      <c r="U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
        <v>3129</v>
      </c>
      <c r="B201" s="24" t="s">
        <v>155</v>
      </c>
      <c r="C201" s="258" t="s">
        <v>42</v>
      </c>
      <c r="D201" s="295"/>
      <c r="E201" s="172"/>
      <c r="F201" s="173">
        <f>+INDEX('Budget original'!$A$2:$AO$500,MATCH($A201,'Budget original'!$A$2:$A$500,0),MATCH(F$2,'Budget original'!$A$2:$AO$2,0))</f>
        <v>0</v>
      </c>
      <c r="G201" s="296"/>
      <c r="H201" s="172"/>
      <c r="I201" s="173">
        <f>+INDEX('Budget révisé'!$A$2:$AO$500,MATCH($A201,'Budget révisé'!$A$2:$A$500,0),MATCH(I$2,'Budget révisé'!$A$2:$AO$2,0))</f>
        <v>0</v>
      </c>
      <c r="J201" s="297"/>
      <c r="K201" s="172"/>
      <c r="L201" s="174">
        <f>SUMIFS(BV_Data_An_Cour!$O:$O,BV_Data_An_Cour!$U:$U,$B201,BV_Data_An_Cour!$V:$V,$C201,BV_Data_An_Cour!$W:$W,$L$2)</f>
        <v>0</v>
      </c>
      <c r="M201" s="297"/>
      <c r="N201" s="298">
        <f t="shared" si="119"/>
        <v>0</v>
      </c>
      <c r="O201" s="297"/>
      <c r="P201" s="172"/>
      <c r="Q201" s="174">
        <f>SUMIFS(BV_Data_An_Prec!$O:$O,BV_Data_An_Prec!$U:$U,$B201,BV_Data_An_Prec!$V:$V,$C201,BV_Data_An_Prec!$W:$W,$L$2)</f>
        <v>0</v>
      </c>
      <c r="R201" s="297"/>
      <c r="S201" s="193">
        <f t="shared" si="120"/>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
        <v>3129</v>
      </c>
      <c r="B202" s="24" t="s">
        <v>155</v>
      </c>
      <c r="C202" s="258" t="s">
        <v>42</v>
      </c>
      <c r="D202" s="295"/>
      <c r="E202" s="172"/>
      <c r="F202" s="173">
        <f>+INDEX('Budget original'!$A$2:$AO$500,MATCH($A202,'Budget original'!$A$2:$A$500,0),MATCH(F$2,'Budget original'!$A$2:$AO$2,0))</f>
        <v>0</v>
      </c>
      <c r="G202" s="296"/>
      <c r="H202" s="172"/>
      <c r="I202" s="173">
        <f>+INDEX('Budget révisé'!$A$2:$AO$500,MATCH($A202,'Budget révisé'!$A$2:$A$500,0),MATCH(I$2,'Budget révisé'!$A$2:$AO$2,0))</f>
        <v>0</v>
      </c>
      <c r="J202" s="297"/>
      <c r="K202" s="172"/>
      <c r="L202" s="174">
        <f>SUMIFS(BV_Data_An_Cour!$O:$O,BV_Data_An_Cour!$U:$U,$B202,BV_Data_An_Cour!$V:$V,$C202,BV_Data_An_Cour!$W:$W,$L$2)</f>
        <v>0</v>
      </c>
      <c r="M202" s="297"/>
      <c r="N202" s="298">
        <f t="shared" si="119"/>
        <v>0</v>
      </c>
      <c r="O202" s="297"/>
      <c r="P202" s="172"/>
      <c r="Q202" s="174">
        <f>SUMIFS(BV_Data_An_Prec!$O:$O,BV_Data_An_Prec!$U:$U,$B202,BV_Data_An_Prec!$V:$V,$C202,BV_Data_An_Prec!$W:$W,$L$2)</f>
        <v>0</v>
      </c>
      <c r="R202" s="297"/>
      <c r="S202" s="193">
        <f t="shared" si="120"/>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
        <v>3129</v>
      </c>
      <c r="B203" s="24" t="s">
        <v>155</v>
      </c>
      <c r="C203" s="258" t="s">
        <v>42</v>
      </c>
      <c r="D203" s="295"/>
      <c r="E203" s="172"/>
      <c r="F203" s="173">
        <f>+INDEX('Budget original'!$A$2:$AO$500,MATCH($A203,'Budget original'!$A$2:$A$500,0),MATCH(F$2,'Budget original'!$A$2:$AO$2,0))</f>
        <v>0</v>
      </c>
      <c r="G203" s="296"/>
      <c r="H203" s="172"/>
      <c r="I203" s="173">
        <f>+INDEX('Budget révisé'!$A$2:$AO$500,MATCH($A203,'Budget révisé'!$A$2:$A$500,0),MATCH(I$2,'Budget révisé'!$A$2:$AO$2,0))</f>
        <v>0</v>
      </c>
      <c r="J203" s="297"/>
      <c r="K203" s="172"/>
      <c r="L203" s="174">
        <f>SUMIFS(BV_Data_An_Cour!$O:$O,BV_Data_An_Cour!$U:$U,$B203,BV_Data_An_Cour!$V:$V,$C203,BV_Data_An_Cour!$W:$W,$L$2)</f>
        <v>0</v>
      </c>
      <c r="M203" s="297"/>
      <c r="N203" s="298">
        <f t="shared" ref="N203:N204" si="121">L203-I203</f>
        <v>0</v>
      </c>
      <c r="O203" s="297"/>
      <c r="P203" s="172"/>
      <c r="Q203" s="174">
        <f>SUMIFS(BV_Data_An_Prec!$O:$O,BV_Data_An_Prec!$U:$U,$B203,BV_Data_An_Prec!$V:$V,$C203,BV_Data_An_Prec!$W:$W,$L$2)</f>
        <v>0</v>
      </c>
      <c r="R203" s="297"/>
      <c r="S203" s="193">
        <f t="shared" ref="S203:S204" si="122">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21.75" customHeight="1">
      <c r="A204" s="564" t="s">
        <v>3130</v>
      </c>
      <c r="B204" s="24" t="s">
        <v>155</v>
      </c>
      <c r="C204" s="300" t="s">
        <v>116</v>
      </c>
      <c r="D204" s="295"/>
      <c r="E204" s="172"/>
      <c r="F204" s="173">
        <f>+INDEX('Budget original'!$A$2:$AO$500,MATCH($A204,'Budget original'!$A$2:$A$500,0),MATCH(F$2,'Budget original'!$A$2:$AO$2,0))</f>
        <v>16356.649875427871</v>
      </c>
      <c r="G204" s="296"/>
      <c r="H204" s="172"/>
      <c r="I204" s="173">
        <f>+INDEX('Budget révisé'!$A$2:$AO$500,MATCH($A204,'Budget révisé'!$A$2:$A$500,0),MATCH(I$2,'Budget révisé'!$A$2:$AO$2,0))</f>
        <v>16356.649875427871</v>
      </c>
      <c r="J204" s="297"/>
      <c r="K204" s="172"/>
      <c r="L204" s="174">
        <f>SUMIFS(BV_Data_An_Cour!$O:$O,BV_Data_An_Cour!$U:$U,$B204,BV_Data_An_Cour!$V:$V,$C204,BV_Data_An_Cour!$W:$W,$L$2)</f>
        <v>18602.09</v>
      </c>
      <c r="M204" s="297"/>
      <c r="N204" s="298">
        <f t="shared" si="121"/>
        <v>2245.4401245721292</v>
      </c>
      <c r="O204" s="297"/>
      <c r="P204" s="172"/>
      <c r="Q204" s="174">
        <f>SUMIFS(BV_Data_An_Prec!$O:$O,BV_Data_An_Prec!$U:$U,$B204,BV_Data_An_Prec!$V:$V,$C204,BV_Data_An_Prec!$W:$W,$L$2)</f>
        <v>14099.96</v>
      </c>
      <c r="R204" s="297"/>
      <c r="S204" s="193">
        <f t="shared" si="122"/>
        <v>4502.130000000001</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
        <v>3131</v>
      </c>
      <c r="B205" s="24" t="s">
        <v>155</v>
      </c>
      <c r="C205" s="274" t="s">
        <v>117</v>
      </c>
      <c r="D205" s="386"/>
      <c r="E205" s="346"/>
      <c r="F205" s="423">
        <f>+INDEX('Budget original'!$A$2:$AO$500,MATCH($A205,'Budget original'!$A$2:$A$500,0),MATCH(F$2,'Budget original'!$A$2:$AO$2,0))</f>
        <v>14649.056613768276</v>
      </c>
      <c r="G205" s="387"/>
      <c r="H205" s="346"/>
      <c r="I205" s="423">
        <f>+INDEX('Budget révisé'!$A$2:$AO$500,MATCH($A205,'Budget révisé'!$A$2:$A$500,0),MATCH(I$2,'Budget révisé'!$A$2:$AO$2,0))</f>
        <v>14649.056613768276</v>
      </c>
      <c r="J205" s="362"/>
      <c r="K205" s="346"/>
      <c r="L205" s="239">
        <f>SUMIFS(BV_Data_An_Cour!$O:$O,BV_Data_An_Cour!$U:$U,$B205,BV_Data_An_Cour!$V:$V,$C205,BV_Data_An_Cour!$W:$W,$L$2)</f>
        <v>17197.330000000002</v>
      </c>
      <c r="M205" s="362"/>
      <c r="N205" s="350">
        <f t="shared" si="119"/>
        <v>2548.2733862317255</v>
      </c>
      <c r="O205" s="362"/>
      <c r="P205" s="346"/>
      <c r="Q205" s="175">
        <f>SUMIFS(BV_Data_An_Prec!$O:$O,BV_Data_An_Prec!$U:$U,$B205,BV_Data_An_Prec!$V:$V,$C205,BV_Data_An_Prec!$W:$W,$L$2)</f>
        <v>15325.37</v>
      </c>
      <c r="R205" s="362"/>
      <c r="S205" s="195">
        <f t="shared" si="120"/>
        <v>1871.9600000000009</v>
      </c>
      <c r="T205" s="216"/>
      <c r="U205" s="216"/>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
        <v>3132</v>
      </c>
      <c r="B206" s="24" t="s">
        <v>155</v>
      </c>
      <c r="C206" s="274" t="s">
        <v>118</v>
      </c>
      <c r="D206" s="295"/>
      <c r="E206" s="172"/>
      <c r="F206" s="173">
        <f>+INDEX('Budget original'!$A$2:$AO$500,MATCH($A206,'Budget original'!$A$2:$A$500,0),MATCH(F$2,'Budget original'!$A$2:$AO$2,0))</f>
        <v>11633.074369757162</v>
      </c>
      <c r="G206" s="296"/>
      <c r="H206" s="172"/>
      <c r="I206" s="173">
        <f>+INDEX('Budget révisé'!$A$2:$AO$500,MATCH($A206,'Budget révisé'!$A$2:$A$500,0),MATCH(I$2,'Budget révisé'!$A$2:$AO$2,0))</f>
        <v>11633.074369757162</v>
      </c>
      <c r="J206" s="297"/>
      <c r="K206" s="172"/>
      <c r="L206" s="174">
        <f>SUMIFS(BV_Data_An_Cour!$O:$O,BV_Data_An_Cour!$U:$U,$B206,BV_Data_An_Cour!$V:$V,$C206,BV_Data_An_Cour!$W:$W,$L$2)</f>
        <v>5304.29</v>
      </c>
      <c r="M206" s="297"/>
      <c r="N206" s="298">
        <f t="shared" si="119"/>
        <v>-6328.7843697571616</v>
      </c>
      <c r="O206" s="297"/>
      <c r="P206" s="172"/>
      <c r="Q206" s="174">
        <f>SUMIFS(BV_Data_An_Prec!$O:$O,BV_Data_An_Prec!$U:$U,$B206,BV_Data_An_Prec!$V:$V,$C206,BV_Data_An_Prec!$W:$W,$L$2)</f>
        <v>10983.18</v>
      </c>
      <c r="R206" s="297"/>
      <c r="S206" s="193">
        <f t="shared" si="120"/>
        <v>-5678.89</v>
      </c>
      <c r="T206" s="216"/>
      <c r="U206" s="216"/>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
        <v>3133</v>
      </c>
      <c r="B207" s="24" t="s">
        <v>155</v>
      </c>
      <c r="C207" s="274" t="s">
        <v>119</v>
      </c>
      <c r="D207" s="295"/>
      <c r="E207" s="172"/>
      <c r="F207" s="173">
        <f>+INDEX('Budget original'!$A$2:$AO$500,MATCH($A207,'Budget original'!$A$2:$A$500,0),MATCH(F$2,'Budget original'!$A$2:$AO$2,0))</f>
        <v>4739.4006691603254</v>
      </c>
      <c r="G207" s="296"/>
      <c r="H207" s="172"/>
      <c r="I207" s="173">
        <f>+INDEX('Budget révisé'!$A$2:$AO$500,MATCH($A207,'Budget révisé'!$A$2:$A$500,0),MATCH(I$2,'Budget révisé'!$A$2:$AO$2,0))</f>
        <v>4739.4006691603254</v>
      </c>
      <c r="J207" s="297"/>
      <c r="K207" s="172"/>
      <c r="L207" s="174">
        <f>SUMIFS(BV_Data_An_Cour!$O:$O,BV_Data_An_Cour!$U:$U,$B207,BV_Data_An_Cour!$V:$V,$C207,BV_Data_An_Cour!$W:$W,$L$2)</f>
        <v>3020.26</v>
      </c>
      <c r="M207" s="297"/>
      <c r="N207" s="298">
        <f t="shared" si="119"/>
        <v>-1719.1406691603252</v>
      </c>
      <c r="O207" s="297"/>
      <c r="P207" s="172"/>
      <c r="Q207" s="174">
        <f>SUMIFS(BV_Data_An_Prec!$O:$O,BV_Data_An_Prec!$U:$U,$B207,BV_Data_An_Prec!$V:$V,$C207,BV_Data_An_Prec!$W:$W,$L$2)</f>
        <v>2554.23</v>
      </c>
      <c r="R207" s="297"/>
      <c r="S207" s="193">
        <f t="shared" si="120"/>
        <v>466.0300000000002</v>
      </c>
      <c r="T207" s="216"/>
      <c r="U207" s="216"/>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
        <v>3129</v>
      </c>
      <c r="B208" s="24" t="s">
        <v>155</v>
      </c>
      <c r="C208" s="285" t="s">
        <v>42</v>
      </c>
      <c r="D208" s="301"/>
      <c r="E208" s="302"/>
      <c r="F208" s="173">
        <f>+INDEX('Budget original'!$A$2:$AO$500,MATCH($A208,'Budget original'!$A$2:$A$500,0),MATCH(F$2,'Budget original'!$A$2:$AO$2,0))</f>
        <v>0</v>
      </c>
      <c r="G208" s="303"/>
      <c r="H208" s="302"/>
      <c r="I208" s="173">
        <f>+INDEX('Budget révisé'!$A$2:$AO$500,MATCH($A208,'Budget révisé'!$A$2:$A$500,0),MATCH(I$2,'Budget révisé'!$A$2:$AO$2,0))</f>
        <v>0</v>
      </c>
      <c r="J208" s="304"/>
      <c r="K208" s="302"/>
      <c r="L208" s="174">
        <f>SUMIFS(BV_Data_An_Cour!$O:$O,BV_Data_An_Cour!$U:$U,$B208,BV_Data_An_Cour!$V:$V,$C208,BV_Data_An_Cour!$W:$W,$L$2)</f>
        <v>0</v>
      </c>
      <c r="M208" s="304"/>
      <c r="N208" s="305">
        <f t="shared" si="119"/>
        <v>0</v>
      </c>
      <c r="O208" s="304"/>
      <c r="P208" s="302"/>
      <c r="Q208" s="174">
        <f>SUMIFS(BV_Data_An_Prec!$O:$O,BV_Data_An_Prec!$U:$U,$B208,BV_Data_An_Prec!$V:$V,$C208,BV_Data_An_Prec!$W:$W,$L$2)</f>
        <v>0</v>
      </c>
      <c r="R208" s="304"/>
      <c r="S208" s="196">
        <f t="shared" si="120"/>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
        <v>3134</v>
      </c>
      <c r="B209" s="24" t="s">
        <v>155</v>
      </c>
      <c r="C209" s="292" t="s">
        <v>120</v>
      </c>
      <c r="D209" s="39" t="s">
        <v>170</v>
      </c>
      <c r="E209" s="40">
        <f>F209/F$193</f>
        <v>0.54302330712312297</v>
      </c>
      <c r="F209" s="41">
        <f>+SUM(F197:F208)</f>
        <v>116122.87542588104</v>
      </c>
      <c r="G209" s="42" t="s">
        <v>170</v>
      </c>
      <c r="H209" s="40">
        <f>I209/I$193</f>
        <v>0.54302330712312297</v>
      </c>
      <c r="I209" s="41">
        <f>+SUM(I197:I208)</f>
        <v>116122.87542588104</v>
      </c>
      <c r="J209" s="42" t="s">
        <v>170</v>
      </c>
      <c r="K209" s="40">
        <f>L209/L$193</f>
        <v>0.5467502475390088</v>
      </c>
      <c r="L209" s="41">
        <f>+SUM(L197:L208)</f>
        <v>109073.29</v>
      </c>
      <c r="M209" s="43"/>
      <c r="N209" s="46">
        <f t="shared" ref="N209:N227" si="123">L209-I209</f>
        <v>-7049.5854258810432</v>
      </c>
      <c r="O209" s="42" t="s">
        <v>170</v>
      </c>
      <c r="P209" s="40">
        <f>Q209/Q$193</f>
        <v>0.53940516974526309</v>
      </c>
      <c r="Q209" s="41">
        <f>+SUM(Q197:Q208)</f>
        <v>94324.180000000008</v>
      </c>
      <c r="R209" s="43"/>
      <c r="S209" s="293">
        <f t="shared" si="120"/>
        <v>14749.109999999986</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
        <v>3135</v>
      </c>
      <c r="B210" s="24" t="s">
        <v>155</v>
      </c>
      <c r="C210" s="544" t="s">
        <v>121</v>
      </c>
      <c r="D210" s="295"/>
      <c r="E210" s="172"/>
      <c r="F210" s="173">
        <f>+INDEX('Budget original'!$A$2:$AO$500,MATCH($A210,'Budget original'!$A$2:$A$500,0),MATCH(F$2,'Budget original'!$A$2:$AO$2,0))</f>
        <v>6918.7625000000007</v>
      </c>
      <c r="G210" s="296"/>
      <c r="H210" s="172"/>
      <c r="I210" s="173">
        <f>+INDEX('Budget révisé'!$A$2:$AO$500,MATCH($A210,'Budget révisé'!$A$2:$A$500,0),MATCH(I$2,'Budget révisé'!$A$2:$AO$2,0))</f>
        <v>6918.7625000000007</v>
      </c>
      <c r="J210" s="297"/>
      <c r="K210" s="172"/>
      <c r="L210" s="275">
        <f>SUMIFS(BV_Data_An_Cour!$O:$O,BV_Data_An_Cour!$U:$U,$B210,BV_Data_An_Cour!$V:$V,$C210,BV_Data_An_Cour!$W:$W,$L$2)</f>
        <v>17434.89</v>
      </c>
      <c r="M210" s="297"/>
      <c r="N210" s="298">
        <f t="shared" si="123"/>
        <v>10516.127499999999</v>
      </c>
      <c r="O210" s="297"/>
      <c r="P210" s="172"/>
      <c r="Q210" s="174">
        <f>SUMIFS(BV_Data_An_Prec!$O:$O,BV_Data_An_Prec!$U:$U,$B210,BV_Data_An_Prec!$V:$V,$C210,BV_Data_An_Prec!$W:$W,$L$2)</f>
        <v>6869.4</v>
      </c>
      <c r="R210" s="297"/>
      <c r="S210" s="193">
        <f t="shared" si="120"/>
        <v>10565.49</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
        <v>3136</v>
      </c>
      <c r="B211" s="24" t="s">
        <v>155</v>
      </c>
      <c r="C211" s="258" t="s">
        <v>122</v>
      </c>
      <c r="D211" s="295"/>
      <c r="E211" s="172"/>
      <c r="F211" s="173">
        <f>+INDEX('Budget original'!$A$2:$AO$500,MATCH($A211,'Budget original'!$A$2:$A$500,0),MATCH(F$2,'Budget original'!$A$2:$AO$2,0))</f>
        <v>3744.1418613919554</v>
      </c>
      <c r="G211" s="296"/>
      <c r="H211" s="172"/>
      <c r="I211" s="173">
        <f>+INDEX('Budget révisé'!$A$2:$AO$500,MATCH($A211,'Budget révisé'!$A$2:$A$500,0),MATCH(I$2,'Budget révisé'!$A$2:$AO$2,0))</f>
        <v>3744.1418613919554</v>
      </c>
      <c r="J211" s="297"/>
      <c r="K211" s="172"/>
      <c r="L211" s="956">
        <f>SUMIFS(BV_Data_An_Cour!$O:$O,BV_Data_An_Cour!$U:$U,$B211,BV_Data_An_Cour!$V:$V,$C211,BV_Data_An_Cour!$W:$W,$L$2)</f>
        <v>3752.8500000000004</v>
      </c>
      <c r="M211" s="297"/>
      <c r="N211" s="298">
        <f t="shared" si="123"/>
        <v>8.7081386080449192</v>
      </c>
      <c r="O211" s="297"/>
      <c r="P211" s="172"/>
      <c r="Q211" s="174">
        <f>SUMIFS(BV_Data_An_Prec!$O:$O,BV_Data_An_Prec!$U:$U,$B211,BV_Data_An_Prec!$V:$V,$C211,BV_Data_An_Prec!$W:$W,$L$2)</f>
        <v>4856.21</v>
      </c>
      <c r="R211" s="297"/>
      <c r="S211" s="193">
        <f t="shared" si="120"/>
        <v>-1103.3599999999997</v>
      </c>
      <c r="T211" s="227"/>
      <c r="U211" s="216"/>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
        <v>3137</v>
      </c>
      <c r="B212" s="24" t="s">
        <v>155</v>
      </c>
      <c r="C212" s="320" t="s">
        <v>123</v>
      </c>
      <c r="D212" s="301"/>
      <c r="E212" s="302"/>
      <c r="F212" s="171">
        <f>+INDEX('Budget original'!$A$2:$AO$500,MATCH($A212,'Budget original'!$A$2:$A$500,0),MATCH(F$2,'Budget original'!$A$2:$AO$2,0))</f>
        <v>15977.574444444444</v>
      </c>
      <c r="G212" s="303"/>
      <c r="H212" s="302"/>
      <c r="I212" s="171">
        <f>+INDEX('Budget révisé'!$A$2:$AO$500,MATCH($A212,'Budget révisé'!$A$2:$A$500,0),MATCH(I$2,'Budget révisé'!$A$2:$AO$2,0))</f>
        <v>15977.574444444444</v>
      </c>
      <c r="J212" s="304"/>
      <c r="K212" s="302"/>
      <c r="L212" s="174">
        <f>SUMIFS(BV_Data_An_Cour!$O:$O,BV_Data_An_Cour!$U:$U,$B212,BV_Data_An_Cour!$V:$V,$C212,BV_Data_An_Cour!$W:$W,$L$2)</f>
        <v>11752.87</v>
      </c>
      <c r="M212" s="304"/>
      <c r="N212" s="305">
        <f t="shared" si="123"/>
        <v>-4224.7044444444437</v>
      </c>
      <c r="O212" s="304"/>
      <c r="P212" s="302"/>
      <c r="Q212" s="174">
        <f>SUMIFS(BV_Data_An_Prec!$O:$O,BV_Data_An_Prec!$U:$U,$B212,BV_Data_An_Prec!$V:$V,$C212,BV_Data_An_Prec!$W:$W,$L$2)</f>
        <v>18069.37</v>
      </c>
      <c r="R212" s="304"/>
      <c r="S212" s="196">
        <f t="shared" si="120"/>
        <v>-6316.4999999999982</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
        <v>3138</v>
      </c>
      <c r="B213" s="24" t="s">
        <v>155</v>
      </c>
      <c r="C213" s="258" t="s">
        <v>124</v>
      </c>
      <c r="D213" s="295"/>
      <c r="E213" s="172"/>
      <c r="F213" s="173">
        <f>+INDEX('Budget original'!$A$2:$AO$500,MATCH($A213,'Budget original'!$A$2:$A$500,0),MATCH(F$2,'Budget original'!$A$2:$AO$2,0))</f>
        <v>5968.7398199999989</v>
      </c>
      <c r="G213" s="296"/>
      <c r="H213" s="172"/>
      <c r="I213" s="173">
        <f>+INDEX('Budget révisé'!$A$2:$AO$500,MATCH($A213,'Budget révisé'!$A$2:$A$500,0),MATCH(I$2,'Budget révisé'!$A$2:$AO$2,0))</f>
        <v>5968.7398199999989</v>
      </c>
      <c r="J213" s="297"/>
      <c r="K213" s="172"/>
      <c r="L213" s="175">
        <f>SUMIFS(BV_Data_An_Cour!$O:$O,BV_Data_An_Cour!$U:$U,$B213,BV_Data_An_Cour!$V:$V,$C213,BV_Data_An_Cour!$W:$W,$L$2)</f>
        <v>4063.95</v>
      </c>
      <c r="M213" s="297"/>
      <c r="N213" s="298">
        <f t="shared" si="123"/>
        <v>-1904.7898199999991</v>
      </c>
      <c r="O213" s="297"/>
      <c r="P213" s="172"/>
      <c r="Q213" s="175">
        <f>SUMIFS(BV_Data_An_Prec!$O:$O,BV_Data_An_Prec!$U:$U,$B213,BV_Data_An_Prec!$V:$V,$C213,BV_Data_An_Prec!$W:$W,$L$2)</f>
        <v>3896.62</v>
      </c>
      <c r="R213" s="297"/>
      <c r="S213" s="193">
        <f t="shared" si="120"/>
        <v>167.32999999999993</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
        <v>3139</v>
      </c>
      <c r="B214" s="24" t="s">
        <v>155</v>
      </c>
      <c r="C214" s="258" t="s">
        <v>125</v>
      </c>
      <c r="D214" s="295"/>
      <c r="E214" s="172"/>
      <c r="F214" s="173">
        <f>+INDEX('Budget original'!$A$2:$AO$500,MATCH($A214,'Budget original'!$A$2:$A$500,0),MATCH(F$2,'Budget original'!$A$2:$AO$2,0))</f>
        <v>594.10635000000002</v>
      </c>
      <c r="G214" s="296"/>
      <c r="H214" s="172"/>
      <c r="I214" s="173">
        <f>+INDEX('Budget révisé'!$A$2:$AO$500,MATCH($A214,'Budget révisé'!$A$2:$A$500,0),MATCH(I$2,'Budget révisé'!$A$2:$AO$2,0))</f>
        <v>594.10635000000002</v>
      </c>
      <c r="J214" s="297"/>
      <c r="K214" s="172"/>
      <c r="L214" s="174">
        <f>SUMIFS(BV_Data_An_Cour!$O:$O,BV_Data_An_Cour!$U:$U,$B214,BV_Data_An_Cour!$V:$V,$C214,BV_Data_An_Cour!$W:$W,$L$2)</f>
        <v>1233.52</v>
      </c>
      <c r="M214" s="297"/>
      <c r="N214" s="298">
        <f t="shared" si="123"/>
        <v>639.41364999999996</v>
      </c>
      <c r="O214" s="297"/>
      <c r="P214" s="172"/>
      <c r="Q214" s="174">
        <f>SUMIFS(BV_Data_An_Prec!$O:$O,BV_Data_An_Prec!$U:$U,$B214,BV_Data_An_Prec!$V:$V,$C214,BV_Data_An_Prec!$W:$W,$L$2)</f>
        <v>687.77</v>
      </c>
      <c r="R214" s="297"/>
      <c r="S214" s="193">
        <f t="shared" si="120"/>
        <v>545.75</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
        <v>3140</v>
      </c>
      <c r="B215" s="24" t="s">
        <v>155</v>
      </c>
      <c r="C215" s="320" t="s">
        <v>126</v>
      </c>
      <c r="D215" s="301"/>
      <c r="E215" s="302"/>
      <c r="F215" s="171">
        <f>+INDEX('Budget original'!$A$2:$AO$500,MATCH($A215,'Budget original'!$A$2:$A$500,0),MATCH(F$2,'Budget original'!$A$2:$AO$2,0))</f>
        <v>8105.5805333333319</v>
      </c>
      <c r="G215" s="303"/>
      <c r="H215" s="302"/>
      <c r="I215" s="171">
        <f>+INDEX('Budget révisé'!$A$2:$AO$500,MATCH($A215,'Budget révisé'!$A$2:$A$500,0),MATCH(I$2,'Budget révisé'!$A$2:$AO$2,0))</f>
        <v>8105.5805333333319</v>
      </c>
      <c r="J215" s="304"/>
      <c r="K215" s="302"/>
      <c r="L215" s="174">
        <f>SUMIFS(BV_Data_An_Cour!$O:$O,BV_Data_An_Cour!$U:$U,$B215,BV_Data_An_Cour!$V:$V,$C215,BV_Data_An_Cour!$W:$W,$L$2)</f>
        <v>1232.6500000000001</v>
      </c>
      <c r="M215" s="304"/>
      <c r="N215" s="305">
        <f t="shared" si="123"/>
        <v>-6872.9305333333323</v>
      </c>
      <c r="O215" s="304"/>
      <c r="P215" s="302"/>
      <c r="Q215" s="174">
        <f>SUMIFS(BV_Data_An_Prec!$O:$O,BV_Data_An_Prec!$U:$U,$B215,BV_Data_An_Prec!$V:$V,$C215,BV_Data_An_Prec!$W:$W,$L$2)</f>
        <v>2669.35</v>
      </c>
      <c r="R215" s="304"/>
      <c r="S215" s="196">
        <f t="shared" si="120"/>
        <v>-1436.6999999999998</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s="564" customFormat="1" ht="15.75" customHeight="1">
      <c r="A216" s="564" t="s">
        <v>3141</v>
      </c>
      <c r="B216" s="24" t="s">
        <v>155</v>
      </c>
      <c r="C216" s="258" t="s">
        <v>1989</v>
      </c>
      <c r="D216" s="295"/>
      <c r="E216" s="172"/>
      <c r="F216" s="173"/>
      <c r="G216" s="296"/>
      <c r="H216" s="172"/>
      <c r="I216" s="173"/>
      <c r="J216" s="297"/>
      <c r="K216" s="172"/>
      <c r="L216" s="175">
        <f>SUMIFS(BV_Data_An_Cour!$O:$O,BV_Data_An_Cour!$U:$U,$B216,BV_Data_An_Cour!$V:$V,$C216,BV_Data_An_Cour!$W:$W,$L$2)</f>
        <v>0</v>
      </c>
      <c r="M216" s="297"/>
      <c r="N216" s="298">
        <f t="shared" ref="N216" si="124">L216-I216</f>
        <v>0</v>
      </c>
      <c r="O216" s="297"/>
      <c r="P216" s="172"/>
      <c r="Q216" s="175">
        <f>SUMIFS(BV_Data_An_Prec!$O:$O,BV_Data_An_Prec!$U:$U,$B216,BV_Data_An_Prec!$V:$V,$C216,BV_Data_An_Prec!$W:$W,$L$2)</f>
        <v>0</v>
      </c>
      <c r="R216" s="297"/>
      <c r="S216" s="193">
        <f t="shared" ref="S216" si="125">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
        <v>3142</v>
      </c>
      <c r="B217" s="24" t="s">
        <v>155</v>
      </c>
      <c r="C217" s="258" t="s">
        <v>127</v>
      </c>
      <c r="D217" s="295"/>
      <c r="E217" s="172"/>
      <c r="F217" s="173">
        <f>+INDEX('Budget original'!$A$2:$AO$500,MATCH($A217,'Budget original'!$A$2:$A$500,0),MATCH(F$2,'Budget original'!$A$2:$AO$2,0))</f>
        <v>1442.0715389132433</v>
      </c>
      <c r="G217" s="296"/>
      <c r="H217" s="172"/>
      <c r="I217" s="173">
        <f>+INDEX('Budget révisé'!$A$2:$AO$500,MATCH($A217,'Budget révisé'!$A$2:$A$500,0),MATCH(I$2,'Budget révisé'!$A$2:$AO$2,0))</f>
        <v>1442.0715389132433</v>
      </c>
      <c r="J217" s="297"/>
      <c r="K217" s="172"/>
      <c r="L217" s="275">
        <f>SUMIFS(BV_Data_An_Cour!$O:$O,BV_Data_An_Cour!$U:$U,$B217,BV_Data_An_Cour!$V:$V,$C217,BV_Data_An_Cour!$W:$W,$L$2)</f>
        <v>4920.3599999999997</v>
      </c>
      <c r="M217" s="297"/>
      <c r="N217" s="298">
        <f t="shared" si="123"/>
        <v>3478.2884610867563</v>
      </c>
      <c r="O217" s="297"/>
      <c r="P217" s="172"/>
      <c r="Q217" s="174">
        <f>SUMIFS(BV_Data_An_Prec!$O:$O,BV_Data_An_Prec!$U:$U,$B217,BV_Data_An_Prec!$V:$V,$C217,BV_Data_An_Prec!$W:$W,$L$2)</f>
        <v>1377.24</v>
      </c>
      <c r="R217" s="297"/>
      <c r="S217" s="193">
        <f t="shared" si="120"/>
        <v>3543.12</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
        <v>3143</v>
      </c>
      <c r="B218" s="24" t="s">
        <v>155</v>
      </c>
      <c r="C218" s="258" t="s">
        <v>128</v>
      </c>
      <c r="D218" s="295"/>
      <c r="E218" s="172"/>
      <c r="F218" s="173">
        <f>+INDEX('Budget original'!$A$2:$AO$500,MATCH($A218,'Budget original'!$A$2:$A$500,0),MATCH(F$2,'Budget original'!$A$2:$AO$2,0))</f>
        <v>766.27890691642665</v>
      </c>
      <c r="G218" s="296"/>
      <c r="H218" s="172"/>
      <c r="I218" s="173">
        <f>+INDEX('Budget révisé'!$A$2:$AO$500,MATCH($A218,'Budget révisé'!$A$2:$A$500,0),MATCH(I$2,'Budget révisé'!$A$2:$AO$2,0))</f>
        <v>766.27890691642665</v>
      </c>
      <c r="J218" s="297"/>
      <c r="K218" s="172"/>
      <c r="L218" s="174">
        <f>SUMIFS(BV_Data_An_Cour!$O:$O,BV_Data_An_Cour!$U:$U,$B218,BV_Data_An_Cour!$V:$V,$C218,BV_Data_An_Cour!$W:$W,$L$2)</f>
        <v>5498.29</v>
      </c>
      <c r="M218" s="297"/>
      <c r="N218" s="298">
        <f t="shared" si="123"/>
        <v>4732.0110930835735</v>
      </c>
      <c r="O218" s="297"/>
      <c r="P218" s="172"/>
      <c r="Q218" s="174">
        <f>SUMIFS(BV_Data_An_Prec!$O:$O,BV_Data_An_Prec!$U:$U,$B218,BV_Data_An_Prec!$V:$V,$C218,BV_Data_An_Prec!$W:$W,$L$2)</f>
        <v>423.83</v>
      </c>
      <c r="R218" s="297"/>
      <c r="S218" s="193">
        <f t="shared" si="120"/>
        <v>5074.46</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
        <v>3144</v>
      </c>
      <c r="B219" s="24" t="s">
        <v>155</v>
      </c>
      <c r="C219" s="258" t="s">
        <v>129</v>
      </c>
      <c r="D219" s="295"/>
      <c r="E219" s="172"/>
      <c r="F219" s="173">
        <f>+INDEX('Budget original'!$A$2:$AO$500,MATCH($A219,'Budget original'!$A$2:$A$500,0),MATCH(F$2,'Budget original'!$A$2:$AO$2,0))</f>
        <v>489.64823999999999</v>
      </c>
      <c r="G219" s="296"/>
      <c r="H219" s="172"/>
      <c r="I219" s="173">
        <f>+INDEX('Budget révisé'!$A$2:$AO$500,MATCH($A219,'Budget révisé'!$A$2:$A$500,0),MATCH(I$2,'Budget révisé'!$A$2:$AO$2,0))</f>
        <v>489.64823999999999</v>
      </c>
      <c r="J219" s="297"/>
      <c r="K219" s="172"/>
      <c r="L219" s="958">
        <f>SUMIFS(BV_Data_An_Cour!$O:$O,BV_Data_An_Cour!$U:$U,$B219,BV_Data_An_Cour!$V:$V,$C219,BV_Data_An_Cour!$W:$W,$L$2)</f>
        <v>1750.75</v>
      </c>
      <c r="M219" s="297"/>
      <c r="N219" s="298">
        <f t="shared" si="123"/>
        <v>1261.10176</v>
      </c>
      <c r="O219" s="297"/>
      <c r="P219" s="172"/>
      <c r="Q219" s="548">
        <f>SUMIFS(BV_Data_An_Prec!$O:$O,BV_Data_An_Prec!$U:$U,$B219,BV_Data_An_Prec!$V:$V,$C219,BV_Data_An_Prec!$W:$W,$L$2)</f>
        <v>479.16</v>
      </c>
      <c r="R219" s="297"/>
      <c r="S219" s="193">
        <f t="shared" si="120"/>
        <v>1271.5899999999999</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
        <v>3145</v>
      </c>
      <c r="B220" s="24" t="s">
        <v>155</v>
      </c>
      <c r="C220" s="258" t="s">
        <v>130</v>
      </c>
      <c r="D220" s="295"/>
      <c r="E220" s="172"/>
      <c r="F220" s="173">
        <f>+INDEX('Budget original'!$A$2:$AO$500,MATCH($A220,'Budget original'!$A$2:$A$500,0),MATCH(F$2,'Budget original'!$A$2:$AO$2,0))</f>
        <v>226.09839500000001</v>
      </c>
      <c r="G220" s="296"/>
      <c r="H220" s="172"/>
      <c r="I220" s="173">
        <f>+INDEX('Budget révisé'!$A$2:$AO$500,MATCH($A220,'Budget révisé'!$A$2:$A$500,0),MATCH(I$2,'Budget révisé'!$A$2:$AO$2,0))</f>
        <v>226.09839500000001</v>
      </c>
      <c r="J220" s="297"/>
      <c r="K220" s="172"/>
      <c r="L220" s="275">
        <f>SUMIFS(BV_Data_An_Cour!$O:$O,BV_Data_An_Cour!$U:$U,$B220,BV_Data_An_Cour!$V:$V,$C220,BV_Data_An_Cour!$W:$W,$L$2)</f>
        <v>130.22999999999999</v>
      </c>
      <c r="M220" s="297"/>
      <c r="N220" s="298">
        <f t="shared" si="123"/>
        <v>-95.868395000000021</v>
      </c>
      <c r="O220" s="297"/>
      <c r="P220" s="172"/>
      <c r="Q220" s="174">
        <f>SUMIFS(BV_Data_An_Prec!$O:$O,BV_Data_An_Prec!$U:$U,$B220,BV_Data_An_Prec!$V:$V,$C220,BV_Data_An_Prec!$W:$W,$L$2)</f>
        <v>203.5</v>
      </c>
      <c r="R220" s="297"/>
      <c r="S220" s="193">
        <f t="shared" si="120"/>
        <v>-73.27000000000001</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
        <v>3146</v>
      </c>
      <c r="B221" s="24" t="s">
        <v>155</v>
      </c>
      <c r="C221" s="258" t="s">
        <v>131</v>
      </c>
      <c r="D221" s="295"/>
      <c r="E221" s="172"/>
      <c r="F221" s="173">
        <f>+INDEX('Budget original'!$A$2:$AO$500,MATCH($A221,'Budget original'!$A$2:$A$500,0),MATCH(F$2,'Budget original'!$A$2:$AO$2,0))</f>
        <v>120.68780499999997</v>
      </c>
      <c r="G221" s="296"/>
      <c r="H221" s="172"/>
      <c r="I221" s="173">
        <f>+INDEX('Budget révisé'!$A$2:$AO$500,MATCH($A221,'Budget révisé'!$A$2:$A$500,0),MATCH(I$2,'Budget révisé'!$A$2:$AO$2,0))</f>
        <v>120.68780499999997</v>
      </c>
      <c r="J221" s="297"/>
      <c r="K221" s="172"/>
      <c r="L221" s="275">
        <f>SUMIFS(BV_Data_An_Cour!$O:$O,BV_Data_An_Cour!$U:$U,$B221,BV_Data_An_Cour!$V:$V,$C221,BV_Data_An_Cour!$W:$W,$L$2)</f>
        <v>76.099999999999994</v>
      </c>
      <c r="M221" s="297"/>
      <c r="N221" s="298">
        <f t="shared" si="123"/>
        <v>-44.587804999999975</v>
      </c>
      <c r="O221" s="297"/>
      <c r="P221" s="172"/>
      <c r="Q221" s="174">
        <f>SUMIFS(BV_Data_An_Prec!$O:$O,BV_Data_An_Prec!$U:$U,$B221,BV_Data_An_Prec!$V:$V,$C221,BV_Data_An_Prec!$W:$W,$L$2)</f>
        <v>114.64</v>
      </c>
      <c r="R221" s="297"/>
      <c r="S221" s="193">
        <f t="shared" si="120"/>
        <v>-38.540000000000006</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
        <v>3147</v>
      </c>
      <c r="B222" s="24" t="s">
        <v>155</v>
      </c>
      <c r="C222" s="258" t="s">
        <v>132</v>
      </c>
      <c r="D222" s="295"/>
      <c r="E222" s="172"/>
      <c r="F222" s="173">
        <f>+INDEX('Budget original'!$A$2:$AO$500,MATCH($A222,'Budget original'!$A$2:$A$500,0),MATCH(F$2,'Budget original'!$A$2:$AO$2,0))</f>
        <v>582.1751949999998</v>
      </c>
      <c r="G222" s="296"/>
      <c r="H222" s="172"/>
      <c r="I222" s="173">
        <f>+INDEX('Budget révisé'!$A$2:$AO$500,MATCH($A222,'Budget révisé'!$A$2:$A$500,0),MATCH(I$2,'Budget révisé'!$A$2:$AO$2,0))</f>
        <v>582.1751949999998</v>
      </c>
      <c r="J222" s="297"/>
      <c r="K222" s="172"/>
      <c r="L222" s="275">
        <f>SUMIFS(BV_Data_An_Cour!$O:$O,BV_Data_An_Cour!$U:$U,$B222,BV_Data_An_Cour!$V:$V,$C222,BV_Data_An_Cour!$W:$W,$L$2)</f>
        <v>200.71</v>
      </c>
      <c r="M222" s="297"/>
      <c r="N222" s="298">
        <f t="shared" si="123"/>
        <v>-381.46519499999977</v>
      </c>
      <c r="O222" s="297"/>
      <c r="P222" s="172"/>
      <c r="Q222" s="174">
        <f>SUMIFS(BV_Data_An_Prec!$O:$O,BV_Data_An_Prec!$U:$U,$B222,BV_Data_An_Prec!$V:$V,$C222,BV_Data_An_Prec!$W:$W,$L$2)</f>
        <v>898.81</v>
      </c>
      <c r="R222" s="297"/>
      <c r="S222" s="193">
        <f t="shared" si="120"/>
        <v>-698.09999999999991</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
        <v>3148</v>
      </c>
      <c r="B223" s="24" t="s">
        <v>155</v>
      </c>
      <c r="C223" s="258" t="s">
        <v>133</v>
      </c>
      <c r="D223" s="295"/>
      <c r="E223" s="172"/>
      <c r="F223" s="173">
        <f>+INDEX('Budget original'!$A$2:$AO$500,MATCH($A223,'Budget original'!$A$2:$A$500,0),MATCH(F$2,'Budget original'!$A$2:$AO$2,0))</f>
        <v>864.94219999999996</v>
      </c>
      <c r="G223" s="296"/>
      <c r="H223" s="172"/>
      <c r="I223" s="173">
        <f>+INDEX('Budget révisé'!$A$2:$AO$500,MATCH($A223,'Budget révisé'!$A$2:$A$500,0),MATCH(I$2,'Budget révisé'!$A$2:$AO$2,0))</f>
        <v>864.94219999999996</v>
      </c>
      <c r="J223" s="297"/>
      <c r="K223" s="172"/>
      <c r="L223" s="275">
        <f>SUMIFS(BV_Data_An_Cour!$O:$O,BV_Data_An_Cour!$U:$U,$B223,BV_Data_An_Cour!$V:$V,$C223,BV_Data_An_Cour!$W:$W,$L$2)</f>
        <v>986.64</v>
      </c>
      <c r="M223" s="297"/>
      <c r="N223" s="298">
        <f t="shared" si="123"/>
        <v>121.69780000000003</v>
      </c>
      <c r="O223" s="297"/>
      <c r="P223" s="172"/>
      <c r="Q223" s="174">
        <f>SUMIFS(BV_Data_An_Prec!$O:$O,BV_Data_An_Prec!$U:$U,$B223,BV_Data_An_Prec!$V:$V,$C223,BV_Data_An_Prec!$W:$W,$L$2)</f>
        <v>2298.75</v>
      </c>
      <c r="R223" s="297"/>
      <c r="S223" s="193">
        <f t="shared" si="120"/>
        <v>-1312.1100000000001</v>
      </c>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
        <v>3149</v>
      </c>
      <c r="B224" s="24" t="s">
        <v>155</v>
      </c>
      <c r="C224" s="258" t="s">
        <v>134</v>
      </c>
      <c r="D224" s="295"/>
      <c r="E224" s="172"/>
      <c r="F224" s="173">
        <f>+INDEX('Budget original'!$A$2:$AO$500,MATCH($A224,'Budget original'!$A$2:$A$500,0),MATCH(F$2,'Budget original'!$A$2:$AO$2,0))</f>
        <v>2300.1241125637116</v>
      </c>
      <c r="G224" s="296"/>
      <c r="H224" s="172"/>
      <c r="I224" s="173">
        <f>+INDEX('Budget révisé'!$A$2:$AO$500,MATCH($A224,'Budget révisé'!$A$2:$A$500,0),MATCH(I$2,'Budget révisé'!$A$2:$AO$2,0))</f>
        <v>2300.1241125637116</v>
      </c>
      <c r="J224" s="297"/>
      <c r="K224" s="172"/>
      <c r="L224" s="275">
        <f>AF447*W5</f>
        <v>2127.9825000000001</v>
      </c>
      <c r="M224" s="297"/>
      <c r="N224" s="298">
        <f t="shared" si="123"/>
        <v>-172.14161256371153</v>
      </c>
      <c r="O224" s="297"/>
      <c r="P224" s="172"/>
      <c r="Q224" s="275">
        <f>AL447*W5</f>
        <v>1551.4222500000001</v>
      </c>
      <c r="R224" s="297"/>
      <c r="S224" s="193">
        <f t="shared" si="120"/>
        <v>576.56025</v>
      </c>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
        <v>3129</v>
      </c>
      <c r="B225" s="24" t="s">
        <v>155</v>
      </c>
      <c r="C225" s="258" t="s">
        <v>42</v>
      </c>
      <c r="D225" s="295"/>
      <c r="E225" s="172"/>
      <c r="F225" s="173">
        <f>+INDEX('Budget original'!$A$2:$AO$500,MATCH($A225,'Budget original'!$A$2:$A$500,0),MATCH(F$2,'Budget original'!$A$2:$AO$2,0))</f>
        <v>0</v>
      </c>
      <c r="G225" s="296"/>
      <c r="H225" s="172"/>
      <c r="I225" s="173">
        <f>+INDEX('Budget révisé'!$A$2:$AO$500,MATCH($A225,'Budget révisé'!$A$2:$A$500,0),MATCH(I$2,'Budget révisé'!$A$2:$AO$2,0))</f>
        <v>0</v>
      </c>
      <c r="J225" s="297"/>
      <c r="K225" s="172"/>
      <c r="L225" s="275">
        <f>SUMIFS(BV_Data_An_Cour!$O:$O,BV_Data_An_Cour!$U:$U,$B225,BV_Data_An_Cour!$V:$V,$C225,BV_Data_An_Cour!$W:$W,$L$2)</f>
        <v>0</v>
      </c>
      <c r="M225" s="297"/>
      <c r="N225" s="298">
        <f t="shared" si="123"/>
        <v>0</v>
      </c>
      <c r="O225" s="297"/>
      <c r="P225" s="172"/>
      <c r="Q225" s="174">
        <f>SUMIFS(BV_Data_An_Prec!$O:$O,BV_Data_An_Prec!$U:$U,$B225,BV_Data_An_Prec!$V:$V,$C225,BV_Data_An_Prec!$W:$W,$L$2)</f>
        <v>0</v>
      </c>
      <c r="R225" s="297"/>
      <c r="S225" s="193">
        <f t="shared" si="120"/>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s="564" customFormat="1" ht="15.75" hidden="1" customHeight="1">
      <c r="A226" s="564" t="s">
        <v>3129</v>
      </c>
      <c r="B226" s="24" t="s">
        <v>155</v>
      </c>
      <c r="C226" s="258" t="s">
        <v>42</v>
      </c>
      <c r="D226" s="295"/>
      <c r="E226" s="172"/>
      <c r="F226" s="173">
        <f>+INDEX('Budget original'!$A$2:$AO$500,MATCH($A226,'Budget original'!$A$2:$A$500,0),MATCH(F$2,'Budget original'!$A$2:$AO$2,0))</f>
        <v>0</v>
      </c>
      <c r="G226" s="296"/>
      <c r="H226" s="172"/>
      <c r="I226" s="173">
        <f>+INDEX('Budget révisé'!$A$2:$AO$500,MATCH($A226,'Budget révisé'!$A$2:$A$500,0),MATCH(I$2,'Budget révisé'!$A$2:$AO$2,0))</f>
        <v>0</v>
      </c>
      <c r="J226" s="297"/>
      <c r="K226" s="172"/>
      <c r="L226" s="275">
        <f>SUMIFS(BV_Data_An_Cour!$O:$O,BV_Data_An_Cour!$U:$U,$B226,BV_Data_An_Cour!$V:$V,$C226,BV_Data_An_Cour!$W:$W,$L$2)</f>
        <v>0</v>
      </c>
      <c r="M226" s="297"/>
      <c r="N226" s="298">
        <f t="shared" ref="N226" si="126">L226-I226</f>
        <v>0</v>
      </c>
      <c r="O226" s="297"/>
      <c r="P226" s="172"/>
      <c r="Q226" s="174">
        <f>SUMIFS(BV_Data_An_Prec!$O:$O,BV_Data_An_Prec!$U:$U,$B226,BV_Data_An_Prec!$V:$V,$C226,BV_Data_An_Prec!$W:$W,$L$2)</f>
        <v>0</v>
      </c>
      <c r="R226" s="297"/>
      <c r="S226" s="193">
        <f t="shared" ref="S226" si="127">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
        <v>3129</v>
      </c>
      <c r="B227" s="24" t="s">
        <v>155</v>
      </c>
      <c r="C227" s="258" t="s">
        <v>42</v>
      </c>
      <c r="D227" s="295"/>
      <c r="E227" s="172"/>
      <c r="F227" s="173">
        <f>+INDEX('Budget original'!$A$2:$AO$500,MATCH($A227,'Budget original'!$A$2:$A$500,0),MATCH(F$2,'Budget original'!$A$2:$AO$2,0))</f>
        <v>0</v>
      </c>
      <c r="G227" s="296"/>
      <c r="H227" s="172"/>
      <c r="I227" s="173">
        <f>+INDEX('Budget révisé'!$A$2:$AO$500,MATCH($A227,'Budget révisé'!$A$2:$A$500,0),MATCH(I$2,'Budget révisé'!$A$2:$AO$2,0))</f>
        <v>0</v>
      </c>
      <c r="J227" s="297"/>
      <c r="K227" s="172"/>
      <c r="L227" s="275">
        <f>SUMIFS(BV_Data_An_Cour!$O:$O,BV_Data_An_Cour!$U:$U,$B227,BV_Data_An_Cour!$V:$V,$C227,BV_Data_An_Cour!$W:$W,$L$2)</f>
        <v>0</v>
      </c>
      <c r="M227" s="297"/>
      <c r="N227" s="298">
        <f t="shared" si="123"/>
        <v>0</v>
      </c>
      <c r="O227" s="297"/>
      <c r="P227" s="172"/>
      <c r="Q227" s="174">
        <f>SUMIFS(BV_Data_An_Prec!$O:$O,BV_Data_An_Prec!$U:$U,$B227,BV_Data_An_Prec!$V:$V,$C227,BV_Data_An_Prec!$W:$W,$L$2)</f>
        <v>0</v>
      </c>
      <c r="R227" s="297"/>
      <c r="S227" s="193">
        <f t="shared" si="120"/>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0.22493351996012009</v>
      </c>
      <c r="F228" s="41">
        <f>+SUM(F210:F227)</f>
        <v>48100.931902563112</v>
      </c>
      <c r="G228" s="42" t="s">
        <v>170</v>
      </c>
      <c r="H228" s="40">
        <f>I228/I$193</f>
        <v>0.22493351996012009</v>
      </c>
      <c r="I228" s="41">
        <f>+SUM(I210:I227)</f>
        <v>48100.931902563112</v>
      </c>
      <c r="J228" s="42" t="s">
        <v>170</v>
      </c>
      <c r="K228" s="40">
        <f>L228/L$193</f>
        <v>0.27650879242819615</v>
      </c>
      <c r="L228" s="41">
        <f>+SUM(L210:L227)</f>
        <v>55161.792499999996</v>
      </c>
      <c r="M228" s="44"/>
      <c r="N228" s="41">
        <f t="shared" ref="N228" si="128">L228-I228</f>
        <v>7060.8605974368838</v>
      </c>
      <c r="O228" s="42" t="s">
        <v>170</v>
      </c>
      <c r="P228" s="40">
        <f>Q228/Q$193</f>
        <v>0.25388475031571128</v>
      </c>
      <c r="Q228" s="41">
        <f>+SUM(Q210:Q227)</f>
        <v>44396.072249999997</v>
      </c>
      <c r="R228" s="44"/>
      <c r="S228" s="310">
        <f t="shared" ref="S228" si="129">L228-Q228</f>
        <v>10765.720249999998</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0.76795682708324309</v>
      </c>
      <c r="F230" s="41">
        <f>F209+F228</f>
        <v>164223.80732844415</v>
      </c>
      <c r="G230" s="42" t="s">
        <v>111</v>
      </c>
      <c r="H230" s="40">
        <f>I230/I$193</f>
        <v>0.76795682708324309</v>
      </c>
      <c r="I230" s="41">
        <f>I209+I228</f>
        <v>164223.80732844415</v>
      </c>
      <c r="J230" s="42" t="s">
        <v>111</v>
      </c>
      <c r="K230" s="40">
        <f>L230/L$193</f>
        <v>0.82325903996720495</v>
      </c>
      <c r="L230" s="41">
        <f>L209+L228</f>
        <v>164235.08249999999</v>
      </c>
      <c r="M230" s="44"/>
      <c r="N230" s="46">
        <f t="shared" ref="N230:N231" si="130">L230-I230</f>
        <v>11.275171555840643</v>
      </c>
      <c r="O230" s="42" t="s">
        <v>111</v>
      </c>
      <c r="P230" s="40">
        <f>Q230/Q$193</f>
        <v>0.79328992006097443</v>
      </c>
      <c r="Q230" s="41">
        <f>Q209+Q228</f>
        <v>138720.25225000002</v>
      </c>
      <c r="R230" s="44"/>
      <c r="S230" s="293">
        <f>L230-Q230</f>
        <v>25514.83024999997</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30"/>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49621.296376380429</v>
      </c>
      <c r="G232" s="338"/>
      <c r="H232" s="336"/>
      <c r="I232" s="337">
        <f>I193-I230</f>
        <v>49621.296376380429</v>
      </c>
      <c r="J232" s="339"/>
      <c r="K232" s="340"/>
      <c r="L232" s="337">
        <f>L193-L230</f>
        <v>35258.727500000008</v>
      </c>
      <c r="M232" s="339"/>
      <c r="N232" s="337">
        <f>L232-I232</f>
        <v>-14362.568876380421</v>
      </c>
      <c r="O232" s="339"/>
      <c r="P232" s="340"/>
      <c r="Q232" s="337">
        <f>Q193-Q230</f>
        <v>36146.777749999979</v>
      </c>
      <c r="R232" s="339"/>
      <c r="S232" s="341">
        <f>L232-Q232</f>
        <v>-888.05024999997113</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1192" t="str">
        <f>C1</f>
        <v>Volks</v>
      </c>
      <c r="D235" s="19"/>
      <c r="E235" s="19"/>
      <c r="F235" s="19"/>
      <c r="G235" s="19"/>
      <c r="H235" s="18"/>
      <c r="I235" s="18"/>
      <c r="J235" s="18"/>
      <c r="K235" s="5" t="s">
        <v>171</v>
      </c>
      <c r="L235" s="19"/>
      <c r="M235" s="19"/>
      <c r="N235" s="18"/>
      <c r="O235" s="18"/>
      <c r="P235" s="19"/>
      <c r="Q235" s="18"/>
      <c r="R235" s="19"/>
      <c r="S235" s="6" t="str">
        <f>$S$1</f>
        <v>Réalisé, Mai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426" t="s">
        <v>77</v>
      </c>
      <c r="E237" s="1427"/>
      <c r="F237" s="1428"/>
      <c r="G237" s="1429" t="s">
        <v>145</v>
      </c>
      <c r="H237" s="1427"/>
      <c r="I237" s="1428"/>
      <c r="J237" s="1429" t="s">
        <v>79</v>
      </c>
      <c r="K237" s="1427"/>
      <c r="L237" s="1428"/>
      <c r="M237" s="1429" t="s">
        <v>80</v>
      </c>
      <c r="N237" s="1428"/>
      <c r="O237" s="1426" t="s">
        <v>81</v>
      </c>
      <c r="P237" s="1427"/>
      <c r="Q237" s="1428"/>
      <c r="R237" s="1429" t="s">
        <v>82</v>
      </c>
      <c r="S237" s="1430"/>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
        <v>171</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
        <v>171</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
        <v>3150</v>
      </c>
      <c r="B240" s="24" t="s">
        <v>171</v>
      </c>
      <c r="C240" s="544" t="s">
        <v>172</v>
      </c>
      <c r="D240" s="260">
        <f>+INDEX('Budget original'!$A$2:$AO$500,MATCH($A240,'Budget original'!$A$2:$A$500,0),MATCH(D$2,'Budget original'!$A$2:$AO$2,0))</f>
        <v>0</v>
      </c>
      <c r="E240" s="191">
        <f>+INDEX('Budget original'!$A$2:$AO$500,MATCH($A240,'Budget original'!$A$2:$A$500,0),MATCH(E$2,'Budget original'!$A$2:$AO$2,0))</f>
        <v>81121.73058423333</v>
      </c>
      <c r="F240" s="191">
        <f>+INDEX('Budget original'!$A$2:$AO$500,MATCH($A240,'Budget original'!$A$2:$A$500,0),MATCH(F$2,'Budget original'!$A$2:$AO$2,0))</f>
        <v>17944.203644497389</v>
      </c>
      <c r="G240" s="342">
        <f>+INDEX('Budget révisé'!$A$2:$AO$500,MATCH($A240,'Budget révisé'!$A$2:$A$500,0),MATCH(G$2,'Budget révisé'!$A$2:$AO$2,0))</f>
        <v>0</v>
      </c>
      <c r="H240" s="191">
        <f>+INDEX('Budget révisé'!$A$2:$AO$500,MATCH($A240,'Budget révisé'!$A$2:$A$500,0),MATCH(H$2,'Budget révisé'!$A$2:$AO$2,0))</f>
        <v>81121.73058423333</v>
      </c>
      <c r="I240" s="191">
        <f>+INDEX('Budget révisé'!$A$2:$AO$500,MATCH($A240,'Budget révisé'!$A$2:$A$500,0),MATCH(I$2,'Budget révisé'!$A$2:$AO$2,0))</f>
        <v>17944.203644497389</v>
      </c>
      <c r="J240" s="319">
        <f>-SUMIFS(BV_Data_An_Cour!$O:$O,BV_Data_An_Cour!$U:$U,$B240,BV_Data_An_Cour!$V:$V,$C240,BV_Data_An_Cour!$W:$W,J$2)</f>
        <v>76</v>
      </c>
      <c r="K240" s="173">
        <f>-SUMIFS(BV_Data_An_Cour!$O:$O,BV_Data_An_Cour!$X:$X,"Oui",BV_Data_An_Cour!$U:$U,$B240,BV_Data_An_Cour!$V:$V,$C240)</f>
        <v>111522.40999999999</v>
      </c>
      <c r="L240" s="174">
        <f>-SUMIFS(BV_Data_An_Cour!$O:$O,BV_Data_An_Cour!$U:$U,$B240,BV_Data_An_Cour!$V:$V,$C240,BV_Data_An_Cour!$W:$W,$L$2)</f>
        <v>20268.699999999997</v>
      </c>
      <c r="M240" s="318">
        <f>IFERROR((K240-H240)/H240,0)</f>
        <v>0.37475383225706577</v>
      </c>
      <c r="N240" s="298">
        <f>L240-I240</f>
        <v>2324.4963555026079</v>
      </c>
      <c r="O240" s="319">
        <f>-SUMIFS(BV_Data_An_Prec!$O:$O,BV_Data_An_Prec!$U:$U,$B240,BV_Data_An_Prec!$V:$V,$C240,BV_Data_An_Prec!$W:$W,O$2)</f>
        <v>42</v>
      </c>
      <c r="P240" s="173">
        <f>-SUMIFS(BV_Data_An_Prec!$O:$O,BV_Data_An_Prec!$X:$X,"Oui",BV_Data_An_Prec!$U:$U,$B240,BV_Data_An_Prec!$V:$V,$C240)</f>
        <v>49052.24</v>
      </c>
      <c r="Q240" s="174">
        <f>-SUMIFS(BV_Data_An_Prec!$O:$O,BV_Data_An_Prec!$U:$U,$B240,BV_Data_An_Prec!$V:$V,$C240,BV_Data_An_Prec!$W:$W,$L$2)</f>
        <v>10604.860000000002</v>
      </c>
      <c r="R240" s="318">
        <f>IF(O240=0,0,J240/O240)</f>
        <v>1.8095238095238095</v>
      </c>
      <c r="S240" s="193">
        <f>L240-Q240</f>
        <v>9663.8399999999947</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
        <v>3151</v>
      </c>
      <c r="B241" s="24" t="s">
        <v>171</v>
      </c>
      <c r="C241" s="258" t="s">
        <v>160</v>
      </c>
      <c r="D241" s="260"/>
      <c r="E241" s="343"/>
      <c r="F241" s="344">
        <f>IFERROR(F240/E240,0)</f>
        <v>0.22120094720939043</v>
      </c>
      <c r="G241" s="297"/>
      <c r="H241" s="343"/>
      <c r="I241" s="344">
        <f>IFERROR(I240/H240,0)</f>
        <v>0.22120094720939043</v>
      </c>
      <c r="J241" s="319"/>
      <c r="K241" s="172"/>
      <c r="L241" s="344">
        <f>IFERROR(L240/K240,0)</f>
        <v>0.18174553437286728</v>
      </c>
      <c r="M241" s="318"/>
      <c r="N241" s="298">
        <f>IFERROR(N240/M240,0)</f>
        <v>6202.7287126128667</v>
      </c>
      <c r="O241" s="319"/>
      <c r="P241" s="172"/>
      <c r="Q241" s="344">
        <f>IFERROR(Q240/P240,0)</f>
        <v>0.21619522370436095</v>
      </c>
      <c r="R241" s="319"/>
      <c r="S241" s="193">
        <f>IFERROR(S240/R240,0)</f>
        <v>5340.5431578947337</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
        <v>171</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
        <v>3152</v>
      </c>
      <c r="B243" s="24" t="s">
        <v>171</v>
      </c>
      <c r="C243" s="345" t="s">
        <v>173</v>
      </c>
      <c r="D243" s="346">
        <f>+INDEX('Budget original'!$A$2:$AO$500,MATCH($A243,'Budget original'!$A$2:$A$500,0),MATCH(D$2,'Budget original'!$A$2:$AO$2,0))</f>
        <v>0</v>
      </c>
      <c r="E243" s="191">
        <f>+INDEX('Budget original'!$A$2:$AO$500,MATCH($A243,'Budget original'!$A$2:$A$500,0),MATCH(E$2,'Budget original'!$A$2:$AO$2,0))</f>
        <v>0</v>
      </c>
      <c r="F243" s="191">
        <f>+INDEX('Budget original'!$A$2:$AO$500,MATCH($A243,'Budget original'!$A$2:$A$500,0),MATCH(F$2,'Budget original'!$A$2:$AO$2,0))</f>
        <v>0</v>
      </c>
      <c r="G243" s="347">
        <f>+INDEX('Budget révisé'!$A$2:$AO$500,MATCH($A243,'Budget révisé'!$A$2:$A$500,0),MATCH(G$2,'Budget révisé'!$A$2:$AO$2,0))</f>
        <v>0</v>
      </c>
      <c r="H243" s="191">
        <f>+INDEX('Budget révisé'!$A$2:$AO$500,MATCH($A243,'Budget révisé'!$A$2:$A$500,0),MATCH(H$2,'Budget révisé'!$A$2:$AO$2,0))</f>
        <v>0</v>
      </c>
      <c r="I243" s="191">
        <f>+INDEX('Budget révisé'!$A$2:$AO$500,MATCH($A243,'Budget révisé'!$A$2:$A$500,0),MATCH(I$2,'Budget révisé'!$A$2:$AO$2,0))</f>
        <v>0</v>
      </c>
      <c r="J243" s="348">
        <f>SUMIFS(BV_Data_An_Cour!$C$1:$C$453,BV_Data_An_Cour!$V$1:$V$453,$C243,BV_Data_An_Cour!$U$1:$U$453,$K$235)</f>
        <v>0</v>
      </c>
      <c r="K243" s="180">
        <f>-SUMIFS(BV_Data_An_Cour!$O:$O,BV_Data_An_Cour!$X:$X,"Oui",BV_Data_An_Cour!$U:$U,$B243,BV_Data_An_Cour!$V:$V,$C243)</f>
        <v>0</v>
      </c>
      <c r="L243" s="175">
        <f>-SUMIFS(BV_Data_An_Cour!$O:$O,BV_Data_An_Cour!$U:$U,$B243,BV_Data_An_Cour!$V:$V,$C243,BV_Data_An_Cour!$W:$W,$L$2)</f>
        <v>0</v>
      </c>
      <c r="M243" s="349" t="e">
        <f>(K243-H243)/H243</f>
        <v>#DIV/0!</v>
      </c>
      <c r="N243" s="350">
        <f>L243-I243</f>
        <v>0</v>
      </c>
      <c r="O243" s="348">
        <f>SUMIFS(BV_Data_An_Prec!$C$1:$C$637,BV_Data_An_Prec!$V$1:$V$637,$C243,BV_Data_An_Prec!$U$1:$U$637,$K$235)</f>
        <v>0</v>
      </c>
      <c r="P243" s="180">
        <f>-SUMIFS(BV_Data_An_Prec!$O:$O,BV_Data_An_Prec!$X:$X,"Oui",BV_Data_An_Prec!$U:$U,$B243,BV_Data_An_Prec!$V:$V,$C243)</f>
        <v>0</v>
      </c>
      <c r="Q243" s="175">
        <f>-SUMIFS(BV_Data_An_Prec!$O:$O,BV_Data_An_Prec!$U:$U,$B243,BV_Data_An_Prec!$V:$V,$C243,BV_Data_An_Prec!$W:$W,$L$2)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
        <v>3151</v>
      </c>
      <c r="B244" s="24" t="s">
        <v>171</v>
      </c>
      <c r="C244" s="258" t="s">
        <v>160</v>
      </c>
      <c r="D244" s="172"/>
      <c r="E244" s="343"/>
      <c r="F244" s="344" t="e">
        <f>F243/E243</f>
        <v>#DIV/0!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
        <v>171</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
        <v>3153</v>
      </c>
      <c r="B246" s="24" t="s">
        <v>171</v>
      </c>
      <c r="C246" s="345" t="s">
        <v>174</v>
      </c>
      <c r="D246" s="351">
        <v>0</v>
      </c>
      <c r="E246" s="191">
        <v>0</v>
      </c>
      <c r="F246" s="191">
        <v>0</v>
      </c>
      <c r="G246" s="348">
        <v>0</v>
      </c>
      <c r="H246" s="191">
        <v>0</v>
      </c>
      <c r="I246" s="191">
        <v>0</v>
      </c>
      <c r="J246" s="348">
        <f>SUMIFS(BV_Data_An_Cour!$C$1:$C$453,BV_Data_An_Cour!$V$1:$V$453,$C246,BV_Data_An_Cour!$U$1:$U$453,$K$235)</f>
        <v>0</v>
      </c>
      <c r="K246" s="173">
        <f>-SUMIFS(BV_Data_An_Cour!$O:$O,BV_Data_An_Cour!$X:$X,"Oui",BV_Data_An_Cour!$U:$U,$B246,BV_Data_An_Cour!$V:$V,$C246)</f>
        <v>0</v>
      </c>
      <c r="L246" s="174">
        <f>-SUMIFS(BV_Data_An_Cour!$O:$O,BV_Data_An_Cour!$U:$U,$B246,BV_Data_An_Cour!$V:$V,$C246,BV_Data_An_Cour!$W:$W,$L$2)</f>
        <v>0</v>
      </c>
      <c r="M246" s="318" t="e">
        <f>(K246-H246)/H246</f>
        <v>#DIV/0!</v>
      </c>
      <c r="N246" s="350">
        <f>L246-I246</f>
        <v>0</v>
      </c>
      <c r="O246" s="348">
        <f>SUMIFS(BV_Data_An_Prec!$C$1:$C$637,BV_Data_An_Prec!$V$1:$V$637,$C246,BV_Data_An_Prec!$U$1:$U$637,$K$235)</f>
        <v>0</v>
      </c>
      <c r="P246" s="173">
        <f>-SUMIFS(BV_Data_An_Prec!$O:$O,BV_Data_An_Prec!$X:$X,"Oui",BV_Data_An_Prec!$U:$U,$B246,BV_Data_An_Prec!$V:$V,$C246)</f>
        <v>0</v>
      </c>
      <c r="Q246" s="174">
        <f>-SUMIFS(BV_Data_An_Prec!$O:$O,BV_Data_An_Prec!$U:$U,$B246,BV_Data_An_Prec!$V:$V,$C246,BV_Data_An_Prec!$W:$W,$L$2)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
        <v>3151</v>
      </c>
      <c r="B247" s="24" t="s">
        <v>171</v>
      </c>
      <c r="C247" s="258" t="s">
        <v>160</v>
      </c>
      <c r="D247" s="172"/>
      <c r="E247" s="172"/>
      <c r="F247" s="344" t="e">
        <f>F246/E246</f>
        <v>#DIV/0!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
        <v>171</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
        <v>3154</v>
      </c>
      <c r="B249" s="24" t="s">
        <v>171</v>
      </c>
      <c r="C249" s="263" t="s">
        <v>169</v>
      </c>
      <c r="D249" s="26"/>
      <c r="E249" s="26">
        <f t="shared" ref="E249:F249" si="131">E243+E246+E240</f>
        <v>81121.73058423333</v>
      </c>
      <c r="F249" s="28">
        <f t="shared" si="131"/>
        <v>17944.203644497389</v>
      </c>
      <c r="G249" s="29"/>
      <c r="H249" s="26">
        <f t="shared" ref="H249:I249" si="132">H243+H246+H240</f>
        <v>81121.73058423333</v>
      </c>
      <c r="I249" s="28">
        <f t="shared" si="132"/>
        <v>17944.203644497389</v>
      </c>
      <c r="J249" s="29"/>
      <c r="K249" s="26">
        <f t="shared" ref="K249:L249" si="133">K243+K246+K240</f>
        <v>111522.40999999999</v>
      </c>
      <c r="L249" s="28">
        <f t="shared" si="133"/>
        <v>20268.699999999997</v>
      </c>
      <c r="M249" s="70">
        <f>L250-I250</f>
        <v>-3.9455412836523152E-2</v>
      </c>
      <c r="N249" s="28">
        <f>L249-I249</f>
        <v>2324.4963555026079</v>
      </c>
      <c r="O249" s="29"/>
      <c r="P249" s="26">
        <f t="shared" ref="P249:Q249" si="134">P243+P246+P240</f>
        <v>49052.24</v>
      </c>
      <c r="Q249" s="28">
        <f t="shared" si="134"/>
        <v>10604.860000000002</v>
      </c>
      <c r="R249" s="1211">
        <f>L250-Q250</f>
        <v>-3.4449689331493671E-2</v>
      </c>
      <c r="S249" s="357">
        <f>L249-Q249</f>
        <v>9663.8399999999947</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
        <v>171</v>
      </c>
      <c r="B250" s="24" t="s">
        <v>171</v>
      </c>
      <c r="C250" s="358"/>
      <c r="D250" s="359"/>
      <c r="E250" s="359"/>
      <c r="F250" s="34">
        <f>F249/E249</f>
        <v>0.22120094720939043</v>
      </c>
      <c r="G250" s="31"/>
      <c r="H250" s="359"/>
      <c r="I250" s="34">
        <f>I249/H249</f>
        <v>0.22120094720939043</v>
      </c>
      <c r="J250" s="31"/>
      <c r="K250" s="359"/>
      <c r="L250" s="34">
        <f>IF(K249=0,0,L249/K249)</f>
        <v>0.18174553437286728</v>
      </c>
      <c r="M250" s="33"/>
      <c r="N250" s="34">
        <f>N249/I249</f>
        <v>0.12954023491677311</v>
      </c>
      <c r="O250" s="31"/>
      <c r="P250" s="359"/>
      <c r="Q250" s="34">
        <f>IF(P249=0,0,Q249/P249)</f>
        <v>0.21619522370436095</v>
      </c>
      <c r="R250" s="33"/>
      <c r="S250" s="1378">
        <f>S249/Q249</f>
        <v>0.9112652123648961</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
        <v>171</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
        <v>3155</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
        <v>3156</v>
      </c>
      <c r="B253" s="24" t="s">
        <v>171</v>
      </c>
      <c r="C253" s="274" t="s">
        <v>112</v>
      </c>
      <c r="D253" s="227"/>
      <c r="E253" s="227"/>
      <c r="F253" s="225">
        <f>+INDEX('Budget original'!$A$2:$AO$500,MATCH($A253,'Budget original'!$A$2:$A$500,0),MATCH(F$2,'Budget original'!$A$2:$AO$2,0))</f>
        <v>325.80440613026821</v>
      </c>
      <c r="G253" s="221"/>
      <c r="H253" s="227"/>
      <c r="I253" s="225">
        <f>+INDEX('Budget révisé'!$A$2:$AO$500,MATCH($A253,'Budget révisé'!$A$2:$A$500,0),MATCH(I$2,'Budget révisé'!$A$2:$AO$2,0))</f>
        <v>325.80440613026821</v>
      </c>
      <c r="J253" s="221"/>
      <c r="K253" s="227"/>
      <c r="L253" s="275">
        <f>SUMIFS(BV_Data_An_Cour!$O:$O,BV_Data_An_Cour!$U:$U,$B253,BV_Data_An_Cour!$V:$V,$C253,BV_Data_An_Cour!$W:$W,$L$2)</f>
        <v>901.88</v>
      </c>
      <c r="M253" s="221"/>
      <c r="N253" s="226">
        <f t="shared" ref="N253:N283" si="135">L253-I253</f>
        <v>576.07559386973185</v>
      </c>
      <c r="O253" s="221"/>
      <c r="P253" s="227"/>
      <c r="Q253" s="275">
        <f>SUMIFS(BV_Data_An_Prec!$O:$O,BV_Data_An_Prec!$U:$U,$B253,BV_Data_An_Prec!$V:$V,$C253,BV_Data_An_Prec!$W:$W,$L$2)</f>
        <v>809.12</v>
      </c>
      <c r="R253" s="221"/>
      <c r="S253" s="506">
        <f>L253-Q253</f>
        <v>92.759999999999991</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
        <v>3157</v>
      </c>
      <c r="B254" s="24" t="s">
        <v>171</v>
      </c>
      <c r="C254" s="276" t="s">
        <v>113</v>
      </c>
      <c r="D254" s="256"/>
      <c r="E254" s="227"/>
      <c r="F254" s="238">
        <f>+INDEX('Budget original'!$A$2:$AO$500,MATCH($A254,'Budget original'!$A$2:$A$500,0),MATCH(F$2,'Budget original'!$A$2:$AO$2,0))</f>
        <v>545.66820983524906</v>
      </c>
      <c r="G254" s="277"/>
      <c r="H254" s="227"/>
      <c r="I254" s="238">
        <f>+INDEX('Budget révisé'!$A$2:$AO$500,MATCH($A254,'Budget révisé'!$A$2:$A$500,0),MATCH(I$2,'Budget révisé'!$A$2:$AO$2,0))</f>
        <v>545.66820983524906</v>
      </c>
      <c r="J254" s="221"/>
      <c r="K254" s="227"/>
      <c r="L254" s="275">
        <f>SUMIFS(BV_Data_An_Cour!$O:$O,BV_Data_An_Cour!$U:$U,$B254,BV_Data_An_Cour!$V:$V,$C254,BV_Data_An_Cour!$W:$W,$L$2)</f>
        <v>430.15</v>
      </c>
      <c r="M254" s="221"/>
      <c r="N254" s="226">
        <f t="shared" si="135"/>
        <v>-115.51820983524908</v>
      </c>
      <c r="O254" s="221"/>
      <c r="P254" s="227"/>
      <c r="Q254" s="275">
        <f>SUMIFS(BV_Data_An_Prec!$O:$O,BV_Data_An_Prec!$U:$U,$B254,BV_Data_An_Prec!$V:$V,$C254,BV_Data_An_Prec!$W:$W,$L$2)</f>
        <v>545.36</v>
      </c>
      <c r="R254" s="221"/>
      <c r="S254" s="278">
        <f>L254-Q254</f>
        <v>-115.21000000000004</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
        <v>3158</v>
      </c>
      <c r="B255" s="24" t="s">
        <v>171</v>
      </c>
      <c r="C255" s="274" t="s">
        <v>114</v>
      </c>
      <c r="D255" s="279"/>
      <c r="E255" s="280"/>
      <c r="F255" s="225">
        <f>+INDEX('Budget original'!$A$2:$AO$500,MATCH($A255,'Budget original'!$A$2:$A$500,0),MATCH(F$2,'Budget original'!$A$2:$AO$2,0))</f>
        <v>469.91855390038313</v>
      </c>
      <c r="G255" s="281"/>
      <c r="H255" s="280"/>
      <c r="I255" s="225">
        <f>+INDEX('Budget révisé'!$A$2:$AO$500,MATCH($A255,'Budget révisé'!$A$2:$A$500,0),MATCH(I$2,'Budget révisé'!$A$2:$AO$2,0))</f>
        <v>469.91855390038313</v>
      </c>
      <c r="J255" s="282"/>
      <c r="K255" s="280"/>
      <c r="L255" s="239">
        <f>SUMIFS(BV_Data_An_Cour!$O:$O,BV_Data_An_Cour!$U:$U,$B255,BV_Data_An_Cour!$V:$V,$C255,BV_Data_An_Cour!$W:$W,$L$2)</f>
        <v>1.23</v>
      </c>
      <c r="M255" s="282"/>
      <c r="N255" s="283">
        <f t="shared" si="135"/>
        <v>-468.68855390038311</v>
      </c>
      <c r="O255" s="282"/>
      <c r="P255" s="280"/>
      <c r="Q255" s="239">
        <f>SUMIFS(BV_Data_An_Prec!$O:$O,BV_Data_An_Prec!$U:$U,$B255,BV_Data_An_Prec!$V:$V,$C255,BV_Data_An_Prec!$W:$W,$L$2)</f>
        <v>3707.1</v>
      </c>
      <c r="R255" s="282"/>
      <c r="S255" s="284">
        <f t="shared" ref="S255:S264" si="136">L255-Q255</f>
        <v>-3705.87</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
        <v>3159</v>
      </c>
      <c r="B256" s="24" t="s">
        <v>171</v>
      </c>
      <c r="C256" s="274" t="s">
        <v>115</v>
      </c>
      <c r="D256" s="256"/>
      <c r="E256" s="227"/>
      <c r="F256" s="225">
        <f>+INDEX('Budget original'!$A$2:$AO$500,MATCH($A256,'Budget original'!$A$2:$A$500,0),MATCH(F$2,'Budget original'!$A$2:$AO$2,0))</f>
        <v>4293.1034482758623</v>
      </c>
      <c r="G256" s="277"/>
      <c r="H256" s="227"/>
      <c r="I256" s="225">
        <f>+INDEX('Budget révisé'!$A$2:$AO$500,MATCH($A256,'Budget révisé'!$A$2:$A$500,0),MATCH(I$2,'Budget révisé'!$A$2:$AO$2,0))</f>
        <v>4293.1034482758623</v>
      </c>
      <c r="J256" s="221"/>
      <c r="K256" s="227"/>
      <c r="L256" s="275">
        <f>SUMIFS(BV_Data_An_Cour!$O:$O,BV_Data_An_Cour!$U:$U,$B256,BV_Data_An_Cour!$V:$V,$C256,BV_Data_An_Cour!$W:$W,$L$2)</f>
        <v>4571.3500000000004</v>
      </c>
      <c r="M256" s="221"/>
      <c r="N256" s="226">
        <f t="shared" si="135"/>
        <v>278.24655172413804</v>
      </c>
      <c r="O256" s="221"/>
      <c r="P256" s="227"/>
      <c r="Q256" s="275">
        <f>SUMIFS(BV_Data_An_Prec!$O:$O,BV_Data_An_Prec!$U:$U,$B256,BV_Data_An_Prec!$V:$V,$C256,BV_Data_An_Prec!$W:$W,$L$2)</f>
        <v>2023.11</v>
      </c>
      <c r="R256" s="221"/>
      <c r="S256" s="278">
        <f t="shared" si="136"/>
        <v>2548.2400000000007</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
        <v>3160</v>
      </c>
      <c r="B257" s="24" t="s">
        <v>171</v>
      </c>
      <c r="C257" s="285" t="s">
        <v>42</v>
      </c>
      <c r="D257" s="256"/>
      <c r="E257" s="227"/>
      <c r="F257" s="225">
        <f>+INDEX('Budget original'!$A$2:$AO$500,MATCH($A257,'Budget original'!$A$2:$A$500,0),MATCH(F$2,'Budget original'!$A$2:$AO$2,0))</f>
        <v>0</v>
      </c>
      <c r="G257" s="277"/>
      <c r="H257" s="227"/>
      <c r="I257" s="225">
        <f>+INDEX('Budget révisé'!$A$2:$AO$500,MATCH($A257,'Budget révisé'!$A$2:$A$500,0),MATCH(I$2,'Budget révisé'!$A$2:$AO$2,0))</f>
        <v>0</v>
      </c>
      <c r="J257" s="221"/>
      <c r="K257" s="227"/>
      <c r="L257" s="275">
        <f>SUMIFS(BV_Data_An_Cour!$O:$O,BV_Data_An_Cour!$U:$U,$B257,BV_Data_An_Cour!$V:$V,$C257,BV_Data_An_Cour!$W:$W,$L$2)</f>
        <v>0</v>
      </c>
      <c r="M257" s="221"/>
      <c r="N257" s="226">
        <f t="shared" si="135"/>
        <v>0</v>
      </c>
      <c r="O257" s="221"/>
      <c r="P257" s="227"/>
      <c r="Q257" s="275">
        <f>SUMIFS(BV_Data_An_Prec!$O:$O,BV_Data_An_Prec!$U:$U,$B257,BV_Data_An_Prec!$V:$V,$C257,BV_Data_An_Prec!$W:$W,$L$2)</f>
        <v>0</v>
      </c>
      <c r="R257" s="221"/>
      <c r="S257" s="278">
        <f t="shared" si="136"/>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
        <v>3160</v>
      </c>
      <c r="B258" s="24" t="s">
        <v>171</v>
      </c>
      <c r="C258" s="285" t="s">
        <v>42</v>
      </c>
      <c r="D258" s="256"/>
      <c r="E258" s="227"/>
      <c r="F258" s="225">
        <f>+INDEX('Budget original'!$A$2:$AO$500,MATCH($A258,'Budget original'!$A$2:$A$500,0),MATCH(F$2,'Budget original'!$A$2:$AO$2,0))</f>
        <v>0</v>
      </c>
      <c r="G258" s="277"/>
      <c r="H258" s="227"/>
      <c r="I258" s="225">
        <f>+INDEX('Budget révisé'!$A$2:$AO$500,MATCH($A258,'Budget révisé'!$A$2:$A$500,0),MATCH(I$2,'Budget révisé'!$A$2:$AO$2,0))</f>
        <v>0</v>
      </c>
      <c r="J258" s="221"/>
      <c r="K258" s="227"/>
      <c r="L258" s="275">
        <f>SUMIFS(BV_Data_An_Cour!$O:$O,BV_Data_An_Cour!$U:$U,$B258,BV_Data_An_Cour!$V:$V,$C258,BV_Data_An_Cour!$W:$W,$L$2)</f>
        <v>0</v>
      </c>
      <c r="M258" s="221"/>
      <c r="N258" s="226">
        <f t="shared" si="135"/>
        <v>0</v>
      </c>
      <c r="O258" s="221"/>
      <c r="P258" s="227"/>
      <c r="Q258" s="275">
        <f>SUMIFS(BV_Data_An_Prec!$O:$O,BV_Data_An_Prec!$U:$U,$B258,BV_Data_An_Prec!$V:$V,$C258,BV_Data_An_Prec!$W:$W,$L$2)</f>
        <v>0</v>
      </c>
      <c r="R258" s="221"/>
      <c r="S258" s="278">
        <f t="shared" si="136"/>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
        <v>3160</v>
      </c>
      <c r="B259" s="24" t="s">
        <v>171</v>
      </c>
      <c r="C259" s="285" t="s">
        <v>42</v>
      </c>
      <c r="D259" s="256"/>
      <c r="E259" s="227"/>
      <c r="F259" s="225">
        <f>+INDEX('Budget original'!$A$2:$AO$500,MATCH($A259,'Budget original'!$A$2:$A$500,0),MATCH(F$2,'Budget original'!$A$2:$AO$2,0))</f>
        <v>0</v>
      </c>
      <c r="G259" s="277"/>
      <c r="H259" s="227"/>
      <c r="I259" s="225">
        <f>+INDEX('Budget révisé'!$A$2:$AO$500,MATCH($A259,'Budget révisé'!$A$2:$A$500,0),MATCH(I$2,'Budget révisé'!$A$2:$AO$2,0))</f>
        <v>0</v>
      </c>
      <c r="J259" s="221"/>
      <c r="K259" s="227"/>
      <c r="L259" s="275">
        <f>SUMIFS(BV_Data_An_Cour!$O:$O,BV_Data_An_Cour!$U:$U,$B259,BV_Data_An_Cour!$V:$V,$C259,BV_Data_An_Cour!$W:$W,$L$2)</f>
        <v>0</v>
      </c>
      <c r="M259" s="221"/>
      <c r="N259" s="226">
        <f t="shared" si="135"/>
        <v>0</v>
      </c>
      <c r="O259" s="221"/>
      <c r="P259" s="227"/>
      <c r="Q259" s="275">
        <f>SUMIFS(BV_Data_An_Prec!$O:$O,BV_Data_An_Prec!$U:$U,$B259,BV_Data_An_Prec!$V:$V,$C259,BV_Data_An_Prec!$W:$W,$L$2)</f>
        <v>0</v>
      </c>
      <c r="R259" s="221"/>
      <c r="S259" s="278">
        <f t="shared" si="136"/>
        <v>0</v>
      </c>
      <c r="T259" s="216"/>
      <c r="U259" s="227"/>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
        <v>3161</v>
      </c>
      <c r="B260" s="24" t="s">
        <v>171</v>
      </c>
      <c r="C260" s="276" t="s">
        <v>116</v>
      </c>
      <c r="D260" s="256"/>
      <c r="E260" s="227"/>
      <c r="F260" s="238">
        <f>+INDEX('Budget original'!$A$2:$AO$500,MATCH($A260,'Budget original'!$A$2:$A$500,0),MATCH(F$2,'Budget original'!$A$2:$AO$2,0))</f>
        <v>685.83684543664049</v>
      </c>
      <c r="G260" s="277"/>
      <c r="H260" s="227"/>
      <c r="I260" s="238">
        <f>+INDEX('Budget révisé'!$A$2:$AO$500,MATCH($A260,'Budget révisé'!$A$2:$A$500,0),MATCH(I$2,'Budget révisé'!$A$2:$AO$2,0))</f>
        <v>685.83684543664049</v>
      </c>
      <c r="J260" s="221"/>
      <c r="K260" s="227"/>
      <c r="L260" s="275">
        <f>SUMIFS(BV_Data_An_Cour!$O:$O,BV_Data_An_Cour!$U:$U,$B260,BV_Data_An_Cour!$V:$V,$C260,BV_Data_An_Cour!$W:$W,$L$2)</f>
        <v>966.5</v>
      </c>
      <c r="M260" s="221"/>
      <c r="N260" s="226">
        <f t="shared" si="135"/>
        <v>280.66315456335951</v>
      </c>
      <c r="O260" s="221"/>
      <c r="P260" s="227"/>
      <c r="Q260" s="275">
        <f>SUMIFS(BV_Data_An_Prec!$O:$O,BV_Data_An_Prec!$U:$U,$B260,BV_Data_An_Prec!$V:$V,$C260,BV_Data_An_Prec!$W:$W,$L$2)</f>
        <v>379.21</v>
      </c>
      <c r="R260" s="221"/>
      <c r="S260" s="278">
        <f t="shared" si="136"/>
        <v>587.29</v>
      </c>
      <c r="T260" s="216"/>
      <c r="U260" s="227"/>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
        <v>3162</v>
      </c>
      <c r="B261" s="24" t="s">
        <v>171</v>
      </c>
      <c r="C261" s="274" t="s">
        <v>117</v>
      </c>
      <c r="D261" s="279"/>
      <c r="E261" s="280"/>
      <c r="F261" s="225">
        <f>+INDEX('Budget original'!$A$2:$AO$500,MATCH($A261,'Budget original'!$A$2:$A$500,0),MATCH(F$2,'Budget original'!$A$2:$AO$2,0))</f>
        <v>614.23719729445975</v>
      </c>
      <c r="G261" s="281"/>
      <c r="H261" s="280"/>
      <c r="I261" s="225">
        <f>+INDEX('Budget révisé'!$A$2:$AO$500,MATCH($A261,'Budget révisé'!$A$2:$A$500,0),MATCH(I$2,'Budget révisé'!$A$2:$AO$2,0))</f>
        <v>614.23719729445975</v>
      </c>
      <c r="J261" s="282"/>
      <c r="K261" s="280"/>
      <c r="L261" s="239">
        <f>SUMIFS(BV_Data_An_Cour!$O:$O,BV_Data_An_Cour!$U:$U,$B261,BV_Data_An_Cour!$V:$V,$C261,BV_Data_An_Cour!$W:$W,$L$2)</f>
        <v>1787.74</v>
      </c>
      <c r="M261" s="282"/>
      <c r="N261" s="283">
        <f t="shared" si="135"/>
        <v>1173.5028027055403</v>
      </c>
      <c r="O261" s="282"/>
      <c r="P261" s="280"/>
      <c r="Q261" s="239">
        <f>SUMIFS(BV_Data_An_Prec!$O:$O,BV_Data_An_Prec!$U:$U,$B261,BV_Data_An_Prec!$V:$V,$C261,BV_Data_An_Prec!$W:$W,$L$2)</f>
        <v>764.14</v>
      </c>
      <c r="R261" s="282"/>
      <c r="S261" s="284">
        <f t="shared" si="136"/>
        <v>1023.6</v>
      </c>
      <c r="T261" s="216"/>
      <c r="U261" s="227"/>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
        <v>3163</v>
      </c>
      <c r="B262" s="24" t="s">
        <v>171</v>
      </c>
      <c r="C262" s="274" t="s">
        <v>118</v>
      </c>
      <c r="D262" s="256"/>
      <c r="E262" s="227"/>
      <c r="F262" s="225">
        <f>+INDEX('Budget original'!$A$2:$AO$500,MATCH($A262,'Budget original'!$A$2:$A$500,0),MATCH(F$2,'Budget original'!$A$2:$AO$2,0))</f>
        <v>487.77659785148285</v>
      </c>
      <c r="G262" s="277"/>
      <c r="H262" s="227"/>
      <c r="I262" s="225">
        <f>+INDEX('Budget révisé'!$A$2:$AO$500,MATCH($A262,'Budget révisé'!$A$2:$A$500,0),MATCH(I$2,'Budget révisé'!$A$2:$AO$2,0))</f>
        <v>487.77659785148285</v>
      </c>
      <c r="J262" s="221"/>
      <c r="K262" s="227"/>
      <c r="L262" s="275">
        <f>SUMIFS(BV_Data_An_Cour!$O:$O,BV_Data_An_Cour!$U:$U,$B262,BV_Data_An_Cour!$V:$V,$C262,BV_Data_An_Cour!$W:$W,$L$2)</f>
        <v>1454.83</v>
      </c>
      <c r="M262" s="221"/>
      <c r="N262" s="226">
        <f t="shared" si="135"/>
        <v>967.05340214851708</v>
      </c>
      <c r="O262" s="221"/>
      <c r="P262" s="227"/>
      <c r="Q262" s="275">
        <f>SUMIFS(BV_Data_An_Prec!$O:$O,BV_Data_An_Prec!$U:$U,$B262,BV_Data_An_Prec!$V:$V,$C262,BV_Data_An_Prec!$W:$W,$L$2)</f>
        <v>547.63</v>
      </c>
      <c r="R262" s="221"/>
      <c r="S262" s="278">
        <f t="shared" si="136"/>
        <v>907.19999999999993</v>
      </c>
      <c r="T262" s="227"/>
      <c r="U262" s="227"/>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
        <v>3164</v>
      </c>
      <c r="B263" s="24" t="s">
        <v>171</v>
      </c>
      <c r="C263" s="274" t="s">
        <v>119</v>
      </c>
      <c r="D263" s="256"/>
      <c r="E263" s="227"/>
      <c r="F263" s="225">
        <f>+INDEX('Budget original'!$A$2:$AO$500,MATCH($A263,'Budget original'!$A$2:$A$500,0),MATCH(F$2,'Budget original'!$A$2:$AO$2,0))</f>
        <v>198.72379912467818</v>
      </c>
      <c r="G263" s="277"/>
      <c r="H263" s="227"/>
      <c r="I263" s="225">
        <f>+INDEX('Budget révisé'!$A$2:$AO$500,MATCH($A263,'Budget révisé'!$A$2:$A$500,0),MATCH(I$2,'Budget révisé'!$A$2:$AO$2,0))</f>
        <v>198.72379912467818</v>
      </c>
      <c r="J263" s="221"/>
      <c r="K263" s="227"/>
      <c r="L263" s="275">
        <f>SUMIFS(BV_Data_An_Cour!$O:$O,BV_Data_An_Cour!$U:$U,$B263,BV_Data_An_Cour!$V:$V,$C263,BV_Data_An_Cour!$W:$W,$L$2)</f>
        <v>193.54</v>
      </c>
      <c r="M263" s="221"/>
      <c r="N263" s="226">
        <f t="shared" si="135"/>
        <v>-5.1837991246781883</v>
      </c>
      <c r="O263" s="221"/>
      <c r="P263" s="227"/>
      <c r="Q263" s="275">
        <f>SUMIFS(BV_Data_An_Prec!$O:$O,BV_Data_An_Prec!$U:$U,$B263,BV_Data_An_Prec!$V:$V,$C263,BV_Data_An_Prec!$W:$W,$L$2)</f>
        <v>127.36</v>
      </c>
      <c r="R263" s="221"/>
      <c r="S263" s="278">
        <f t="shared" si="136"/>
        <v>66.179999999999993</v>
      </c>
      <c r="T263" s="227"/>
      <c r="U263" s="227"/>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
        <v>3160</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SUMIFS(BV_Data_An_Cour!$O:$O,BV_Data_An_Cour!$U:$U,$B264,BV_Data_An_Cour!$V:$V,$C264,BV_Data_An_Cour!$W:$W,$L$2)</f>
        <v>0</v>
      </c>
      <c r="M264" s="289"/>
      <c r="N264" s="290">
        <f t="shared" si="135"/>
        <v>0</v>
      </c>
      <c r="O264" s="289"/>
      <c r="P264" s="287"/>
      <c r="Q264" s="275">
        <f>SUMIFS(BV_Data_An_Prec!$O:$O,BV_Data_An_Prec!$U:$U,$B264,BV_Data_An_Prec!$V:$V,$C264,BV_Data_An_Prec!$W:$W,$L$2)</f>
        <v>0</v>
      </c>
      <c r="R264" s="289"/>
      <c r="S264" s="291">
        <f t="shared" si="136"/>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
        <v>3165</v>
      </c>
      <c r="B265" s="24" t="s">
        <v>171</v>
      </c>
      <c r="C265" s="292" t="s">
        <v>120</v>
      </c>
      <c r="D265" s="39" t="s">
        <v>111</v>
      </c>
      <c r="E265" s="40" t="e">
        <f>F265/F$243</f>
        <v>#DIV/0!</v>
      </c>
      <c r="F265" s="41">
        <f>+SUM(F253:F264)</f>
        <v>7621.0690578490239</v>
      </c>
      <c r="G265" s="42" t="s">
        <v>111</v>
      </c>
      <c r="H265" s="40" t="e">
        <f>I265/I$243</f>
        <v>#DIV/0!</v>
      </c>
      <c r="I265" s="41">
        <f>+SUM(I253:I264)</f>
        <v>7621.0690578490239</v>
      </c>
      <c r="J265" s="42" t="s">
        <v>111</v>
      </c>
      <c r="K265" s="40">
        <f>IF(L243=0,0,L265/L$243)</f>
        <v>0</v>
      </c>
      <c r="L265" s="41">
        <f>+SUM(L253:L264)</f>
        <v>10307.220000000001</v>
      </c>
      <c r="M265" s="43"/>
      <c r="N265" s="46">
        <f t="shared" si="135"/>
        <v>2686.1509421509772</v>
      </c>
      <c r="O265" s="42" t="s">
        <v>111</v>
      </c>
      <c r="P265" s="40">
        <f>IF(Q243=0,0,Q265/Q$243)</f>
        <v>0</v>
      </c>
      <c r="Q265" s="41">
        <f>+SUM(Q253:Q264)</f>
        <v>8903.0299999999988</v>
      </c>
      <c r="R265" s="43"/>
      <c r="S265" s="293">
        <f t="shared" ref="S265:S283" si="137">L265-Q265</f>
        <v>1404.1900000000023</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
        <v>3166</v>
      </c>
      <c r="B266" s="24" t="s">
        <v>171</v>
      </c>
      <c r="C266" s="294" t="s">
        <v>121</v>
      </c>
      <c r="D266" s="295"/>
      <c r="E266" s="172"/>
      <c r="F266" s="173">
        <f>+INDEX('Budget original'!$A$2:$AO$500,MATCH($A266,'Budget original'!$A$2:$A$500,0),MATCH(F$2,'Budget original'!$A$2:$AO$2,0))</f>
        <v>0</v>
      </c>
      <c r="G266" s="296"/>
      <c r="H266" s="172"/>
      <c r="I266" s="173">
        <f>+INDEX('Budget révisé'!$A$2:$AO$500,MATCH($A266,'Budget révisé'!$A$2:$A$500,0),MATCH(I$2,'Budget révisé'!$A$2:$AO$2,0))</f>
        <v>0</v>
      </c>
      <c r="J266" s="297"/>
      <c r="K266" s="172"/>
      <c r="L266" s="275">
        <f>SUMIFS(BV_Data_An_Cour!$O:$O,BV_Data_An_Cour!$U:$U,$B266,BV_Data_An_Cour!$V:$V,$C266,BV_Data_An_Cour!$W:$W,$L$2)</f>
        <v>0.06</v>
      </c>
      <c r="M266" s="297"/>
      <c r="N266" s="298">
        <f t="shared" si="135"/>
        <v>0.06</v>
      </c>
      <c r="O266" s="297"/>
      <c r="P266" s="172"/>
      <c r="Q266" s="275">
        <f>SUMIFS(BV_Data_An_Prec!$O:$O,BV_Data_An_Prec!$U:$U,$B266,BV_Data_An_Prec!$V:$V,$C266,BV_Data_An_Prec!$W:$W,$L$2)</f>
        <v>7.0000000000000007E-2</v>
      </c>
      <c r="R266" s="297"/>
      <c r="S266" s="193">
        <f t="shared" si="137"/>
        <v>-1.0000000000000009E-2</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
        <v>3167</v>
      </c>
      <c r="B267" s="24" t="s">
        <v>171</v>
      </c>
      <c r="C267" s="299" t="s">
        <v>122</v>
      </c>
      <c r="D267" s="295"/>
      <c r="E267" s="172"/>
      <c r="F267" s="173">
        <f>+INDEX('Budget original'!$A$2:$AO$500,MATCH($A267,'Budget original'!$A$2:$A$500,0),MATCH(F$2,'Budget original'!$A$2:$AO$2,0))</f>
        <v>281.61187919819753</v>
      </c>
      <c r="G267" s="296"/>
      <c r="H267" s="172"/>
      <c r="I267" s="173">
        <f>+INDEX('Budget révisé'!$A$2:$AO$500,MATCH($A267,'Budget révisé'!$A$2:$A$500,0),MATCH(I$2,'Budget révisé'!$A$2:$AO$2,0))</f>
        <v>281.61187919819753</v>
      </c>
      <c r="J267" s="297"/>
      <c r="K267" s="172"/>
      <c r="L267" s="174">
        <f>SUMIFS(BV_Data_An_Cour!$O:$O,BV_Data_An_Cour!$U:$U,$B267,BV_Data_An_Cour!$V:$V,$C267,BV_Data_An_Cour!$W:$W,$L$2)</f>
        <v>-37.9</v>
      </c>
      <c r="M267" s="297"/>
      <c r="N267" s="298">
        <f t="shared" si="135"/>
        <v>-319.51187919819751</v>
      </c>
      <c r="O267" s="297"/>
      <c r="P267" s="172"/>
      <c r="Q267" s="174">
        <f>SUMIFS(BV_Data_An_Prec!$O:$O,BV_Data_An_Prec!$U:$U,$B267,BV_Data_An_Prec!$V:$V,$C267,BV_Data_An_Prec!$W:$W,$L$2)</f>
        <v>201.75</v>
      </c>
      <c r="R267" s="297"/>
      <c r="S267" s="193">
        <f t="shared" si="137"/>
        <v>-239.65</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
        <v>3168</v>
      </c>
      <c r="B268" s="24" t="s">
        <v>171</v>
      </c>
      <c r="C268" s="300" t="s">
        <v>123</v>
      </c>
      <c r="D268" s="301"/>
      <c r="E268" s="302"/>
      <c r="F268" s="171">
        <f>+INDEX('Budget original'!$A$2:$AO$500,MATCH($A268,'Budget original'!$A$2:$A$500,0),MATCH(F$2,'Budget original'!$A$2:$AO$2,0))</f>
        <v>379.94</v>
      </c>
      <c r="G268" s="303"/>
      <c r="H268" s="302"/>
      <c r="I268" s="171">
        <f>+INDEX('Budget révisé'!$A$2:$AO$500,MATCH($A268,'Budget révisé'!$A$2:$A$500,0),MATCH(I$2,'Budget révisé'!$A$2:$AO$2,0))</f>
        <v>379.94</v>
      </c>
      <c r="J268" s="304"/>
      <c r="K268" s="302"/>
      <c r="L268" s="174">
        <f>SUMIFS(BV_Data_An_Cour!$O:$O,BV_Data_An_Cour!$U:$U,$B268,BV_Data_An_Cour!$V:$V,$C268,BV_Data_An_Cour!$W:$W,$L$2)</f>
        <v>297.20999999999998</v>
      </c>
      <c r="M268" s="304"/>
      <c r="N268" s="305">
        <f t="shared" si="135"/>
        <v>-82.730000000000018</v>
      </c>
      <c r="O268" s="304"/>
      <c r="P268" s="302"/>
      <c r="Q268" s="174">
        <f>SUMIFS(BV_Data_An_Prec!$O:$O,BV_Data_An_Prec!$U:$U,$B268,BV_Data_An_Prec!$V:$V,$C268,BV_Data_An_Prec!$W:$W,$L$2)</f>
        <v>483.44</v>
      </c>
      <c r="R268" s="304"/>
      <c r="S268" s="196">
        <f t="shared" si="137"/>
        <v>-186.23000000000002</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
        <v>3169</v>
      </c>
      <c r="B269" s="24" t="s">
        <v>171</v>
      </c>
      <c r="C269" s="299" t="s">
        <v>124</v>
      </c>
      <c r="D269" s="295"/>
      <c r="E269" s="172"/>
      <c r="F269" s="173">
        <f>+INDEX('Budget original'!$A$2:$AO$500,MATCH($A269,'Budget original'!$A$2:$A$500,0),MATCH(F$2,'Budget original'!$A$2:$AO$2,0))</f>
        <v>1313.4198641666667</v>
      </c>
      <c r="G269" s="296"/>
      <c r="H269" s="172"/>
      <c r="I269" s="173">
        <f>+INDEX('Budget révisé'!$A$2:$AO$500,MATCH($A269,'Budget révisé'!$A$2:$A$500,0),MATCH(I$2,'Budget révisé'!$A$2:$AO$2,0))</f>
        <v>1313.4198641666667</v>
      </c>
      <c r="J269" s="297"/>
      <c r="K269" s="172"/>
      <c r="L269" s="175">
        <f>SUMIFS(BV_Data_An_Cour!$O:$O,BV_Data_An_Cour!$U:$U,$B269,BV_Data_An_Cour!$V:$V,$C269,BV_Data_An_Cour!$W:$W,$L$2)</f>
        <v>1412.27</v>
      </c>
      <c r="M269" s="297"/>
      <c r="N269" s="298">
        <f t="shared" si="135"/>
        <v>98.850135833333297</v>
      </c>
      <c r="O269" s="297"/>
      <c r="P269" s="172"/>
      <c r="Q269" s="175">
        <f>SUMIFS(BV_Data_An_Prec!$O:$O,BV_Data_An_Prec!$U:$U,$B269,BV_Data_An_Prec!$V:$V,$C269,BV_Data_An_Prec!$W:$W,$L$2)</f>
        <v>1319.76</v>
      </c>
      <c r="R269" s="297"/>
      <c r="S269" s="193">
        <f t="shared" si="137"/>
        <v>92.509999999999991</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
        <v>3170</v>
      </c>
      <c r="B270" s="24" t="s">
        <v>171</v>
      </c>
      <c r="C270" s="299" t="s">
        <v>125</v>
      </c>
      <c r="D270" s="295"/>
      <c r="E270" s="172"/>
      <c r="F270" s="173">
        <f>+INDEX('Budget original'!$A$2:$AO$500,MATCH($A270,'Budget original'!$A$2:$A$500,0),MATCH(F$2,'Budget original'!$A$2:$AO$2,0))</f>
        <v>173.28101875000004</v>
      </c>
      <c r="G270" s="296"/>
      <c r="H270" s="172"/>
      <c r="I270" s="173">
        <f>+INDEX('Budget révisé'!$A$2:$AO$500,MATCH($A270,'Budget révisé'!$A$2:$A$500,0),MATCH(I$2,'Budget révisé'!$A$2:$AO$2,0))</f>
        <v>173.28101875000004</v>
      </c>
      <c r="J270" s="297"/>
      <c r="K270" s="172"/>
      <c r="L270" s="174">
        <f>SUMIFS(BV_Data_An_Cour!$O:$O,BV_Data_An_Cour!$U:$U,$B270,BV_Data_An_Cour!$V:$V,$C270,BV_Data_An_Cour!$W:$W,$L$2)</f>
        <v>257.69</v>
      </c>
      <c r="M270" s="297"/>
      <c r="N270" s="298">
        <f t="shared" si="135"/>
        <v>84.408981249999954</v>
      </c>
      <c r="O270" s="297"/>
      <c r="P270" s="172"/>
      <c r="Q270" s="174">
        <f>SUMIFS(BV_Data_An_Prec!$O:$O,BV_Data_An_Prec!$U:$U,$B270,BV_Data_An_Prec!$V:$V,$C270,BV_Data_An_Prec!$W:$W,$L$2)</f>
        <v>133.97</v>
      </c>
      <c r="R270" s="297"/>
      <c r="S270" s="193">
        <f t="shared" si="137"/>
        <v>123.72</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
        <v>3171</v>
      </c>
      <c r="B271" s="24" t="s">
        <v>171</v>
      </c>
      <c r="C271" s="299" t="s">
        <v>126</v>
      </c>
      <c r="D271" s="301"/>
      <c r="E271" s="302"/>
      <c r="F271" s="171">
        <f>+INDEX('Budget original'!$A$2:$AO$500,MATCH($A271,'Budget original'!$A$2:$A$500,0),MATCH(F$2,'Budget original'!$A$2:$AO$2,0))</f>
        <v>840.81098888888891</v>
      </c>
      <c r="G271" s="303"/>
      <c r="H271" s="302"/>
      <c r="I271" s="171">
        <f>+INDEX('Budget révisé'!$A$2:$AO$500,MATCH($A271,'Budget révisé'!$A$2:$A$500,0),MATCH(I$2,'Budget révisé'!$A$2:$AO$2,0))</f>
        <v>840.81098888888891</v>
      </c>
      <c r="J271" s="304"/>
      <c r="K271" s="302"/>
      <c r="L271" s="174">
        <f>SUMIFS(BV_Data_An_Cour!$O:$O,BV_Data_An_Cour!$U:$U,$B271,BV_Data_An_Cour!$V:$V,$C271,BV_Data_An_Cour!$W:$W,$L$2)</f>
        <v>359.53</v>
      </c>
      <c r="M271" s="304"/>
      <c r="N271" s="305">
        <f t="shared" si="135"/>
        <v>-481.28098888888894</v>
      </c>
      <c r="O271" s="304"/>
      <c r="P271" s="302"/>
      <c r="Q271" s="174">
        <f>SUMIFS(BV_Data_An_Prec!$O:$O,BV_Data_An_Prec!$U:$U,$B271,BV_Data_An_Prec!$V:$V,$C271,BV_Data_An_Prec!$W:$W,$L$2)</f>
        <v>631.61</v>
      </c>
      <c r="R271" s="304"/>
      <c r="S271" s="196">
        <f t="shared" si="137"/>
        <v>-272.08000000000004</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s="564" customFormat="1" ht="15.75" customHeight="1">
      <c r="A272" s="564" t="s">
        <v>3172</v>
      </c>
      <c r="B272" s="24" t="s">
        <v>171</v>
      </c>
      <c r="C272" s="680" t="s">
        <v>1989</v>
      </c>
      <c r="D272" s="295"/>
      <c r="E272" s="172"/>
      <c r="F272" s="173"/>
      <c r="G272" s="296"/>
      <c r="H272" s="172"/>
      <c r="I272" s="173"/>
      <c r="J272" s="297"/>
      <c r="K272" s="172"/>
      <c r="L272" s="423">
        <f>SUMIFS(BV_Data_An_Cour!$O:$O,BV_Data_An_Cour!$U:$U,$B272,BV_Data_An_Cour!$V:$V,$C272,BV_Data_An_Cour!$W:$W,$L$2)</f>
        <v>0</v>
      </c>
      <c r="M272" s="297"/>
      <c r="N272" s="298">
        <f t="shared" ref="N272" si="138">L272-I272</f>
        <v>0</v>
      </c>
      <c r="O272" s="297"/>
      <c r="P272" s="172"/>
      <c r="Q272" s="174">
        <f>SUMIFS(BV_Data_An_Prec!$O:$O,BV_Data_An_Prec!$U:$U,$B272,BV_Data_An_Prec!$V:$V,$C272,BV_Data_An_Prec!$W:$W,$L$2)</f>
        <v>0</v>
      </c>
      <c r="R272" s="297"/>
      <c r="S272" s="193">
        <f t="shared" ref="S272" si="139">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
        <v>3173</v>
      </c>
      <c r="B273" s="24" t="s">
        <v>171</v>
      </c>
      <c r="C273" s="299" t="s">
        <v>127</v>
      </c>
      <c r="D273" s="295"/>
      <c r="E273" s="172"/>
      <c r="F273" s="173">
        <f>+INDEX('Budget original'!$A$2:$AO$500,MATCH($A273,'Budget original'!$A$2:$A$500,0),MATCH(F$2,'Budget original'!$A$2:$AO$2,0))</f>
        <v>107.68716037339154</v>
      </c>
      <c r="G273" s="296"/>
      <c r="H273" s="172"/>
      <c r="I273" s="173">
        <f>+INDEX('Budget révisé'!$A$2:$AO$500,MATCH($A273,'Budget révisé'!$A$2:$A$500,0),MATCH(I$2,'Budget révisé'!$A$2:$AO$2,0))</f>
        <v>107.68716037339154</v>
      </c>
      <c r="J273" s="297"/>
      <c r="K273" s="172"/>
      <c r="L273" s="275">
        <f>SUMIFS(BV_Data_An_Cour!$O:$O,BV_Data_An_Cour!$U:$U,$B273,BV_Data_An_Cour!$V:$V,$C273,BV_Data_An_Cour!$W:$W,$L$2)</f>
        <v>0</v>
      </c>
      <c r="M273" s="297"/>
      <c r="N273" s="298">
        <f t="shared" si="135"/>
        <v>-107.68716037339154</v>
      </c>
      <c r="O273" s="297"/>
      <c r="P273" s="172"/>
      <c r="Q273" s="174">
        <f>SUMIFS(BV_Data_An_Prec!$O:$O,BV_Data_An_Prec!$U:$U,$B273,BV_Data_An_Prec!$V:$V,$C273,BV_Data_An_Prec!$W:$W,$L$2)</f>
        <v>16.39</v>
      </c>
      <c r="R273" s="297"/>
      <c r="S273" s="193">
        <f t="shared" si="137"/>
        <v>-16.39</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
        <v>3174</v>
      </c>
      <c r="B274" s="24" t="s">
        <v>171</v>
      </c>
      <c r="C274" s="299" t="s">
        <v>128</v>
      </c>
      <c r="D274" s="295"/>
      <c r="E274" s="172"/>
      <c r="F274" s="173">
        <f>+INDEX('Budget original'!$A$2:$AO$500,MATCH($A274,'Budget original'!$A$2:$A$500,0),MATCH(F$2,'Budget original'!$A$2:$AO$2,0))</f>
        <v>57.222126165837054</v>
      </c>
      <c r="G274" s="296"/>
      <c r="H274" s="172"/>
      <c r="I274" s="173">
        <f>+INDEX('Budget révisé'!$A$2:$AO$500,MATCH($A274,'Budget révisé'!$A$2:$A$500,0),MATCH(I$2,'Budget révisé'!$A$2:$AO$2,0))</f>
        <v>57.222126165837054</v>
      </c>
      <c r="J274" s="297"/>
      <c r="K274" s="172"/>
      <c r="L274" s="275">
        <f>SUMIFS(BV_Data_An_Cour!$O:$O,BV_Data_An_Cour!$U:$U,$B274,BV_Data_An_Cour!$V:$V,$C274,BV_Data_An_Cour!$W:$W,$L$2)</f>
        <v>0</v>
      </c>
      <c r="M274" s="297"/>
      <c r="N274" s="298">
        <f t="shared" si="135"/>
        <v>-57.222126165837054</v>
      </c>
      <c r="O274" s="297"/>
      <c r="P274" s="172"/>
      <c r="Q274" s="174">
        <f>SUMIFS(BV_Data_An_Prec!$O:$O,BV_Data_An_Prec!$U:$U,$B274,BV_Data_An_Prec!$V:$V,$C274,BV_Data_An_Prec!$W:$W,$L$2)</f>
        <v>0</v>
      </c>
      <c r="R274" s="297"/>
      <c r="S274" s="193">
        <f t="shared" si="137"/>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
        <v>3175</v>
      </c>
      <c r="B275" s="24" t="s">
        <v>171</v>
      </c>
      <c r="C275" s="299" t="s">
        <v>129</v>
      </c>
      <c r="D275" s="295"/>
      <c r="E275" s="172"/>
      <c r="F275" s="173">
        <f>+INDEX('Budget original'!$A$2:$AO$500,MATCH($A275,'Budget original'!$A$2:$A$500,0),MATCH(F$2,'Budget original'!$A$2:$AO$2,0))</f>
        <v>142.81407000000002</v>
      </c>
      <c r="G275" s="296"/>
      <c r="H275" s="172"/>
      <c r="I275" s="173">
        <f>+INDEX('Budget révisé'!$A$2:$AO$500,MATCH($A275,'Budget révisé'!$A$2:$A$500,0),MATCH(I$2,'Budget révisé'!$A$2:$AO$2,0))</f>
        <v>142.81407000000002</v>
      </c>
      <c r="J275" s="297"/>
      <c r="K275" s="172"/>
      <c r="L275" s="958">
        <f>SUMIFS(BV_Data_An_Cour!$O:$O,BV_Data_An_Cour!$U:$U,$B275,BV_Data_An_Cour!$V:$V,$C275,BV_Data_An_Cour!$W:$W,$L$2)</f>
        <v>148.18</v>
      </c>
      <c r="M275" s="297"/>
      <c r="N275" s="298">
        <f t="shared" si="135"/>
        <v>5.3659299999999917</v>
      </c>
      <c r="O275" s="297"/>
      <c r="P275" s="172"/>
      <c r="Q275" s="548">
        <f>SUMIFS(BV_Data_An_Prec!$O:$O,BV_Data_An_Prec!$U:$U,$B275,BV_Data_An_Prec!$V:$V,$C275,BV_Data_An_Prec!$W:$W,$L$2)</f>
        <v>139.76</v>
      </c>
      <c r="R275" s="297"/>
      <c r="S275" s="193">
        <f t="shared" si="137"/>
        <v>8.4200000000000159</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
        <v>3176</v>
      </c>
      <c r="B276" s="24" t="s">
        <v>171</v>
      </c>
      <c r="C276" s="299" t="s">
        <v>130</v>
      </c>
      <c r="D276" s="295"/>
      <c r="E276" s="172"/>
      <c r="F276" s="173">
        <f>+INDEX('Budget original'!$A$2:$AO$500,MATCH($A276,'Budget original'!$A$2:$A$500,0),MATCH(F$2,'Budget original'!$A$2:$AO$2,0))</f>
        <v>65.945365208333342</v>
      </c>
      <c r="G276" s="296"/>
      <c r="H276" s="172"/>
      <c r="I276" s="173">
        <f>+INDEX('Budget révisé'!$A$2:$AO$500,MATCH($A276,'Budget révisé'!$A$2:$A$500,0),MATCH(I$2,'Budget révisé'!$A$2:$AO$2,0))</f>
        <v>65.945365208333342</v>
      </c>
      <c r="J276" s="297"/>
      <c r="K276" s="172"/>
      <c r="L276" s="275">
        <f>SUMIFS(BV_Data_An_Cour!$O:$O,BV_Data_An_Cour!$U:$U,$B276,BV_Data_An_Cour!$V:$V,$C276,BV_Data_An_Cour!$W:$W,$L$2)</f>
        <v>27.72</v>
      </c>
      <c r="M276" s="297"/>
      <c r="N276" s="298">
        <f t="shared" si="135"/>
        <v>-38.225365208333344</v>
      </c>
      <c r="O276" s="297"/>
      <c r="P276" s="172"/>
      <c r="Q276" s="174">
        <f>SUMIFS(BV_Data_An_Prec!$O:$O,BV_Data_An_Prec!$U:$U,$B276,BV_Data_An_Prec!$V:$V,$C276,BV_Data_An_Prec!$W:$W,$L$2)</f>
        <v>62.78</v>
      </c>
      <c r="R276" s="297"/>
      <c r="S276" s="193">
        <f t="shared" si="137"/>
        <v>-35.06</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
        <v>3177</v>
      </c>
      <c r="B277" s="24" t="s">
        <v>171</v>
      </c>
      <c r="C277" s="299" t="s">
        <v>131</v>
      </c>
      <c r="D277" s="295"/>
      <c r="E277" s="172"/>
      <c r="F277" s="173">
        <f>+INDEX('Budget original'!$A$2:$AO$500,MATCH($A277,'Budget original'!$A$2:$A$500,0),MATCH(F$2,'Budget original'!$A$2:$AO$2,0))</f>
        <v>35.200609791666665</v>
      </c>
      <c r="G277" s="296"/>
      <c r="H277" s="172"/>
      <c r="I277" s="173">
        <f>+INDEX('Budget révisé'!$A$2:$AO$500,MATCH($A277,'Budget révisé'!$A$2:$A$500,0),MATCH(I$2,'Budget révisé'!$A$2:$AO$2,0))</f>
        <v>35.200609791666665</v>
      </c>
      <c r="J277" s="297"/>
      <c r="K277" s="172"/>
      <c r="L277" s="275">
        <f>SUMIFS(BV_Data_An_Cour!$O:$O,BV_Data_An_Cour!$U:$U,$B277,BV_Data_An_Cour!$V:$V,$C277,BV_Data_An_Cour!$W:$W,$L$2)</f>
        <v>22.2</v>
      </c>
      <c r="M277" s="297"/>
      <c r="N277" s="298">
        <f t="shared" si="135"/>
        <v>-13.000609791666665</v>
      </c>
      <c r="O277" s="297"/>
      <c r="P277" s="172"/>
      <c r="Q277" s="174">
        <f>SUMIFS(BV_Data_An_Prec!$O:$O,BV_Data_An_Prec!$U:$U,$B277,BV_Data_An_Prec!$V:$V,$C277,BV_Data_An_Prec!$W:$W,$L$2)</f>
        <v>33.44</v>
      </c>
      <c r="R277" s="297"/>
      <c r="S277" s="193">
        <f t="shared" si="137"/>
        <v>-11.239999999999998</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
        <v>3178</v>
      </c>
      <c r="B278" s="24" t="s">
        <v>171</v>
      </c>
      <c r="C278" s="299" t="s">
        <v>132</v>
      </c>
      <c r="D278" s="295"/>
      <c r="E278" s="172"/>
      <c r="F278" s="173">
        <f>+INDEX('Budget original'!$A$2:$AO$500,MATCH($A278,'Budget original'!$A$2:$A$500,0),MATCH(F$2,'Budget original'!$A$2:$AO$2,0))</f>
        <v>169.80109854166665</v>
      </c>
      <c r="G278" s="296"/>
      <c r="H278" s="172"/>
      <c r="I278" s="173">
        <f>+INDEX('Budget révisé'!$A$2:$AO$500,MATCH($A278,'Budget révisé'!$A$2:$A$500,0),MATCH(I$2,'Budget révisé'!$A$2:$AO$2,0))</f>
        <v>169.80109854166665</v>
      </c>
      <c r="J278" s="297"/>
      <c r="K278" s="172"/>
      <c r="L278" s="275">
        <f>SUMIFS(BV_Data_An_Cour!$O:$O,BV_Data_An_Cour!$U:$U,$B278,BV_Data_An_Cour!$V:$V,$C278,BV_Data_An_Cour!$W:$W,$L$2)</f>
        <v>58.54</v>
      </c>
      <c r="M278" s="297"/>
      <c r="N278" s="298">
        <f t="shared" si="135"/>
        <v>-111.26109854166666</v>
      </c>
      <c r="O278" s="297"/>
      <c r="P278" s="172"/>
      <c r="Q278" s="174">
        <f>SUMIFS(BV_Data_An_Prec!$O:$O,BV_Data_An_Prec!$U:$U,$B278,BV_Data_An_Prec!$V:$V,$C278,BV_Data_An_Prec!$W:$W,$L$2)</f>
        <v>262.16000000000003</v>
      </c>
      <c r="R278" s="297"/>
      <c r="S278" s="193">
        <f t="shared" si="137"/>
        <v>-203.62000000000003</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
        <v>3179</v>
      </c>
      <c r="B279" s="24" t="s">
        <v>171</v>
      </c>
      <c r="C279" s="299" t="s">
        <v>133</v>
      </c>
      <c r="D279" s="295"/>
      <c r="E279" s="172"/>
      <c r="F279" s="173">
        <f>+INDEX('Budget original'!$A$2:$AO$500,MATCH($A279,'Budget original'!$A$2:$A$500,0),MATCH(F$2,'Budget original'!$A$2:$AO$2,0))</f>
        <v>252.27480833333334</v>
      </c>
      <c r="G279" s="296"/>
      <c r="H279" s="172"/>
      <c r="I279" s="173">
        <f>+INDEX('Budget révisé'!$A$2:$AO$500,MATCH($A279,'Budget révisé'!$A$2:$A$500,0),MATCH(I$2,'Budget révisé'!$A$2:$AO$2,0))</f>
        <v>252.27480833333334</v>
      </c>
      <c r="J279" s="297"/>
      <c r="K279" s="172"/>
      <c r="L279" s="275">
        <f>SUMIFS(BV_Data_An_Cour!$O:$O,BV_Data_An_Cour!$U:$U,$B279,BV_Data_An_Cour!$V:$V,$C279,BV_Data_An_Cour!$W:$W,$L$2)</f>
        <v>22.33</v>
      </c>
      <c r="M279" s="297"/>
      <c r="N279" s="298">
        <f t="shared" si="135"/>
        <v>-229.94480833333336</v>
      </c>
      <c r="O279" s="297"/>
      <c r="P279" s="172"/>
      <c r="Q279" s="174">
        <f>SUMIFS(BV_Data_An_Prec!$O:$O,BV_Data_An_Prec!$U:$U,$B279,BV_Data_An_Prec!$V:$V,$C279,BV_Data_An_Prec!$W:$W,$L$2)</f>
        <v>76.2</v>
      </c>
      <c r="R279" s="297"/>
      <c r="S279" s="193">
        <f t="shared" si="137"/>
        <v>-53.870000000000005</v>
      </c>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
        <v>3180</v>
      </c>
      <c r="B280" s="24" t="s">
        <v>171</v>
      </c>
      <c r="C280" s="299" t="s">
        <v>134</v>
      </c>
      <c r="D280" s="295"/>
      <c r="E280" s="172"/>
      <c r="F280" s="225">
        <f>+INDEX('Budget original'!$A$2:$AO$500,MATCH($A280,'Budget original'!$A$2:$A$500,0),MATCH(F$2,'Budget original'!$A$2:$AO$2,0))</f>
        <v>670.86953283108267</v>
      </c>
      <c r="G280" s="296"/>
      <c r="H280" s="172"/>
      <c r="I280" s="173">
        <f>+INDEX('Budget révisé'!$A$2:$AO$500,MATCH($A280,'Budget révisé'!$A$2:$A$500,0),MATCH(I$2,'Budget révisé'!$A$2:$AO$2,0))</f>
        <v>670.86953283108267</v>
      </c>
      <c r="J280" s="297"/>
      <c r="K280" s="172"/>
      <c r="L280" s="275">
        <f>AF447*W6</f>
        <v>236.44250000000002</v>
      </c>
      <c r="M280" s="297"/>
      <c r="N280" s="298">
        <f t="shared" si="135"/>
        <v>-434.42703283108267</v>
      </c>
      <c r="O280" s="297"/>
      <c r="P280" s="172"/>
      <c r="Q280" s="275">
        <f>AL447*W6</f>
        <v>172.38025000000002</v>
      </c>
      <c r="R280" s="297"/>
      <c r="S280" s="193">
        <f t="shared" si="137"/>
        <v>64.062250000000006</v>
      </c>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
        <v>3160</v>
      </c>
      <c r="B281" s="24" t="s">
        <v>171</v>
      </c>
      <c r="C281" s="299" t="s">
        <v>42</v>
      </c>
      <c r="D281" s="295"/>
      <c r="E281" s="172"/>
      <c r="F281" s="173">
        <f>+INDEX('Budget original'!$A$2:$AO$500,MATCH($A281,'Budget original'!$A$2:$A$500,0),MATCH(F$2,'Budget original'!$A$2:$AO$2,0))</f>
        <v>0</v>
      </c>
      <c r="G281" s="296"/>
      <c r="H281" s="172"/>
      <c r="I281" s="173">
        <f>+INDEX('Budget révisé'!$A$2:$AO$500,MATCH($A281,'Budget révisé'!$A$2:$A$500,0),MATCH(I$2,'Budget révisé'!$A$2:$AO$2,0))</f>
        <v>0</v>
      </c>
      <c r="J281" s="297"/>
      <c r="K281" s="172"/>
      <c r="L281" s="174">
        <f>SUMIFS(BV_Data_An_Cour!$O:$O,BV_Data_An_Cour!$U:$U,$B281,BV_Data_An_Cour!$V:$V,$C281,BV_Data_An_Cour!$W:$W,$L$2)</f>
        <v>0</v>
      </c>
      <c r="M281" s="297"/>
      <c r="N281" s="298">
        <f t="shared" si="135"/>
        <v>0</v>
      </c>
      <c r="O281" s="297"/>
      <c r="P281" s="172"/>
      <c r="Q281" s="174">
        <f>SUMIFS(BV_Data_An_Prec!$O:$O,BV_Data_An_Prec!$U:$U,$B281,BV_Data_An_Prec!$V:$V,$C281,BV_Data_An_Prec!$W:$W,$L$2)</f>
        <v>0</v>
      </c>
      <c r="R281" s="297"/>
      <c r="S281" s="193">
        <f t="shared" si="137"/>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s="564" customFormat="1" ht="15.75" hidden="1" customHeight="1">
      <c r="A282" s="564" t="s">
        <v>3160</v>
      </c>
      <c r="B282" s="24" t="s">
        <v>171</v>
      </c>
      <c r="C282" s="299" t="s">
        <v>42</v>
      </c>
      <c r="D282" s="295"/>
      <c r="E282" s="172"/>
      <c r="F282" s="173">
        <f>+INDEX('Budget original'!$A$2:$AO$500,MATCH($A282,'Budget original'!$A$2:$A$500,0),MATCH(F$2,'Budget original'!$A$2:$AO$2,0))</f>
        <v>0</v>
      </c>
      <c r="G282" s="296"/>
      <c r="H282" s="172"/>
      <c r="I282" s="173">
        <f>+INDEX('Budget révisé'!$A$2:$AO$500,MATCH($A282,'Budget révisé'!$A$2:$A$500,0),MATCH(I$2,'Budget révisé'!$A$2:$AO$2,0))</f>
        <v>0</v>
      </c>
      <c r="J282" s="297"/>
      <c r="K282" s="172"/>
      <c r="L282" s="174">
        <f>SUMIFS(BV_Data_An_Cour!$O:$O,BV_Data_An_Cour!$U:$U,$B282,BV_Data_An_Cour!$V:$V,$C282,BV_Data_An_Cour!$W:$W,$L$2)</f>
        <v>0</v>
      </c>
      <c r="M282" s="297"/>
      <c r="N282" s="298">
        <f t="shared" ref="N282" si="140">L282-I282</f>
        <v>0</v>
      </c>
      <c r="O282" s="297"/>
      <c r="P282" s="172"/>
      <c r="Q282" s="174">
        <f>SUMIFS(BV_Data_An_Prec!$O:$O,BV_Data_An_Prec!$U:$U,$B282,BV_Data_An_Prec!$V:$V,$C282,BV_Data_An_Prec!$W:$W,$L$2)</f>
        <v>0</v>
      </c>
      <c r="R282" s="297"/>
      <c r="S282" s="193">
        <f t="shared" ref="S282" si="141">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
        <v>3160</v>
      </c>
      <c r="B283" s="24" t="s">
        <v>171</v>
      </c>
      <c r="C283" s="299" t="s">
        <v>42</v>
      </c>
      <c r="D283" s="295"/>
      <c r="E283" s="172"/>
      <c r="F283" s="173">
        <f>+INDEX('Budget original'!$A$2:$AO$500,MATCH($A283,'Budget original'!$A$2:$A$500,0),MATCH(F$2,'Budget original'!$A$2:$AO$2,0))</f>
        <v>0</v>
      </c>
      <c r="G283" s="296"/>
      <c r="H283" s="172"/>
      <c r="I283" s="173">
        <f>+INDEX('Budget révisé'!$A$2:$AO$500,MATCH($A283,'Budget révisé'!$A$2:$A$500,0),MATCH(I$2,'Budget révisé'!$A$2:$AO$2,0))</f>
        <v>0</v>
      </c>
      <c r="J283" s="297"/>
      <c r="K283" s="172"/>
      <c r="L283" s="174">
        <f>SUMIFS(BV_Data_An_Cour!$O:$O,BV_Data_An_Cour!$U:$U,$B283,BV_Data_An_Cour!$V:$V,$C283,BV_Data_An_Cour!$W:$W,$L$2)</f>
        <v>0</v>
      </c>
      <c r="M283" s="297"/>
      <c r="N283" s="298">
        <f t="shared" si="135"/>
        <v>0</v>
      </c>
      <c r="O283" s="297"/>
      <c r="P283" s="172"/>
      <c r="Q283" s="174">
        <f>SUMIFS(BV_Data_An_Prec!$O:$O,BV_Data_An_Prec!$U:$U,$B283,BV_Data_An_Prec!$V:$V,$C283,BV_Data_An_Prec!$W:$W,$L$2)</f>
        <v>0</v>
      </c>
      <c r="R283" s="297"/>
      <c r="S283" s="193">
        <f t="shared" si="137"/>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4490.8785222490642</v>
      </c>
      <c r="G284" s="42" t="s">
        <v>111</v>
      </c>
      <c r="H284" s="40" t="e">
        <f>I284/I$243</f>
        <v>#DIV/0!</v>
      </c>
      <c r="I284" s="41">
        <f>+SUM(I266:I283)</f>
        <v>4490.8785222490642</v>
      </c>
      <c r="J284" s="42" t="s">
        <v>111</v>
      </c>
      <c r="K284" s="40" t="e">
        <f>IF(L261=0,0,L284/L$243)</f>
        <v>#DIV/0!</v>
      </c>
      <c r="L284" s="41">
        <f>+SUM(L266:L283)</f>
        <v>2804.2724999999991</v>
      </c>
      <c r="M284" s="44"/>
      <c r="N284" s="41">
        <f>+SUM(N266:N283)</f>
        <v>-1686.6060222490646</v>
      </c>
      <c r="O284" s="42" t="s">
        <v>111</v>
      </c>
      <c r="P284" s="40" t="e">
        <f>IF(Q261=0,0,Q284/Q$243)</f>
        <v>#DIV/0!</v>
      </c>
      <c r="Q284" s="41">
        <f>+SUM(Q266:Q283)</f>
        <v>3533.7102500000001</v>
      </c>
      <c r="R284" s="44"/>
      <c r="S284" s="310">
        <f t="shared" ref="S284" si="142">L284-Q284</f>
        <v>-729.43775000000096</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12111.947580098087</v>
      </c>
      <c r="G286" s="42" t="s">
        <v>111</v>
      </c>
      <c r="H286" s="40" t="e">
        <f>I286/I$243</f>
        <v>#DIV/0!</v>
      </c>
      <c r="I286" s="41">
        <f>I265+I284</f>
        <v>12111.947580098087</v>
      </c>
      <c r="J286" s="42" t="s">
        <v>111</v>
      </c>
      <c r="K286" s="40" t="e">
        <f>IF(L263=0,0,L286/L$243)</f>
        <v>#DIV/0!</v>
      </c>
      <c r="L286" s="41">
        <f>L265+L284</f>
        <v>13111.4925</v>
      </c>
      <c r="M286" s="44"/>
      <c r="N286" s="46">
        <f t="shared" ref="N286:N288" si="143">L286-I286</f>
        <v>999.54491990191309</v>
      </c>
      <c r="O286" s="42" t="s">
        <v>111</v>
      </c>
      <c r="P286" s="40" t="e">
        <f>IF(Q263=0,0,Q286/Q$243)</f>
        <v>#DIV/0!</v>
      </c>
      <c r="Q286" s="41">
        <f>Q265+Q284</f>
        <v>12436.740249999999</v>
      </c>
      <c r="R286" s="44"/>
      <c r="S286" s="293">
        <f>L286-Q286</f>
        <v>674.75225000000137</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3"/>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29.25" customHeight="1" thickBot="1">
      <c r="B288" s="24"/>
      <c r="C288" s="334" t="s">
        <v>143</v>
      </c>
      <c r="D288" s="335"/>
      <c r="E288" s="336"/>
      <c r="F288" s="337">
        <f>F249-F286</f>
        <v>5832.256064399302</v>
      </c>
      <c r="G288" s="338"/>
      <c r="H288" s="336"/>
      <c r="I288" s="337">
        <f>I249-I286</f>
        <v>5832.256064399302</v>
      </c>
      <c r="J288" s="339"/>
      <c r="K288" s="340"/>
      <c r="L288" s="337">
        <f>L249-L286</f>
        <v>7157.2074999999968</v>
      </c>
      <c r="M288" s="339"/>
      <c r="N288" s="337">
        <f t="shared" si="143"/>
        <v>1324.9514356006948</v>
      </c>
      <c r="O288" s="339"/>
      <c r="P288" s="340"/>
      <c r="Q288" s="337">
        <f>Q249-Q286</f>
        <v>-1831.8802499999965</v>
      </c>
      <c r="R288" s="339"/>
      <c r="S288" s="341">
        <f>L288-Q288</f>
        <v>8989.0877499999933</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1192" t="str">
        <f>C1</f>
        <v>Volks</v>
      </c>
      <c r="D290" s="19"/>
      <c r="E290" s="19"/>
      <c r="F290" s="19"/>
      <c r="G290" s="19"/>
      <c r="H290" s="18"/>
      <c r="I290" s="18"/>
      <c r="J290" s="18"/>
      <c r="K290" s="5" t="s">
        <v>175</v>
      </c>
      <c r="L290" s="19"/>
      <c r="M290" s="19"/>
      <c r="N290" s="18"/>
      <c r="O290" s="18"/>
      <c r="P290" s="19"/>
      <c r="Q290" s="18"/>
      <c r="R290" s="19"/>
      <c r="S290" s="6" t="str">
        <f>$S$1</f>
        <v>Réalisé, Mai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426" t="s">
        <v>77</v>
      </c>
      <c r="E292" s="1427"/>
      <c r="F292" s="1428"/>
      <c r="G292" s="1429" t="s">
        <v>145</v>
      </c>
      <c r="H292" s="1427"/>
      <c r="I292" s="1428"/>
      <c r="J292" s="1429" t="s">
        <v>79</v>
      </c>
      <c r="K292" s="1427"/>
      <c r="L292" s="1428"/>
      <c r="M292" s="1429" t="s">
        <v>80</v>
      </c>
      <c r="N292" s="1428"/>
      <c r="O292" s="1426" t="s">
        <v>81</v>
      </c>
      <c r="P292" s="1427"/>
      <c r="Q292" s="1428"/>
      <c r="R292" s="1429" t="s">
        <v>82</v>
      </c>
      <c r="S292" s="1430"/>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
        <v>175</v>
      </c>
      <c r="B293" s="24" t="s">
        <v>175</v>
      </c>
      <c r="C293" s="258"/>
      <c r="D293" s="260" t="s">
        <v>157</v>
      </c>
      <c r="E293" s="260" t="s">
        <v>176</v>
      </c>
      <c r="F293" s="261" t="s">
        <v>85</v>
      </c>
      <c r="G293" s="259" t="s">
        <v>157</v>
      </c>
      <c r="H293" s="260" t="s">
        <v>176</v>
      </c>
      <c r="I293" s="261" t="s">
        <v>85</v>
      </c>
      <c r="J293" s="259" t="s">
        <v>157</v>
      </c>
      <c r="K293" s="260" t="s">
        <v>176</v>
      </c>
      <c r="L293" s="261" t="s">
        <v>85</v>
      </c>
      <c r="M293" s="259" t="s">
        <v>156</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
        <v>3181</v>
      </c>
      <c r="B294" s="24" t="s">
        <v>175</v>
      </c>
      <c r="C294" s="258" t="s">
        <v>177</v>
      </c>
      <c r="D294" s="191">
        <f>+INDEX('Budget original'!$A$2:$AO$500,MATCH($A294,'Budget original'!$A$2:$A$500,0),MATCH(D$2,'Budget original'!$A$2:$AO$2,0))</f>
        <v>79638.512157463789</v>
      </c>
      <c r="E294" s="204">
        <f>IF(D294=0,0,F294/D294)</f>
        <v>0.35811007851031496</v>
      </c>
      <c r="F294" s="193">
        <f>+INDEX('Budget original'!$A$2:$AO$500,MATCH($A294,'Budget original'!$A$2:$A$500,0),MATCH(F$2,'Budget original'!$A$2:$AO$2,0))</f>
        <v>28519.353841154028</v>
      </c>
      <c r="G294" s="191">
        <f>+INDEX('Budget révisé'!$A$2:$AO$500,MATCH($A294,'Budget révisé'!$A$2:$A$500,0),MATCH(G$2,'Budget révisé'!$A$2:$AO$2,0))</f>
        <v>79638.512157463789</v>
      </c>
      <c r="H294" s="204">
        <f>IF(G294=0,0,I294/G294)</f>
        <v>0.35811007851031496</v>
      </c>
      <c r="I294" s="193">
        <f>+INDEX('Budget révisé'!$A$2:$AO$500,MATCH($A294,'Budget révisé'!$A$2:$A$500,0),MATCH(I$2,'Budget révisé'!$A$2:$AO$2,0))</f>
        <v>28519.353841154028</v>
      </c>
      <c r="J294" s="173">
        <f>-SUMIFS(BV_Data_An_Cour!$O:$O,BV_Data_An_Cour!$X:$X,"Oui",BV_Data_An_Cour!$U:$U,$B294,BV_Data_An_Cour!$V:$V,$C294)</f>
        <v>83928.41</v>
      </c>
      <c r="K294" s="204">
        <f t="shared" ref="K294:K299" si="144">IF(J294&lt;=0,0,L294/J294)</f>
        <v>0.35822696986634206</v>
      </c>
      <c r="L294" s="193">
        <f>-SUMIFS(BV_Data_An_Cour!$O:$O,BV_Data_An_Cour!$U:$U,$B294,BV_Data_An_Cour!$V:$V,$C294,BV_Data_An_Cour!$W:$W,$L$2)</f>
        <v>30065.420000000002</v>
      </c>
      <c r="M294" s="318">
        <f t="shared" ref="M294:M299" si="145">(+J294-G294)/G294</f>
        <v>5.3867126925401278E-2</v>
      </c>
      <c r="N294" s="298">
        <f t="shared" ref="N294:N299" si="146">L294-I294</f>
        <v>1546.0661588459734</v>
      </c>
      <c r="O294" s="173">
        <f>-SUMIFS(BV_Data_An_Prec!$O:$O,BV_Data_An_Prec!$X:$X,"Oui",BV_Data_An_Prec!$U:$U,$B294,BV_Data_An_Prec!$V:$V,$C294)</f>
        <v>68074.17</v>
      </c>
      <c r="P294" s="204">
        <f t="shared" ref="P294:P303" si="147">IF(O294&lt;=0,0,Q294/O294)</f>
        <v>0.36506651494979658</v>
      </c>
      <c r="Q294" s="193">
        <f>-SUMIFS(BV_Data_An_Prec!$O:$O,BV_Data_An_Prec!$U:$U,$B294,BV_Data_An_Prec!$V:$V,$C294,BV_Data_An_Prec!$W:$W,$L$2)</f>
        <v>24851.599999999995</v>
      </c>
      <c r="R294" s="318">
        <f>IF(O294=0,0,(J294-O294)/O294)</f>
        <v>0.2328965597377097</v>
      </c>
      <c r="S294" s="193">
        <f t="shared" ref="S294:S299" si="148">L294-Q294</f>
        <v>5213.820000000007</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
        <v>3182</v>
      </c>
      <c r="B295" s="24" t="s">
        <v>175</v>
      </c>
      <c r="C295" s="258" t="s">
        <v>178</v>
      </c>
      <c r="D295" s="191">
        <f>+INDEX('Budget original'!$A$2:$AO$500,MATCH($A295,'Budget original'!$A$2:$A$500,0),MATCH(D$2,'Budget original'!$A$2:$AO$2,0))</f>
        <v>39425.477605529792</v>
      </c>
      <c r="E295" s="204">
        <f t="shared" ref="E295:E302" si="149">IF(D295=0,0,F295/D295)</f>
        <v>0.2571723304036081</v>
      </c>
      <c r="F295" s="193">
        <f>+INDEX('Budget original'!$A$2:$AO$500,MATCH($A295,'Budget original'!$A$2:$A$500,0),MATCH(F$2,'Budget original'!$A$2:$AO$2,0))</f>
        <v>10139.14195308936</v>
      </c>
      <c r="G295" s="191">
        <f>+INDEX('Budget révisé'!$A$2:$AO$500,MATCH($A295,'Budget révisé'!$A$2:$A$500,0),MATCH(G$2,'Budget révisé'!$A$2:$AO$2,0))</f>
        <v>39425.477605529792</v>
      </c>
      <c r="H295" s="204">
        <f t="shared" ref="H295:H302" si="150">IF(G295=0,0,I295/G295)</f>
        <v>0.2571723304036081</v>
      </c>
      <c r="I295" s="193">
        <f>+INDEX('Budget révisé'!$A$2:$AO$500,MATCH($A295,'Budget révisé'!$A$2:$A$500,0),MATCH(I$2,'Budget révisé'!$A$2:$AO$2,0))</f>
        <v>10139.14195308936</v>
      </c>
      <c r="J295" s="173">
        <f>-SUMIFS(BV_Data_An_Cour!$O:$O,BV_Data_An_Cour!$X:$X,"Oui",BV_Data_An_Cour!$U:$U,$B295,BV_Data_An_Cour!$V:$V,$C295)</f>
        <v>67001.09</v>
      </c>
      <c r="K295" s="204">
        <f t="shared" si="144"/>
        <v>0.24541615666252586</v>
      </c>
      <c r="L295" s="193">
        <f>-SUMIFS(BV_Data_An_Cour!$O:$O,BV_Data_An_Cour!$U:$U,$B295,BV_Data_An_Cour!$V:$V,$C295,BV_Data_An_Cour!$W:$W,$L$2)</f>
        <v>16443.149999999994</v>
      </c>
      <c r="M295" s="318">
        <f t="shared" si="145"/>
        <v>0.69943635611411004</v>
      </c>
      <c r="N295" s="298">
        <f t="shared" si="146"/>
        <v>6304.0080469106342</v>
      </c>
      <c r="O295" s="173">
        <f>-SUMIFS(BV_Data_An_Prec!$O:$O,BV_Data_An_Prec!$X:$X,"Oui",BV_Data_An_Prec!$U:$U,$B295,BV_Data_An_Prec!$V:$V,$C295)</f>
        <v>27184.52</v>
      </c>
      <c r="P295" s="204">
        <f t="shared" si="147"/>
        <v>0.24658371749804661</v>
      </c>
      <c r="Q295" s="193">
        <f>-SUMIFS(BV_Data_An_Prec!$O:$O,BV_Data_An_Prec!$U:$U,$B295,BV_Data_An_Prec!$V:$V,$C295,BV_Data_An_Prec!$W:$W,$L$2)</f>
        <v>6703.2599999999984</v>
      </c>
      <c r="R295" s="318">
        <f t="shared" ref="R295:R302" si="151">IF(O295=0,0,(J295-O295)/O295)</f>
        <v>1.464678059424996</v>
      </c>
      <c r="S295" s="193">
        <f t="shared" si="148"/>
        <v>9739.8899999999958</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
        <v>3183</v>
      </c>
      <c r="B296" s="24" t="s">
        <v>175</v>
      </c>
      <c r="C296" s="258" t="s">
        <v>179</v>
      </c>
      <c r="D296" s="191">
        <f>+INDEX('Budget original'!$A$2:$AO$500,MATCH($A296,'Budget original'!$A$2:$A$500,0),MATCH(D$2,'Budget original'!$A$2:$AO$2,0))</f>
        <v>92243.89391869164</v>
      </c>
      <c r="E296" s="204">
        <f t="shared" si="149"/>
        <v>0.24177651145507992</v>
      </c>
      <c r="F296" s="193">
        <f>+INDEX('Budget original'!$A$2:$AO$500,MATCH($A296,'Budget original'!$A$2:$A$500,0),MATCH(F$2,'Budget original'!$A$2:$AO$2,0))</f>
        <v>22302.406874693726</v>
      </c>
      <c r="G296" s="191">
        <f>+INDEX('Budget révisé'!$A$2:$AO$500,MATCH($A296,'Budget révisé'!$A$2:$A$500,0),MATCH(G$2,'Budget révisé'!$A$2:$AO$2,0))</f>
        <v>92243.89391869164</v>
      </c>
      <c r="H296" s="204">
        <f t="shared" si="150"/>
        <v>0.24177651145507992</v>
      </c>
      <c r="I296" s="193">
        <f>+INDEX('Budget révisé'!$A$2:$AO$500,MATCH($A296,'Budget révisé'!$A$2:$A$500,0),MATCH(I$2,'Budget révisé'!$A$2:$AO$2,0))</f>
        <v>22302.406874693726</v>
      </c>
      <c r="J296" s="173">
        <f>-SUMIFS(BV_Data_An_Cour!$O:$O,BV_Data_An_Cour!$X:$X,"Oui",BV_Data_An_Cour!$U:$U,$B296,BV_Data_An_Cour!$V:$V,$C296)</f>
        <v>33824.31</v>
      </c>
      <c r="K296" s="204">
        <f t="shared" si="144"/>
        <v>0.2547091130609907</v>
      </c>
      <c r="L296" s="193">
        <f>-SUMIFS(BV_Data_An_Cour!$O:$O,BV_Data_An_Cour!$U:$U,$B296,BV_Data_An_Cour!$V:$V,$C296,BV_Data_An_Cour!$W:$W,$L$2)</f>
        <v>8615.3599999999969</v>
      </c>
      <c r="M296" s="318">
        <f t="shared" si="145"/>
        <v>-0.63331654201616394</v>
      </c>
      <c r="N296" s="298">
        <f t="shared" si="146"/>
        <v>-13687.046874693729</v>
      </c>
      <c r="O296" s="173">
        <f>-SUMIFS(BV_Data_An_Prec!$O:$O,BV_Data_An_Prec!$X:$X,"Oui",BV_Data_An_Prec!$U:$U,$B296,BV_Data_An_Prec!$V:$V,$C296)</f>
        <v>79594.67</v>
      </c>
      <c r="P296" s="204">
        <f t="shared" si="147"/>
        <v>0.23625149774476106</v>
      </c>
      <c r="Q296" s="193">
        <f>-SUMIFS(BV_Data_An_Prec!$O:$O,BV_Data_An_Prec!$U:$U,$B296,BV_Data_An_Prec!$V:$V,$C296,BV_Data_An_Prec!$W:$W,$L$2)</f>
        <v>18804.36</v>
      </c>
      <c r="R296" s="318">
        <f t="shared" si="151"/>
        <v>-0.57504302737859203</v>
      </c>
      <c r="S296" s="193">
        <f t="shared" si="148"/>
        <v>-10189.000000000004</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
        <v>3184</v>
      </c>
      <c r="B297" s="24" t="s">
        <v>175</v>
      </c>
      <c r="C297" s="258" t="s">
        <v>180</v>
      </c>
      <c r="D297" s="191">
        <f>+INDEX('Budget original'!$A$2:$AO$500,MATCH($A297,'Budget original'!$A$2:$A$500,0),MATCH(D$2,'Budget original'!$A$2:$AO$2,0))</f>
        <v>58194.152808607272</v>
      </c>
      <c r="E297" s="204">
        <f t="shared" si="149"/>
        <v>0.32393223852119107</v>
      </c>
      <c r="F297" s="193">
        <f>+INDEX('Budget original'!$A$2:$AO$500,MATCH($A297,'Budget original'!$A$2:$A$500,0),MATCH(F$2,'Budget original'!$A$2:$AO$2,0))</f>
        <v>18850.962188136411</v>
      </c>
      <c r="G297" s="191">
        <f>+INDEX('Budget révisé'!$A$2:$AO$500,MATCH($A297,'Budget révisé'!$A$2:$A$500,0),MATCH(G$2,'Budget révisé'!$A$2:$AO$2,0))</f>
        <v>58194.152808607272</v>
      </c>
      <c r="H297" s="204">
        <f t="shared" si="150"/>
        <v>0.32393223852119107</v>
      </c>
      <c r="I297" s="193">
        <f>+INDEX('Budget révisé'!$A$2:$AO$500,MATCH($A297,'Budget révisé'!$A$2:$A$500,0),MATCH(I$2,'Budget révisé'!$A$2:$AO$2,0))</f>
        <v>18850.962188136411</v>
      </c>
      <c r="J297" s="173">
        <f>-SUMIFS(BV_Data_An_Cour!$O:$O,BV_Data_An_Cour!$X:$X,"Oui",BV_Data_An_Cour!$U:$U,$B297,BV_Data_An_Cour!$V:$V,$C297)</f>
        <v>49568.800000000003</v>
      </c>
      <c r="K297" s="204">
        <f t="shared" si="144"/>
        <v>0.31772082438953536</v>
      </c>
      <c r="L297" s="193">
        <f>-SUMIFS(BV_Data_An_Cour!$O:$O,BV_Data_An_Cour!$U:$U,$B297,BV_Data_An_Cour!$V:$V,$C297,BV_Data_An_Cour!$W:$W,$L$2)</f>
        <v>15749.04</v>
      </c>
      <c r="M297" s="318">
        <f t="shared" si="145"/>
        <v>-0.14821682922294432</v>
      </c>
      <c r="N297" s="298">
        <f t="shared" si="146"/>
        <v>-3101.9221881364101</v>
      </c>
      <c r="O297" s="173">
        <f>-SUMIFS(BV_Data_An_Prec!$O:$O,BV_Data_An_Prec!$X:$X,"Oui",BV_Data_An_Prec!$U:$U,$B297,BV_Data_An_Prec!$V:$V,$C297)</f>
        <v>52618.64</v>
      </c>
      <c r="P297" s="204">
        <f t="shared" si="147"/>
        <v>0.29299750050552426</v>
      </c>
      <c r="Q297" s="193">
        <f>-SUMIFS(BV_Data_An_Prec!$O:$O,BV_Data_An_Prec!$U:$U,$B297,BV_Data_An_Prec!$V:$V,$C297,BV_Data_An_Prec!$W:$W,$L$2)</f>
        <v>15417.129999999997</v>
      </c>
      <c r="R297" s="318">
        <f t="shared" si="151"/>
        <v>-5.7961209183665645E-2</v>
      </c>
      <c r="S297" s="193">
        <f t="shared" si="148"/>
        <v>331.91000000000349</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
        <v>3185</v>
      </c>
      <c r="B298" s="24" t="s">
        <v>175</v>
      </c>
      <c r="C298" s="258" t="s">
        <v>181</v>
      </c>
      <c r="D298" s="191">
        <f>+INDEX('Budget original'!$A$2:$AO$500,MATCH($A298,'Budget original'!$A$2:$A$500,0),MATCH(D$2,'Budget original'!$A$2:$AO$2,0))</f>
        <v>17935.903365990547</v>
      </c>
      <c r="E298" s="204">
        <f t="shared" si="149"/>
        <v>0.28113730707120016</v>
      </c>
      <c r="F298" s="193">
        <f>+INDEX('Budget original'!$A$2:$AO$500,MATCH($A298,'Budget original'!$A$2:$A$500,0),MATCH(F$2,'Budget original'!$A$2:$AO$2,0))</f>
        <v>5042.4515722038568</v>
      </c>
      <c r="G298" s="191">
        <f>+INDEX('Budget révisé'!$A$2:$AO$500,MATCH($A298,'Budget révisé'!$A$2:$A$500,0),MATCH(G$2,'Budget révisé'!$A$2:$AO$2,0))</f>
        <v>17935.903365990547</v>
      </c>
      <c r="H298" s="204">
        <f t="shared" si="150"/>
        <v>0.28113730707120016</v>
      </c>
      <c r="I298" s="193">
        <f>+INDEX('Budget révisé'!$A$2:$AO$500,MATCH($A298,'Budget révisé'!$A$2:$A$500,0),MATCH(I$2,'Budget révisé'!$A$2:$AO$2,0))</f>
        <v>5042.4515722038568</v>
      </c>
      <c r="J298" s="173">
        <f>-SUMIFS(BV_Data_An_Cour!$O:$O,BV_Data_An_Cour!$X:$X,"Oui",BV_Data_An_Cour!$U:$U,$B298,BV_Data_An_Cour!$V:$V,$C298)</f>
        <v>18487.63</v>
      </c>
      <c r="K298" s="204">
        <f t="shared" si="144"/>
        <v>0.25925010398845072</v>
      </c>
      <c r="L298" s="193">
        <f>-SUMIFS(BV_Data_An_Cour!$O:$O,BV_Data_An_Cour!$U:$U,$B298,BV_Data_An_Cour!$V:$V,$C298,BV_Data_An_Cour!$W:$W,$L$2)</f>
        <v>4792.9200000000019</v>
      </c>
      <c r="M298" s="318">
        <f t="shared" si="145"/>
        <v>3.0761017315448922E-2</v>
      </c>
      <c r="N298" s="298">
        <f t="shared" si="146"/>
        <v>-249.53157220385492</v>
      </c>
      <c r="O298" s="173">
        <f>-SUMIFS(BV_Data_An_Prec!$O:$O,BV_Data_An_Prec!$X:$X,"Oui",BV_Data_An_Prec!$U:$U,$B298,BV_Data_An_Prec!$V:$V,$C298)</f>
        <v>14457.31</v>
      </c>
      <c r="P298" s="204">
        <f t="shared" si="147"/>
        <v>0.29024209897968567</v>
      </c>
      <c r="Q298" s="193">
        <f>-SUMIFS(BV_Data_An_Prec!$O:$O,BV_Data_An_Prec!$U:$U,$B298,BV_Data_An_Prec!$V:$V,$C298,BV_Data_An_Prec!$W:$W,$L$2)</f>
        <v>4196.119999999999</v>
      </c>
      <c r="R298" s="318">
        <f t="shared" si="151"/>
        <v>0.2787738521204845</v>
      </c>
      <c r="S298" s="193">
        <f t="shared" si="148"/>
        <v>596.80000000000291</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
        <v>3186</v>
      </c>
      <c r="B299" s="24" t="s">
        <v>175</v>
      </c>
      <c r="C299" s="258" t="s">
        <v>182</v>
      </c>
      <c r="D299" s="191">
        <f>+INDEX('Budget original'!$A$2:$AO$500,MATCH($A299,'Budget original'!$A$2:$A$500,0),MATCH(D$2,'Budget original'!$A$2:$AO$2,0))</f>
        <v>47625.131397946105</v>
      </c>
      <c r="E299" s="204">
        <f t="shared" si="149"/>
        <v>0.18194830719212418</v>
      </c>
      <c r="F299" s="193">
        <f>+INDEX('Budget original'!$A$2:$AO$500,MATCH($A299,'Budget original'!$A$2:$A$500,0),MATCH(F$2,'Budget original'!$A$2:$AO$2,0))</f>
        <v>8665.3120376587758</v>
      </c>
      <c r="G299" s="191">
        <f>+INDEX('Budget révisé'!$A$2:$AO$500,MATCH($A299,'Budget révisé'!$A$2:$A$500,0),MATCH(G$2,'Budget révisé'!$A$2:$AO$2,0))</f>
        <v>47625.131397946105</v>
      </c>
      <c r="H299" s="204">
        <f t="shared" si="150"/>
        <v>0.18194830719212418</v>
      </c>
      <c r="I299" s="193">
        <f>+INDEX('Budget révisé'!$A$2:$AO$500,MATCH($A299,'Budget révisé'!$A$2:$A$500,0),MATCH(I$2,'Budget révisé'!$A$2:$AO$2,0))</f>
        <v>8665.3120376587758</v>
      </c>
      <c r="J299" s="173">
        <f>-SUMIFS(BV_Data_An_Cour!$O:$O,BV_Data_An_Cour!$X:$X,"Oui",BV_Data_An_Cour!$U:$U,$B299,BV_Data_An_Cour!$V:$V,$C299)</f>
        <v>77684.11</v>
      </c>
      <c r="K299" s="204">
        <f t="shared" si="144"/>
        <v>0.2043779609498004</v>
      </c>
      <c r="L299" s="193">
        <f>-SUMIFS(BV_Data_An_Cour!$O:$O,BV_Data_An_Cour!$U:$U,$B299,BV_Data_An_Cour!$V:$V,$C299,BV_Data_An_Cour!$W:$W,$L$2)</f>
        <v>15876.919999999998</v>
      </c>
      <c r="M299" s="318">
        <f t="shared" si="145"/>
        <v>0.63115791431391677</v>
      </c>
      <c r="N299" s="298">
        <f t="shared" si="146"/>
        <v>7211.6079623412224</v>
      </c>
      <c r="O299" s="173">
        <f>-SUMIFS(BV_Data_An_Prec!$O:$O,BV_Data_An_Prec!$X:$X,"Oui",BV_Data_An_Prec!$U:$U,$B299,BV_Data_An_Prec!$V:$V,$C299)</f>
        <v>33246.97</v>
      </c>
      <c r="P299" s="204">
        <f t="shared" si="147"/>
        <v>0.1798897764217311</v>
      </c>
      <c r="Q299" s="193">
        <f>-SUMIFS(BV_Data_An_Prec!$O:$O,BV_Data_An_Prec!$U:$U,$B299,BV_Data_An_Prec!$V:$V,$C299,BV_Data_An_Prec!$W:$W,$L$2)</f>
        <v>5980.7900000000009</v>
      </c>
      <c r="R299" s="318">
        <f t="shared" si="151"/>
        <v>1.3365771377060827</v>
      </c>
      <c r="S299" s="193">
        <f t="shared" si="148"/>
        <v>9896.1299999999974</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s="564" customFormat="1" ht="15.75" hidden="1" customHeight="1">
      <c r="A300" s="564" t="s">
        <v>3187</v>
      </c>
      <c r="B300" s="24" t="s">
        <v>175</v>
      </c>
      <c r="C300" s="258" t="s">
        <v>42</v>
      </c>
      <c r="D300" s="191">
        <f>+INDEX('Budget original'!$A$2:$AO$500,MATCH($A300,'Budget original'!$A$2:$A$500,0),MATCH(D$2,'Budget original'!$A$2:$AO$2,0))</f>
        <v>0</v>
      </c>
      <c r="E300" s="204">
        <f t="shared" ref="E300" si="152">IF(D300=0,0,F300/D300)</f>
        <v>0</v>
      </c>
      <c r="F300" s="193">
        <f>+INDEX('Budget original'!$A$2:$AO$500,MATCH($A300,'Budget original'!$A$2:$A$500,0),MATCH(F$2,'Budget original'!$A$2:$AO$2,0))</f>
        <v>0</v>
      </c>
      <c r="G300" s="191">
        <f>+INDEX('Budget révisé'!$A$2:$AO$500,MATCH($A300,'Budget révisé'!$A$2:$A$500,0),MATCH(G$2,'Budget révisé'!$A$2:$AO$2,0))</f>
        <v>0</v>
      </c>
      <c r="H300" s="204">
        <f t="shared" ref="H300" si="153">IF(G300=0,0,I300/G300)</f>
        <v>0</v>
      </c>
      <c r="I300" s="193">
        <f>+INDEX('Budget révisé'!$A$2:$AO$500,MATCH($A300,'Budget révisé'!$A$2:$A$500,0),MATCH(I$2,'Budget révisé'!$A$2:$AO$2,0))</f>
        <v>0</v>
      </c>
      <c r="J300" s="173">
        <f>-SUMIFS(BV_Data_An_Cour!$O:$O,BV_Data_An_Cour!$X:$X,"Oui",BV_Data_An_Cour!$U:$U,$B300,BV_Data_An_Cour!$V:$V,$C300)</f>
        <v>0</v>
      </c>
      <c r="K300" s="204">
        <f t="shared" ref="K300" si="154">IF(J300&lt;=0,0,L300/J300)</f>
        <v>0</v>
      </c>
      <c r="L300" s="193">
        <f>-SUMIFS(BV_Data_An_Cour!$O:$O,BV_Data_An_Cour!$U:$U,$B300,BV_Data_An_Cour!$V:$V,$C300,BV_Data_An_Cour!$W:$W,$L$2)</f>
        <v>0</v>
      </c>
      <c r="M300" s="318" t="e">
        <f t="shared" ref="M300" si="155">(+J300-G300)/G300</f>
        <v>#DIV/0!</v>
      </c>
      <c r="N300" s="298">
        <f t="shared" ref="N300" si="156">L300-I300</f>
        <v>0</v>
      </c>
      <c r="O300" s="173">
        <f>-SUMIFS(BV_Data_An_Prec!$O:$O,BV_Data_An_Prec!$X:$X,"Oui",BV_Data_An_Prec!$U:$U,$B300,BV_Data_An_Prec!$V:$V,$C300)</f>
        <v>0</v>
      </c>
      <c r="P300" s="204">
        <f t="shared" ref="P300" si="157">IF(O300&lt;=0,0,Q300/O300)</f>
        <v>0</v>
      </c>
      <c r="Q300" s="193">
        <f>-SUMIFS(BV_Data_An_Prec!$O:$O,BV_Data_An_Prec!$U:$U,$B300,BV_Data_An_Prec!$V:$V,$C300,BV_Data_An_Prec!$W:$W,$L$2)</f>
        <v>0</v>
      </c>
      <c r="R300" s="318">
        <f t="shared" ref="R300" si="158">IF(O300=0,0,(J300-O300)/O300)</f>
        <v>0</v>
      </c>
      <c r="S300" s="193">
        <f t="shared" ref="S300" si="159">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
        <v>3188</v>
      </c>
      <c r="B301" s="24" t="s">
        <v>175</v>
      </c>
      <c r="C301" s="258" t="s">
        <v>183</v>
      </c>
      <c r="D301" s="191">
        <f>+INDEX('Budget original'!$A$2:$AO$500,MATCH($A301,'Budget original'!$A$2:$A$500,0),MATCH(D$2,'Budget original'!$A$2:$AO$2,0))</f>
        <v>0</v>
      </c>
      <c r="E301" s="204">
        <f t="shared" si="149"/>
        <v>0</v>
      </c>
      <c r="F301" s="193">
        <f>+INDEX('Budget original'!$A$2:$AO$500,MATCH($A301,'Budget original'!$A$2:$A$500,0),MATCH(F$2,'Budget original'!$A$2:$AO$2,0))</f>
        <v>5552.7700700431051</v>
      </c>
      <c r="G301" s="191">
        <f>+INDEX('Budget révisé'!$A$2:$AO$500,MATCH($A301,'Budget révisé'!$A$2:$A$500,0),MATCH(G$2,'Budget révisé'!$A$2:$AO$2,0))</f>
        <v>0</v>
      </c>
      <c r="H301" s="204">
        <f t="shared" si="150"/>
        <v>0</v>
      </c>
      <c r="I301" s="193">
        <f>+INDEX('Budget révisé'!$A$2:$AO$500,MATCH($A301,'Budget révisé'!$A$2:$A$500,0),MATCH(I$2,'Budget révisé'!$A$2:$AO$2,0))</f>
        <v>5552.7700700431051</v>
      </c>
      <c r="J301" s="225">
        <f>-SUMIFS(BV_Data_An_Cour!$O:$O,BV_Data_An_Cour!$X:$X,"Oui",BV_Data_An_Cour!$U:$U,$B301,BV_Data_An_Cour!$V:$V,$C301)</f>
        <v>0</v>
      </c>
      <c r="K301" s="530">
        <f t="shared" ref="K301:K303" si="160">IF(J301&lt;=0,0,L301/J301)</f>
        <v>0</v>
      </c>
      <c r="L301" s="193">
        <f>-SUMIFS(BV_Data_An_Cour!$O:$O,BV_Data_An_Cour!$U:$U,$B301,BV_Data_An_Cour!$V:$V,$C301,BV_Data_An_Cour!$W:$W,$L$2)</f>
        <v>8774.8799999999992</v>
      </c>
      <c r="M301" s="318"/>
      <c r="N301" s="298">
        <f t="shared" ref="N301:N303" si="161">L301-I301</f>
        <v>3222.1099299568941</v>
      </c>
      <c r="O301" s="173">
        <f>-SUMIFS(BV_Data_An_Prec!$O:$O,BV_Data_An_Prec!$X:$X,"Oui",BV_Data_An_Prec!$U:$U,$B301,BV_Data_An_Prec!$V:$V,$C301)</f>
        <v>0</v>
      </c>
      <c r="P301" s="204">
        <f t="shared" si="147"/>
        <v>0</v>
      </c>
      <c r="Q301" s="193">
        <f>-SUMIFS(BV_Data_An_Prec!$O:$O,BV_Data_An_Prec!$U:$U,$B301,BV_Data_An_Prec!$V:$V,$C301,BV_Data_An_Prec!$W:$W,$L$2)</f>
        <v>10251.25</v>
      </c>
      <c r="R301" s="318">
        <f t="shared" si="151"/>
        <v>0</v>
      </c>
      <c r="S301" s="193">
        <f t="shared" ref="S301:S303" si="162">L301-Q301</f>
        <v>-1476.3700000000008</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
        <v>3189</v>
      </c>
      <c r="B302" s="24" t="s">
        <v>175</v>
      </c>
      <c r="C302" s="320" t="s">
        <v>184</v>
      </c>
      <c r="D302" s="191">
        <f>+INDEX('Budget original'!$A$2:$AO$500,MATCH($A302,'Budget original'!$A$2:$A$500,0),MATCH(D$2,'Budget original'!$A$2:$AO$2,0))</f>
        <v>0</v>
      </c>
      <c r="E302" s="204">
        <f t="shared" si="149"/>
        <v>0</v>
      </c>
      <c r="F302" s="193">
        <f>+INDEX('Budget original'!$A$2:$AO$500,MATCH($A302,'Budget original'!$A$2:$A$500,0),MATCH(F$2,'Budget original'!$A$2:$AO$2,0))</f>
        <v>0</v>
      </c>
      <c r="G302" s="191">
        <f>+INDEX('Budget révisé'!$A$2:$AO$500,MATCH($A302,'Budget révisé'!$A$2:$A$500,0),MATCH(G$2,'Budget révisé'!$A$2:$AO$2,0))</f>
        <v>0</v>
      </c>
      <c r="H302" s="204">
        <f t="shared" si="150"/>
        <v>0</v>
      </c>
      <c r="I302" s="193">
        <f>+INDEX('Budget révisé'!$A$2:$AO$500,MATCH($A302,'Budget révisé'!$A$2:$A$500,0),MATCH(I$2,'Budget révisé'!$A$2:$AO$2,0))</f>
        <v>0</v>
      </c>
      <c r="J302" s="173">
        <f>-SUMIFS(BV_Data_An_Cour!$O:$O,BV_Data_An_Cour!$X:$X,"Oui",BV_Data_An_Cour!$U:$U,$B302,BV_Data_An_Cour!$V:$V,$C302)</f>
        <v>0</v>
      </c>
      <c r="K302" s="204">
        <f t="shared" si="160"/>
        <v>0</v>
      </c>
      <c r="L302" s="193">
        <f>-SUMIFS(BV_Data_An_Cour!$O:$O,BV_Data_An_Cour!$U:$U,$B302,BV_Data_An_Cour!$V:$V,$C302,BV_Data_An_Cour!$W:$W,$L$2)</f>
        <v>0</v>
      </c>
      <c r="M302" s="318"/>
      <c r="N302" s="298">
        <f t="shared" si="161"/>
        <v>0</v>
      </c>
      <c r="O302" s="173">
        <f>-SUMIFS(BV_Data_An_Prec!$O:$O,BV_Data_An_Prec!$X:$X,"Oui",BV_Data_An_Prec!$U:$U,$B302,BV_Data_An_Prec!$V:$V,$C302)</f>
        <v>0</v>
      </c>
      <c r="P302" s="204">
        <f t="shared" si="147"/>
        <v>0</v>
      </c>
      <c r="Q302" s="193">
        <f>-SUMIFS(BV_Data_An_Prec!$O:$O,BV_Data_An_Prec!$U:$U,$B302,BV_Data_An_Prec!$V:$V,$C302,BV_Data_An_Prec!$W:$W,$L$2)</f>
        <v>0</v>
      </c>
      <c r="R302" s="318">
        <f t="shared" si="151"/>
        <v>0</v>
      </c>
      <c r="S302" s="193">
        <f t="shared" si="162"/>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
        <v>3190</v>
      </c>
      <c r="B303" s="24" t="s">
        <v>175</v>
      </c>
      <c r="C303" s="321" t="s">
        <v>185</v>
      </c>
      <c r="D303" s="192">
        <f>SUM(D294:D302)</f>
        <v>335063.07125422917</v>
      </c>
      <c r="E303" s="322">
        <f>IF(D303&lt;=0,0,F303/D303)</f>
        <v>0.29568283417842867</v>
      </c>
      <c r="F303" s="194">
        <f>SUM(F294:F302)</f>
        <v>99072.398536979264</v>
      </c>
      <c r="G303" s="192">
        <f>SUM(G294:G302)</f>
        <v>335063.07125422917</v>
      </c>
      <c r="H303" s="322">
        <f>IF(G303&lt;=0,0,I303/G303)</f>
        <v>0.29568283417842867</v>
      </c>
      <c r="I303" s="194">
        <f>SUM(I294:I302)</f>
        <v>99072.398536979264</v>
      </c>
      <c r="J303" s="192">
        <f>SUM(J294:J302)</f>
        <v>330494.34999999998</v>
      </c>
      <c r="K303" s="322">
        <f t="shared" si="160"/>
        <v>0.30353829044278674</v>
      </c>
      <c r="L303" s="323">
        <f>SUM(L294:L302)</f>
        <v>100317.69</v>
      </c>
      <c r="M303" s="324">
        <f>(+J303-G303)/G303</f>
        <v>-1.363540672246354E-2</v>
      </c>
      <c r="N303" s="323">
        <f t="shared" si="161"/>
        <v>1245.2914630207379</v>
      </c>
      <c r="O303" s="192">
        <f>SUM(O294:O302)</f>
        <v>275176.28000000003</v>
      </c>
      <c r="P303" s="322">
        <f t="shared" si="147"/>
        <v>0.31327013360308514</v>
      </c>
      <c r="Q303" s="323">
        <f>SUM(Q294:Q302)</f>
        <v>86204.50999999998</v>
      </c>
      <c r="R303" s="324">
        <f>IF(O303=0,0,(J303-O303)/O303)</f>
        <v>0.20102775573534151</v>
      </c>
      <c r="S303" s="194">
        <f t="shared" si="162"/>
        <v>14113.180000000022</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
        <v>175</v>
      </c>
      <c r="B304" s="24" t="s">
        <v>175</v>
      </c>
      <c r="C304" s="258"/>
      <c r="D304" s="172"/>
      <c r="E304" s="172"/>
      <c r="F304" s="306"/>
      <c r="G304" s="297"/>
      <c r="H304" s="172"/>
      <c r="I304" s="306"/>
      <c r="J304" s="297"/>
      <c r="K304" s="172"/>
      <c r="L304" s="306"/>
      <c r="M304" s="297"/>
      <c r="N304" s="326">
        <f>N303/I303</f>
        <v>1.2569509585012486E-2</v>
      </c>
      <c r="O304" s="297"/>
      <c r="P304" s="172"/>
      <c r="Q304" s="306"/>
      <c r="R304" s="297"/>
      <c r="S304" s="327">
        <f>IF(Q303=0,0,S303/Q303)</f>
        <v>0.16371742035306536</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
        <v>175</v>
      </c>
      <c r="B305" s="24" t="s">
        <v>175</v>
      </c>
      <c r="C305" s="320"/>
      <c r="D305" s="302"/>
      <c r="E305" s="302"/>
      <c r="F305" s="328"/>
      <c r="G305" s="304"/>
      <c r="H305" s="329"/>
      <c r="I305" s="328"/>
      <c r="J305" s="304"/>
      <c r="K305" s="302"/>
      <c r="L305" s="328"/>
      <c r="M305" s="304"/>
      <c r="N305" s="330"/>
      <c r="O305" s="304"/>
      <c r="P305" s="302"/>
      <c r="Q305" s="328"/>
      <c r="R305" s="304"/>
      <c r="S305" s="331"/>
      <c r="T305" s="216"/>
      <c r="U305" s="216"/>
      <c r="V305" s="216"/>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
        <v>3191</v>
      </c>
      <c r="B306" s="24" t="s">
        <v>175</v>
      </c>
      <c r="C306" s="258" t="s">
        <v>186</v>
      </c>
      <c r="D306" s="191">
        <f>+INDEX('Budget original'!$A$2:$AO$500,MATCH($A306,'Budget original'!$A$2:$A$500,0),MATCH(D$2,'Budget original'!$A$2:$AO$2,0))</f>
        <v>40235.745737282341</v>
      </c>
      <c r="E306" s="204">
        <f t="shared" ref="E306:E307" si="163">IF(D306=0,0,F306/D306)</f>
        <v>0.1816444838198383</v>
      </c>
      <c r="F306" s="195">
        <f>+INDEX('Budget original'!$A$2:$AO$500,MATCH($A306,'Budget original'!$A$2:$A$500,0),MATCH(F$2,'Budget original'!$A$2:$AO$2,0))</f>
        <v>7308.6012655549102</v>
      </c>
      <c r="G306" s="191">
        <f>+INDEX('Budget révisé'!$A$2:$AO$500,MATCH($A306,'Budget révisé'!$A$2:$A$500,0),MATCH(G$2,'Budget révisé'!$A$2:$AO$2,0))</f>
        <v>40235.745737282341</v>
      </c>
      <c r="H306" s="204">
        <f t="shared" ref="H306:H307" si="164">IF(G306=0,0,I306/G306)</f>
        <v>0.1816444838198383</v>
      </c>
      <c r="I306" s="195">
        <f>+INDEX('Budget révisé'!$A$2:$AO$500,MATCH($A306,'Budget révisé'!$A$2:$A$500,0),MATCH(I$2,'Budget révisé'!$A$2:$AO$2,0))</f>
        <v>7308.6012655549102</v>
      </c>
      <c r="J306" s="173">
        <f>-SUMIFS(BV_Data_An_Cour!$O:$O,BV_Data_An_Cour!$X:$X,"Oui",BV_Data_An_Cour!$U:$U,$B306,BV_Data_An_Cour!$V:$V,$C306)</f>
        <v>38052.43</v>
      </c>
      <c r="K306" s="530">
        <f t="shared" ref="K306:K308" si="165">IF(J306&lt;=0,0,L306/J306)</f>
        <v>0.19238298316296751</v>
      </c>
      <c r="L306" s="195">
        <f>-SUMIFS(BV_Data_An_Cour!$O:$O,BV_Data_An_Cour!$U:$U,$B306,BV_Data_An_Cour!$V:$V,$C306,BV_Data_An_Cour!$W:$W,$L$2)</f>
        <v>7320.6399999999994</v>
      </c>
      <c r="M306" s="318">
        <f t="shared" ref="M306:M308" si="166">(+J306-G306)/G306</f>
        <v>-5.4263086150762849E-2</v>
      </c>
      <c r="N306" s="298">
        <f t="shared" ref="N306:N308" si="167">L306-I306</f>
        <v>12.038734445089176</v>
      </c>
      <c r="O306" s="173">
        <f>-SUMIFS(BV_Data_An_Prec!$O:$O,BV_Data_An_Prec!$X:$X,"Oui",BV_Data_An_Prec!$U:$U,$B306,BV_Data_An_Prec!$V:$V,$C306)</f>
        <v>41678.730000000003</v>
      </c>
      <c r="P306" s="204">
        <f t="shared" ref="P306:P308" si="168">IF(O306&lt;=0,0,Q306/O306)</f>
        <v>0.17140613449594086</v>
      </c>
      <c r="Q306" s="195">
        <f>-SUMIFS(BV_Data_An_Prec!$O:$O,BV_Data_An_Prec!$U:$U,$B306,BV_Data_An_Prec!$V:$V,$C306,BV_Data_An_Prec!$W:$W,$L$2)</f>
        <v>7143.9900000000052</v>
      </c>
      <c r="R306" s="318">
        <f t="shared" ref="R306:R307" si="169">IF(O306=0,0,(J306-O306)/O306)</f>
        <v>-8.7006010019979083E-2</v>
      </c>
      <c r="S306" s="193">
        <f t="shared" ref="S306:S308" si="170">L306-Q306</f>
        <v>176.64999999999418</v>
      </c>
      <c r="T306" s="216"/>
      <c r="U306" s="216"/>
      <c r="V306" s="216"/>
      <c r="W306" s="216"/>
      <c r="X306" s="216"/>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
        <v>3192</v>
      </c>
      <c r="B307" s="24" t="s">
        <v>175</v>
      </c>
      <c r="C307" s="320" t="s">
        <v>187</v>
      </c>
      <c r="D307" s="191">
        <f>+INDEX('Budget original'!$A$2:$AO$500,MATCH($A307,'Budget original'!$A$2:$A$500,0),MATCH(D$2,'Budget original'!$A$2:$AO$2,0))</f>
        <v>20439.505143727129</v>
      </c>
      <c r="E307" s="204">
        <f t="shared" si="163"/>
        <v>0.29130399895825637</v>
      </c>
      <c r="F307" s="196">
        <f>+INDEX('Budget original'!$A$2:$AO$500,MATCH($A307,'Budget original'!$A$2:$A$500,0),MATCH(F$2,'Budget original'!$A$2:$AO$2,0))</f>
        <v>5954.1095850955635</v>
      </c>
      <c r="G307" s="191">
        <f>+INDEX('Budget révisé'!$A$2:$AO$500,MATCH($A307,'Budget révisé'!$A$2:$A$500,0),MATCH(G$2,'Budget révisé'!$A$2:$AO$2,0))</f>
        <v>20439.505143727129</v>
      </c>
      <c r="H307" s="204">
        <f t="shared" si="164"/>
        <v>0.29130399895825637</v>
      </c>
      <c r="I307" s="196">
        <f>+INDEX('Budget révisé'!$A$2:$AO$500,MATCH($A307,'Budget révisé'!$A$2:$A$500,0),MATCH(I$2,'Budget révisé'!$A$2:$AO$2,0))</f>
        <v>5954.1095850955635</v>
      </c>
      <c r="J307" s="173">
        <f>-SUMIFS(BV_Data_An_Cour!$O:$O,BV_Data_An_Cour!$X:$X,"Oui",BV_Data_An_Cour!$U:$U,$B307,BV_Data_An_Cour!$V:$V,$C307)</f>
        <v>27425.81</v>
      </c>
      <c r="K307" s="204">
        <f t="shared" si="165"/>
        <v>0.30604237395358613</v>
      </c>
      <c r="L307" s="196">
        <f>-SUMIFS(BV_Data_An_Cour!$O:$O,BV_Data_An_Cour!$U:$U,$B307,BV_Data_An_Cour!$V:$V,$C307,BV_Data_An_Cour!$W:$W,$L$2)</f>
        <v>8393.4600000000028</v>
      </c>
      <c r="M307" s="318">
        <f t="shared" si="166"/>
        <v>0.34180401174814967</v>
      </c>
      <c r="N307" s="298">
        <f t="shared" si="167"/>
        <v>2439.3504149044393</v>
      </c>
      <c r="O307" s="173">
        <f>-SUMIFS(BV_Data_An_Prec!$O:$O,BV_Data_An_Prec!$X:$X,"Oui",BV_Data_An_Prec!$U:$U,$B307,BV_Data_An_Prec!$V:$V,$C307)</f>
        <v>17764.38</v>
      </c>
      <c r="P307" s="204">
        <f t="shared" si="168"/>
        <v>0.29562416476116821</v>
      </c>
      <c r="Q307" s="196">
        <f>-SUMIFS(BV_Data_An_Prec!$O:$O,BV_Data_An_Prec!$U:$U,$B307,BV_Data_An_Prec!$V:$V,$C307,BV_Data_An_Prec!$W:$W,$L$2)</f>
        <v>5251.5800000000017</v>
      </c>
      <c r="R307" s="318">
        <f t="shared" si="169"/>
        <v>0.54386530799273602</v>
      </c>
      <c r="S307" s="193">
        <f t="shared" si="170"/>
        <v>3141.880000000001</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
        <v>3193</v>
      </c>
      <c r="B308" s="24" t="s">
        <v>175</v>
      </c>
      <c r="C308" s="321" t="s">
        <v>188</v>
      </c>
      <c r="D308" s="192">
        <f>D303+D306+D307</f>
        <v>395738.32213523862</v>
      </c>
      <c r="E308" s="322">
        <f>IF(D308&lt;=0,0,F308/D308)</f>
        <v>0.28386209549157743</v>
      </c>
      <c r="F308" s="323">
        <f t="shared" ref="F308" si="171">F303+F306+F307</f>
        <v>112335.10938762974</v>
      </c>
      <c r="G308" s="325">
        <f>G303+G306+G307</f>
        <v>395738.32213523862</v>
      </c>
      <c r="H308" s="322">
        <f>IF(G308&lt;=0,0,I308/G308)</f>
        <v>0.28386209549157743</v>
      </c>
      <c r="I308" s="323">
        <f t="shared" ref="I308" si="172">I303+I306+I307</f>
        <v>112335.10938762974</v>
      </c>
      <c r="J308" s="325">
        <f t="shared" ref="J308" si="173">J303+J306+J307</f>
        <v>395972.58999999997</v>
      </c>
      <c r="K308" s="322">
        <f t="shared" si="165"/>
        <v>0.29302985340475213</v>
      </c>
      <c r="L308" s="323">
        <f>L303+L306+L307</f>
        <v>116031.79000000001</v>
      </c>
      <c r="M308" s="324">
        <f t="shared" si="166"/>
        <v>5.9197669686710831E-4</v>
      </c>
      <c r="N308" s="323">
        <f t="shared" si="167"/>
        <v>3696.68061237027</v>
      </c>
      <c r="O308" s="325">
        <f t="shared" ref="O308" si="174">O303+O306+O307</f>
        <v>334619.39</v>
      </c>
      <c r="P308" s="322">
        <f t="shared" si="168"/>
        <v>0.29466337859261527</v>
      </c>
      <c r="Q308" s="323">
        <f>Q303+Q306+Q307</f>
        <v>98600.079999999987</v>
      </c>
      <c r="R308" s="324">
        <f>IF(O308=0,0,(J308-O308)/O308)</f>
        <v>0.18335219605773578</v>
      </c>
      <c r="S308" s="194">
        <f t="shared" si="170"/>
        <v>17431.710000000021</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
        <v>175</v>
      </c>
      <c r="B309" s="24" t="s">
        <v>175</v>
      </c>
      <c r="C309" s="258"/>
      <c r="D309" s="172"/>
      <c r="E309" s="172"/>
      <c r="F309" s="306"/>
      <c r="G309" s="297"/>
      <c r="H309" s="172"/>
      <c r="I309" s="306"/>
      <c r="J309" s="297"/>
      <c r="K309" s="172"/>
      <c r="L309" s="306"/>
      <c r="M309" s="297"/>
      <c r="N309" s="326">
        <f>N308/I308</f>
        <v>3.2907615726925583E-2</v>
      </c>
      <c r="O309" s="297"/>
      <c r="P309" s="172"/>
      <c r="Q309" s="306"/>
      <c r="R309" s="297"/>
      <c r="S309" s="327">
        <f>IF(Q308=0,0,S308/Q308)</f>
        <v>0.17679204722754813</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
        <v>175</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
        <v>3194</v>
      </c>
      <c r="B311" s="24" t="s">
        <v>175</v>
      </c>
      <c r="C311" s="320" t="s">
        <v>189</v>
      </c>
      <c r="D311" s="184">
        <f>+INDEX('Budget original'!$A$2:$AO$500,MATCH($A311,'Budget original'!$A$2:$A$500,0),MATCH(D$2,'Budget original'!$A$2:$AO$2,0))</f>
        <v>0</v>
      </c>
      <c r="E311" s="189">
        <f t="shared" ref="E311" si="175">IF(D311=0,0,F311/D311)</f>
        <v>0</v>
      </c>
      <c r="F311" s="190">
        <f>+INDEX('Budget original'!$A$2:$AO$500,MATCH($A311,'Budget original'!$A$2:$A$500,0),MATCH(F$2,'Budget original'!$A$2:$AO$2,0))</f>
        <v>0</v>
      </c>
      <c r="G311" s="205">
        <f>+INDEX('Budget révisé'!$A$2:$AO$500,MATCH($A311,'Budget révisé'!$A$2:$A$500,0),MATCH(G$2,'Budget révisé'!$A$2:$AO$2,0))</f>
        <v>0</v>
      </c>
      <c r="H311" s="189">
        <f t="shared" ref="H311" si="176">IF(G311=0,0,I311/G311)</f>
        <v>0</v>
      </c>
      <c r="I311" s="190">
        <f>+INDEX('Budget révisé'!$A$2:$AO$500,MATCH($A311,'Budget révisé'!$A$2:$A$500,0),MATCH(I$2,'Budget révisé'!$A$2:$AO$2,0))</f>
        <v>0</v>
      </c>
      <c r="J311" s="177">
        <f>-SUMIFS(BV_Data_An_Cour!$O:$O,BV_Data_An_Cour!$X:$X,"Oui",BV_Data_An_Cour!$U:$U,$B311,BV_Data_An_Cour!$V:$V,$C311)</f>
        <v>0</v>
      </c>
      <c r="K311" s="332">
        <f>IF(J311&lt;=0,0,L311/J311)</f>
        <v>0</v>
      </c>
      <c r="L311" s="171">
        <f>-SUMIFS(BV_Data_An_Cour!$O:$O,BV_Data_An_Cour!$U:$U,$B311,BV_Data_An_Cour!$V:$V,$C311,BV_Data_An_Cour!$W:$W,$L$2)</f>
        <v>0</v>
      </c>
      <c r="M311" s="332">
        <f>IF(F311=0,0,(+L311-F311)/F311)</f>
        <v>0</v>
      </c>
      <c r="N311" s="305">
        <f>L311-I311</f>
        <v>0</v>
      </c>
      <c r="O311" s="177">
        <f>-SUMIFS(BV_Data_An_Prec!$O:$O,BV_Data_An_Prec!$X:$X,"Oui",BV_Data_An_Prec!$U:$U,$B311,BV_Data_An_Prec!$V:$V,$C311)</f>
        <v>0</v>
      </c>
      <c r="P311" s="332">
        <f>IF(O311&lt;=0,0,Q311/O311)</f>
        <v>0</v>
      </c>
      <c r="Q311" s="171">
        <f>-SUMIFS(BV_Data_An_Prec!$O:$O,BV_Data_An_Prec!$U:$U,$B311,BV_Data_An_Prec!$V:$V,$C311,BV_Data_An_Prec!$W:$W,$L$2)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
        <v>175</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
        <v>3195</v>
      </c>
      <c r="B313" s="24" t="s">
        <v>175</v>
      </c>
      <c r="C313" s="263" t="s">
        <v>190</v>
      </c>
      <c r="D313" s="26">
        <f>D308+D311</f>
        <v>395738.32213523862</v>
      </c>
      <c r="E313" s="71">
        <f>IF(D313&lt;=0,0,F313/D313)</f>
        <v>0.28386209549157743</v>
      </c>
      <c r="F313" s="28">
        <f t="shared" ref="F313" si="177">F308+F311</f>
        <v>112335.10938762974</v>
      </c>
      <c r="G313" s="29">
        <f>G308+G311</f>
        <v>395738.32213523862</v>
      </c>
      <c r="H313" s="71">
        <f>IF(G313&lt;=0,0,I313/G313)</f>
        <v>0.28386209549157743</v>
      </c>
      <c r="I313" s="28">
        <f t="shared" ref="I313" si="178">I308+I311</f>
        <v>112335.10938762974</v>
      </c>
      <c r="J313" s="29">
        <f t="shared" ref="J313" si="179">J308+J311</f>
        <v>395972.58999999997</v>
      </c>
      <c r="K313" s="71">
        <f>IF(J313&lt;=0,0,L313/J313)</f>
        <v>0.29302985340475213</v>
      </c>
      <c r="L313" s="28">
        <f>L308+L311</f>
        <v>116031.79000000001</v>
      </c>
      <c r="M313" s="72">
        <f>(+J313-G313)/G313</f>
        <v>5.9197669686710831E-4</v>
      </c>
      <c r="N313" s="73">
        <f>L313-I313</f>
        <v>3696.68061237027</v>
      </c>
      <c r="O313" s="29">
        <f t="shared" ref="O313" si="180">O308+O311</f>
        <v>334619.39</v>
      </c>
      <c r="P313" s="71">
        <f>IF(O313&lt;=0,0,Q313/O313)</f>
        <v>0.29466337859261527</v>
      </c>
      <c r="Q313" s="28">
        <f>Q308+Q311</f>
        <v>98600.079999999987</v>
      </c>
      <c r="R313" s="72">
        <f>IF(O313=0,0,(J313-O313)/O313)</f>
        <v>0.18335219605773578</v>
      </c>
      <c r="S313" s="264">
        <f>L313-Q313</f>
        <v>17431.710000000021</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
        <v>175</v>
      </c>
      <c r="B314" s="24" t="s">
        <v>175</v>
      </c>
      <c r="C314" s="265"/>
      <c r="D314" s="74"/>
      <c r="E314" s="75"/>
      <c r="F314" s="76"/>
      <c r="G314" s="77"/>
      <c r="H314" s="75"/>
      <c r="I314" s="76"/>
      <c r="J314" s="77"/>
      <c r="K314" s="75"/>
      <c r="L314" s="76"/>
      <c r="M314" s="78"/>
      <c r="N314" s="34">
        <f>N313/I313</f>
        <v>3.2907615726925583E-2</v>
      </c>
      <c r="O314" s="77"/>
      <c r="P314" s="75"/>
      <c r="Q314" s="76"/>
      <c r="R314" s="78"/>
      <c r="S314" s="266">
        <f>IF(Q313=0,0,S313/Q313)</f>
        <v>0.17679204722754813</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
        <v>175</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
        <v>3196</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
        <v>3197</v>
      </c>
      <c r="B317" s="24" t="s">
        <v>175</v>
      </c>
      <c r="C317" s="274" t="s">
        <v>112</v>
      </c>
      <c r="D317" s="227"/>
      <c r="E317" s="227"/>
      <c r="F317" s="225">
        <f>+INDEX('Budget original'!$A$2:$AO$500,MATCH($A317,'Budget original'!$A$2:$A$500,0),MATCH(F$2,'Budget original'!$A$2:$AO$2,0))</f>
        <v>2606.4352490421456</v>
      </c>
      <c r="G317" s="221"/>
      <c r="H317" s="227"/>
      <c r="I317" s="225">
        <f>+INDEX('Budget révisé'!$A$2:$AO$500,MATCH($A317,'Budget révisé'!$A$2:$A$500,0),MATCH(I$2,'Budget révisé'!$A$2:$AO$2,0))</f>
        <v>2606.4352490421456</v>
      </c>
      <c r="J317" s="221"/>
      <c r="K317" s="227"/>
      <c r="L317" s="275">
        <f>SUMIFS(BV_Data_An_Cour!$O:$O,BV_Data_An_Cour!$U:$U,$B317,BV_Data_An_Cour!$V:$V,$C317,BV_Data_An_Cour!$W:$W,$L$2)</f>
        <v>4104</v>
      </c>
      <c r="M317" s="221"/>
      <c r="N317" s="226">
        <f t="shared" ref="N317:N328" si="181">L317-I317</f>
        <v>1497.5647509578544</v>
      </c>
      <c r="O317" s="221"/>
      <c r="P317" s="227"/>
      <c r="Q317" s="275">
        <f>SUMIFS(BV_Data_An_Prec!$O:$O,BV_Data_An_Prec!$U:$U,$B317,BV_Data_An_Prec!$V:$V,$C317,BV_Data_An_Prec!$W:$W,$L$2)</f>
        <v>5861.34</v>
      </c>
      <c r="R317" s="221"/>
      <c r="S317" s="506">
        <f>L317-Q317</f>
        <v>-1757.3400000000001</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
        <v>3198</v>
      </c>
      <c r="B318" s="24" t="s">
        <v>175</v>
      </c>
      <c r="C318" s="276" t="s">
        <v>113</v>
      </c>
      <c r="D318" s="256"/>
      <c r="E318" s="227"/>
      <c r="F318" s="238">
        <f>+INDEX('Budget original'!$A$2:$AO$500,MATCH($A318,'Budget original'!$A$2:$A$500,0),MATCH(F$2,'Budget original'!$A$2:$AO$2,0))</f>
        <v>4365.3456786819925</v>
      </c>
      <c r="G318" s="277"/>
      <c r="H318" s="227"/>
      <c r="I318" s="238">
        <f>+INDEX('Budget révisé'!$A$2:$AO$500,MATCH($A318,'Budget révisé'!$A$2:$A$500,0),MATCH(I$2,'Budget révisé'!$A$2:$AO$2,0))</f>
        <v>4365.3456786819925</v>
      </c>
      <c r="J318" s="221"/>
      <c r="K318" s="227"/>
      <c r="L318" s="275">
        <f>SUMIFS(BV_Data_An_Cour!$O:$O,BV_Data_An_Cour!$U:$U,$B318,BV_Data_An_Cour!$V:$V,$C318,BV_Data_An_Cour!$W:$W,$L$2)</f>
        <v>3441.17</v>
      </c>
      <c r="M318" s="221"/>
      <c r="N318" s="226">
        <f t="shared" si="181"/>
        <v>-924.17567868199239</v>
      </c>
      <c r="O318" s="221"/>
      <c r="P318" s="227"/>
      <c r="Q318" s="275">
        <f>SUMIFS(BV_Data_An_Prec!$O:$O,BV_Data_An_Prec!$U:$U,$B318,BV_Data_An_Prec!$V:$V,$C318,BV_Data_An_Prec!$W:$W,$L$2)</f>
        <v>4362.93</v>
      </c>
      <c r="R318" s="221"/>
      <c r="S318" s="278">
        <f t="shared" ref="S318:S342" si="182">L318-Q318</f>
        <v>-921.76000000000022</v>
      </c>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
        <v>3199</v>
      </c>
      <c r="B319" s="24" t="s">
        <v>175</v>
      </c>
      <c r="C319" s="274" t="s">
        <v>114</v>
      </c>
      <c r="D319" s="279"/>
      <c r="E319" s="280"/>
      <c r="F319" s="225">
        <f>+INDEX('Budget original'!$A$2:$AO$500,MATCH($A319,'Budget original'!$A$2:$A$500,0),MATCH(F$2,'Budget original'!$A$2:$AO$2,0))</f>
        <v>24550.484569134096</v>
      </c>
      <c r="G319" s="281"/>
      <c r="H319" s="280"/>
      <c r="I319" s="225">
        <f>+INDEX('Budget révisé'!$A$2:$AO$500,MATCH($A319,'Budget révisé'!$A$2:$A$500,0),MATCH(I$2,'Budget révisé'!$A$2:$AO$2,0))</f>
        <v>24550.484569134096</v>
      </c>
      <c r="J319" s="282"/>
      <c r="K319" s="280"/>
      <c r="L319" s="239">
        <f>SUMIFS(BV_Data_An_Cour!$O:$O,BV_Data_An_Cour!$U:$U,$B319,BV_Data_An_Cour!$V:$V,$C319,BV_Data_An_Cour!$W:$W,$L$2)</f>
        <v>24682.35</v>
      </c>
      <c r="M319" s="282"/>
      <c r="N319" s="283">
        <f t="shared" si="181"/>
        <v>131.86543086590245</v>
      </c>
      <c r="O319" s="282"/>
      <c r="P319" s="280"/>
      <c r="Q319" s="239">
        <f>SUMIFS(BV_Data_An_Prec!$O:$O,BV_Data_An_Prec!$U:$U,$B319,BV_Data_An_Prec!$V:$V,$C319,BV_Data_An_Prec!$W:$W,$L$2)</f>
        <v>23595.43</v>
      </c>
      <c r="R319" s="282"/>
      <c r="S319" s="284">
        <f t="shared" si="182"/>
        <v>1086.9199999999983</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
        <v>3200</v>
      </c>
      <c r="B320" s="24" t="s">
        <v>175</v>
      </c>
      <c r="C320" s="274" t="s">
        <v>115</v>
      </c>
      <c r="D320" s="256"/>
      <c r="E320" s="227"/>
      <c r="F320" s="225">
        <f>+INDEX('Budget original'!$A$2:$AO$500,MATCH($A320,'Budget original'!$A$2:$A$500,0),MATCH(F$2,'Budget original'!$A$2:$AO$2,0))</f>
        <v>0</v>
      </c>
      <c r="G320" s="277"/>
      <c r="H320" s="227"/>
      <c r="I320" s="225">
        <f>+INDEX('Budget révisé'!$A$2:$AO$500,MATCH($A320,'Budget révisé'!$A$2:$A$500,0),MATCH(I$2,'Budget révisé'!$A$2:$AO$2,0))</f>
        <v>0</v>
      </c>
      <c r="J320" s="221"/>
      <c r="K320" s="227"/>
      <c r="L320" s="275">
        <f>SUMIFS(BV_Data_An_Cour!$O:$O,BV_Data_An_Cour!$U:$U,$B320,BV_Data_An_Cour!$V:$V,$C320,BV_Data_An_Cour!$W:$W,$L$2)</f>
        <v>0</v>
      </c>
      <c r="M320" s="221"/>
      <c r="N320" s="226">
        <f t="shared" si="181"/>
        <v>0</v>
      </c>
      <c r="O320" s="221"/>
      <c r="P320" s="227"/>
      <c r="Q320" s="275">
        <f>SUMIFS(BV_Data_An_Prec!$O:$O,BV_Data_An_Prec!$U:$U,$B320,BV_Data_An_Prec!$V:$V,$C320,BV_Data_An_Prec!$W:$W,$L$2)</f>
        <v>0</v>
      </c>
      <c r="R320" s="221"/>
      <c r="S320" s="278">
        <f t="shared" si="182"/>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s="564" customFormat="1" ht="15.75" hidden="1" customHeight="1">
      <c r="A321" s="564" t="s">
        <v>3187</v>
      </c>
      <c r="B321" s="24" t="s">
        <v>175</v>
      </c>
      <c r="C321" s="629" t="s">
        <v>42</v>
      </c>
      <c r="D321" s="256"/>
      <c r="E321" s="227"/>
      <c r="F321" s="225">
        <f>+INDEX('Budget original'!$A$2:$AO$500,MATCH($A321,'Budget original'!$A$2:$A$500,0),MATCH(F$2,'Budget original'!$A$2:$AO$2,0))</f>
        <v>0</v>
      </c>
      <c r="G321" s="277"/>
      <c r="H321" s="227"/>
      <c r="I321" s="225">
        <f>+INDEX('Budget révisé'!$A$2:$AO$500,MATCH($A321,'Budget révisé'!$A$2:$A$500,0),MATCH(I$2,'Budget révisé'!$A$2:$AO$2,0))</f>
        <v>0</v>
      </c>
      <c r="J321" s="221"/>
      <c r="K321" s="227"/>
      <c r="L321" s="275">
        <f>SUMIFS(BV_Data_An_Cour!$O:$O,BV_Data_An_Cour!$U:$U,$B321,BV_Data_An_Cour!$V:$V,$C321,BV_Data_An_Cour!$W:$W,$L$2)</f>
        <v>0</v>
      </c>
      <c r="M321" s="221"/>
      <c r="N321" s="226">
        <f t="shared" ref="N321:N323" si="183">L321-I321</f>
        <v>0</v>
      </c>
      <c r="O321" s="221"/>
      <c r="P321" s="227"/>
      <c r="Q321" s="275">
        <f>SUMIFS(BV_Data_An_Prec!$O:$O,BV_Data_An_Prec!$U:$U,$B321,BV_Data_An_Prec!$V:$V,$C321,BV_Data_An_Prec!$W:$W,$L$2)</f>
        <v>0</v>
      </c>
      <c r="R321" s="221"/>
      <c r="S321" s="278">
        <f t="shared" ref="S321:S323" si="184">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s="564" customFormat="1" ht="15.75" hidden="1" customHeight="1">
      <c r="A322" s="564" t="s">
        <v>3187</v>
      </c>
      <c r="B322" s="24" t="s">
        <v>175</v>
      </c>
      <c r="C322" s="629" t="s">
        <v>42</v>
      </c>
      <c r="D322" s="256"/>
      <c r="E322" s="227"/>
      <c r="F322" s="225">
        <f>+INDEX('Budget original'!$A$2:$AO$500,MATCH($A322,'Budget original'!$A$2:$A$500,0),MATCH(F$2,'Budget original'!$A$2:$AO$2,0))</f>
        <v>0</v>
      </c>
      <c r="G322" s="277"/>
      <c r="H322" s="227"/>
      <c r="I322" s="225">
        <f>+INDEX('Budget révisé'!$A$2:$AO$500,MATCH($A322,'Budget révisé'!$A$2:$A$500,0),MATCH(I$2,'Budget révisé'!$A$2:$AO$2,0))</f>
        <v>0</v>
      </c>
      <c r="J322" s="221"/>
      <c r="K322" s="227"/>
      <c r="L322" s="275">
        <f>SUMIFS(BV_Data_An_Cour!$O:$O,BV_Data_An_Cour!$U:$U,$B322,BV_Data_An_Cour!$V:$V,$C322,BV_Data_An_Cour!$W:$W,$L$2)</f>
        <v>0</v>
      </c>
      <c r="M322" s="221"/>
      <c r="N322" s="226">
        <f t="shared" si="183"/>
        <v>0</v>
      </c>
      <c r="O322" s="221"/>
      <c r="P322" s="227"/>
      <c r="Q322" s="275">
        <f>SUMIFS(BV_Data_An_Prec!$O:$O,BV_Data_An_Prec!$U:$U,$B322,BV_Data_An_Prec!$V:$V,$C322,BV_Data_An_Prec!$W:$W,$L$2)</f>
        <v>0</v>
      </c>
      <c r="R322" s="221"/>
      <c r="S322" s="278">
        <f t="shared" si="184"/>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s="564" customFormat="1" ht="15.75" hidden="1" customHeight="1">
      <c r="A323" s="564" t="s">
        <v>3187</v>
      </c>
      <c r="B323" s="24" t="s">
        <v>175</v>
      </c>
      <c r="C323" s="629" t="s">
        <v>42</v>
      </c>
      <c r="D323" s="256"/>
      <c r="E323" s="227"/>
      <c r="F323" s="225">
        <f>+INDEX('Budget original'!$A$2:$AO$500,MATCH($A323,'Budget original'!$A$2:$A$500,0),MATCH(F$2,'Budget original'!$A$2:$AO$2,0))</f>
        <v>0</v>
      </c>
      <c r="G323" s="277"/>
      <c r="H323" s="227"/>
      <c r="I323" s="225">
        <f>+INDEX('Budget révisé'!$A$2:$AO$500,MATCH($A323,'Budget révisé'!$A$2:$A$500,0),MATCH(I$2,'Budget révisé'!$A$2:$AO$2,0))</f>
        <v>0</v>
      </c>
      <c r="J323" s="221"/>
      <c r="K323" s="227"/>
      <c r="L323" s="275">
        <f>SUMIFS(BV_Data_An_Cour!$O:$O,BV_Data_An_Cour!$U:$U,$B323,BV_Data_An_Cour!$V:$V,$C323,BV_Data_An_Cour!$W:$W,$L$2)</f>
        <v>0</v>
      </c>
      <c r="M323" s="221"/>
      <c r="N323" s="226">
        <f t="shared" si="183"/>
        <v>0</v>
      </c>
      <c r="O323" s="221"/>
      <c r="P323" s="227"/>
      <c r="Q323" s="275">
        <f>SUMIFS(BV_Data_An_Prec!$O:$O,BV_Data_An_Prec!$U:$U,$B323,BV_Data_An_Prec!$V:$V,$C323,BV_Data_An_Prec!$W:$W,$L$2)</f>
        <v>0</v>
      </c>
      <c r="R323" s="221"/>
      <c r="S323" s="278">
        <f t="shared" si="184"/>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
        <v>3201</v>
      </c>
      <c r="B324" s="24" t="s">
        <v>175</v>
      </c>
      <c r="C324" s="276" t="s">
        <v>116</v>
      </c>
      <c r="D324" s="256"/>
      <c r="E324" s="227"/>
      <c r="F324" s="238">
        <f>+INDEX('Budget original'!$A$2:$AO$500,MATCH($A324,'Budget original'!$A$2:$A$500,0),MATCH(F$2,'Budget original'!$A$2:$AO$2,0))</f>
        <v>3943.0674077405433</v>
      </c>
      <c r="G324" s="277"/>
      <c r="H324" s="227"/>
      <c r="I324" s="238">
        <f>+INDEX('Budget révisé'!$A$2:$AO$500,MATCH($A324,'Budget révisé'!$A$2:$A$500,0),MATCH(I$2,'Budget révisé'!$A$2:$AO$2,0))</f>
        <v>3943.0674077405433</v>
      </c>
      <c r="J324" s="221"/>
      <c r="K324" s="227"/>
      <c r="L324" s="275">
        <f>SUMIFS(BV_Data_An_Cour!$O:$O,BV_Data_An_Cour!$U:$U,$B324,BV_Data_An_Cour!$V:$V,$C324,BV_Data_An_Cour!$W:$W,$L$2)</f>
        <v>4092.44</v>
      </c>
      <c r="M324" s="221"/>
      <c r="N324" s="226">
        <f t="shared" si="181"/>
        <v>149.37259225945672</v>
      </c>
      <c r="O324" s="221"/>
      <c r="P324" s="227"/>
      <c r="Q324" s="275">
        <f>SUMIFS(BV_Data_An_Prec!$O:$O,BV_Data_An_Prec!$U:$U,$B324,BV_Data_An_Prec!$V:$V,$C324,BV_Data_An_Prec!$W:$W,$L$2)</f>
        <v>3534.98</v>
      </c>
      <c r="R324" s="221"/>
      <c r="S324" s="278">
        <f t="shared" si="182"/>
        <v>557.46</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
        <v>3202</v>
      </c>
      <c r="B325" s="24" t="s">
        <v>175</v>
      </c>
      <c r="C325" s="274" t="s">
        <v>117</v>
      </c>
      <c r="D325" s="279"/>
      <c r="E325" s="280"/>
      <c r="F325" s="225">
        <f>+INDEX('Budget original'!$A$2:$AO$500,MATCH($A325,'Budget original'!$A$2:$A$500,0),MATCH(F$2,'Budget original'!$A$2:$AO$2,0))</f>
        <v>3531.4210506315403</v>
      </c>
      <c r="G325" s="281"/>
      <c r="H325" s="280"/>
      <c r="I325" s="225">
        <f>+INDEX('Budget révisé'!$A$2:$AO$500,MATCH($A325,'Budget révisé'!$A$2:$A$500,0),MATCH(I$2,'Budget révisé'!$A$2:$AO$2,0))</f>
        <v>3531.4210506315403</v>
      </c>
      <c r="J325" s="282"/>
      <c r="K325" s="280"/>
      <c r="L325" s="239">
        <f>SUMIFS(BV_Data_An_Cour!$O:$O,BV_Data_An_Cour!$U:$U,$B325,BV_Data_An_Cour!$V:$V,$C325,BV_Data_An_Cour!$W:$W,$L$2)</f>
        <v>55.8</v>
      </c>
      <c r="M325" s="282"/>
      <c r="N325" s="283">
        <f t="shared" si="181"/>
        <v>-3475.6210506315401</v>
      </c>
      <c r="O325" s="282"/>
      <c r="P325" s="280"/>
      <c r="Q325" s="239">
        <f>SUMIFS(BV_Data_An_Prec!$O:$O,BV_Data_An_Prec!$U:$U,$B325,BV_Data_An_Prec!$V:$V,$C325,BV_Data_An_Prec!$W:$W,$L$2)</f>
        <v>45.44</v>
      </c>
      <c r="R325" s="282"/>
      <c r="S325" s="284">
        <f t="shared" si="182"/>
        <v>10.36</v>
      </c>
      <c r="T325" s="216"/>
      <c r="U325" s="216"/>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
        <v>3203</v>
      </c>
      <c r="B326" s="24" t="s">
        <v>175</v>
      </c>
      <c r="C326" s="274" t="s">
        <v>118</v>
      </c>
      <c r="D326" s="256"/>
      <c r="E326" s="227"/>
      <c r="F326" s="225">
        <f>+INDEX('Budget original'!$A$2:$AO$500,MATCH($A326,'Budget original'!$A$2:$A$500,0),MATCH(F$2,'Budget original'!$A$2:$AO$2,0))</f>
        <v>2804.3637755015175</v>
      </c>
      <c r="G326" s="277"/>
      <c r="H326" s="227"/>
      <c r="I326" s="225">
        <f>+INDEX('Budget révisé'!$A$2:$AO$500,MATCH($A326,'Budget révisé'!$A$2:$A$500,0),MATCH(I$2,'Budget révisé'!$A$2:$AO$2,0))</f>
        <v>2804.3637755015175</v>
      </c>
      <c r="J326" s="221"/>
      <c r="K326" s="227"/>
      <c r="L326" s="275">
        <f>SUMIFS(BV_Data_An_Cour!$O:$O,BV_Data_An_Cour!$U:$U,$B326,BV_Data_An_Cour!$V:$V,$C326,BV_Data_An_Cour!$W:$W,$L$2)</f>
        <v>5195.84</v>
      </c>
      <c r="M326" s="221"/>
      <c r="N326" s="226">
        <f t="shared" si="181"/>
        <v>2391.4762244984827</v>
      </c>
      <c r="O326" s="221"/>
      <c r="P326" s="227"/>
      <c r="Q326" s="275">
        <f>SUMIFS(BV_Data_An_Prec!$O:$O,BV_Data_An_Prec!$U:$U,$B326,BV_Data_An_Prec!$V:$V,$C326,BV_Data_An_Prec!$W:$W,$L$2)</f>
        <v>2652.84</v>
      </c>
      <c r="R326" s="221"/>
      <c r="S326" s="278">
        <f t="shared" si="182"/>
        <v>2543</v>
      </c>
      <c r="T326" s="216"/>
      <c r="U326" s="216"/>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
        <v>3204</v>
      </c>
      <c r="B327" s="24" t="s">
        <v>175</v>
      </c>
      <c r="C327" s="274" t="s">
        <v>119</v>
      </c>
      <c r="D327" s="256"/>
      <c r="E327" s="227"/>
      <c r="F327" s="225">
        <f>+INDEX('Budget original'!$A$2:$AO$500,MATCH($A327,'Budget original'!$A$2:$A$500,0),MATCH(F$2,'Budget original'!$A$2:$AO$2,0))</f>
        <v>1142.5185752043219</v>
      </c>
      <c r="G327" s="277"/>
      <c r="H327" s="227"/>
      <c r="I327" s="225">
        <f>+INDEX('Budget révisé'!$A$2:$AO$500,MATCH($A327,'Budget révisé'!$A$2:$A$500,0),MATCH(I$2,'Budget révisé'!$A$2:$AO$2,0))</f>
        <v>1142.5185752043219</v>
      </c>
      <c r="J327" s="221"/>
      <c r="K327" s="227"/>
      <c r="L327" s="275">
        <f>SUMIFS(BV_Data_An_Cour!$O:$O,BV_Data_An_Cour!$U:$U,$B327,BV_Data_An_Cour!$V:$V,$C327,BV_Data_An_Cour!$W:$W,$L$2)</f>
        <v>6841.63</v>
      </c>
      <c r="M327" s="221"/>
      <c r="N327" s="226">
        <f t="shared" si="181"/>
        <v>5699.1114247956784</v>
      </c>
      <c r="O327" s="221"/>
      <c r="P327" s="227"/>
      <c r="Q327" s="275">
        <f>SUMIFS(BV_Data_An_Prec!$O:$O,BV_Data_An_Prec!$U:$U,$B327,BV_Data_An_Prec!$V:$V,$C327,BV_Data_An_Prec!$W:$W,$L$2)</f>
        <v>4273.130000000001</v>
      </c>
      <c r="R327" s="221"/>
      <c r="S327" s="278">
        <f t="shared" si="182"/>
        <v>2568.4999999999991</v>
      </c>
      <c r="T327" s="216"/>
      <c r="U327" s="216"/>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
        <v>3187</v>
      </c>
      <c r="B328" s="24" t="s">
        <v>175</v>
      </c>
      <c r="C328" s="285" t="s">
        <v>42</v>
      </c>
      <c r="D328" s="286"/>
      <c r="E328" s="287"/>
      <c r="F328" s="225">
        <f>+INDEX('Budget original'!$A$2:$AO$500,MATCH($A328,'Budget original'!$A$2:$A$500,0),MATCH(F$2,'Budget original'!$A$2:$AO$2,0))</f>
        <v>0</v>
      </c>
      <c r="G328" s="288"/>
      <c r="H328" s="287"/>
      <c r="I328" s="225">
        <f>+INDEX('Budget révisé'!$A$2:$AO$500,MATCH($A328,'Budget révisé'!$A$2:$A$500,0),MATCH(I$2,'Budget révisé'!$A$2:$AO$2,0))</f>
        <v>0</v>
      </c>
      <c r="J328" s="289"/>
      <c r="K328" s="287"/>
      <c r="L328" s="275">
        <f>SUMIFS(BV_Data_An_Cour!$O:$O,BV_Data_An_Cour!$U:$U,$B328,BV_Data_An_Cour!$V:$V,$C328,BV_Data_An_Cour!$W:$W,$L$2)</f>
        <v>0</v>
      </c>
      <c r="M328" s="289"/>
      <c r="N328" s="290">
        <f t="shared" si="181"/>
        <v>0</v>
      </c>
      <c r="O328" s="289"/>
      <c r="P328" s="287"/>
      <c r="Q328" s="275">
        <f>SUMIFS(BV_Data_An_Prec!$O:$O,BV_Data_An_Prec!$U:$U,$B328,BV_Data_An_Prec!$V:$V,$C328,BV_Data_An_Prec!$W:$W,$L$2)</f>
        <v>0</v>
      </c>
      <c r="R328" s="289"/>
      <c r="S328" s="291">
        <f t="shared" si="182"/>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
        <v>3205</v>
      </c>
      <c r="B329" s="24" t="s">
        <v>175</v>
      </c>
      <c r="C329" s="292" t="s">
        <v>120</v>
      </c>
      <c r="D329" s="39" t="s">
        <v>111</v>
      </c>
      <c r="E329" s="40">
        <f>F329/F$313</f>
        <v>0.38228151946469802</v>
      </c>
      <c r="F329" s="41">
        <f>+SUM(F317:F328)</f>
        <v>42943.636305936161</v>
      </c>
      <c r="G329" s="42" t="s">
        <v>111</v>
      </c>
      <c r="H329" s="40">
        <f>I329/I$313</f>
        <v>0.38228151946469802</v>
      </c>
      <c r="I329" s="41">
        <f>+SUM(I317:I328)</f>
        <v>42943.636305936161</v>
      </c>
      <c r="J329" s="42" t="s">
        <v>111</v>
      </c>
      <c r="K329" s="40">
        <f>L329/L$313</f>
        <v>0.41724108539564891</v>
      </c>
      <c r="L329" s="41">
        <f>+SUM(L317:L328)</f>
        <v>48413.23</v>
      </c>
      <c r="M329" s="43"/>
      <c r="N329" s="46">
        <f t="shared" ref="N329:N342" si="185">L329-I329</f>
        <v>5469.5936940638421</v>
      </c>
      <c r="O329" s="42" t="s">
        <v>111</v>
      </c>
      <c r="P329" s="40">
        <f>Q329/Q$313</f>
        <v>0.44955430056446216</v>
      </c>
      <c r="Q329" s="41">
        <f>+SUM(Q317:Q328)</f>
        <v>44326.090000000011</v>
      </c>
      <c r="R329" s="43"/>
      <c r="S329" s="293">
        <f t="shared" si="182"/>
        <v>4087.1399999999921</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
        <v>3206</v>
      </c>
      <c r="B330" s="24" t="s">
        <v>175</v>
      </c>
      <c r="C330" s="546" t="s">
        <v>121</v>
      </c>
      <c r="D330" s="295"/>
      <c r="E330" s="172"/>
      <c r="F330" s="173">
        <f>+INDEX('Budget original'!$A$2:$AO$500,MATCH($A330,'Budget original'!$A$2:$A$500,0),MATCH(F$2,'Budget original'!$A$2:$AO$2,0))</f>
        <v>3725.4874999999997</v>
      </c>
      <c r="G330" s="296"/>
      <c r="H330" s="172"/>
      <c r="I330" s="173">
        <f>+INDEX('Budget révisé'!$A$2:$AO$500,MATCH($A330,'Budget révisé'!$A$2:$A$500,0),MATCH(I$2,'Budget révisé'!$A$2:$AO$2,0))</f>
        <v>3725.4874999999997</v>
      </c>
      <c r="J330" s="297"/>
      <c r="K330" s="172"/>
      <c r="L330" s="275">
        <f>SUMIFS(BV_Data_An_Cour!$O:$O,BV_Data_An_Cour!$U:$U,$B330,BV_Data_An_Cour!$V:$V,$C330,BV_Data_An_Cour!$W:$W,$L$2)</f>
        <v>9046.56</v>
      </c>
      <c r="M330" s="297"/>
      <c r="N330" s="298">
        <f t="shared" si="185"/>
        <v>5321.0725000000002</v>
      </c>
      <c r="O330" s="297"/>
      <c r="P330" s="172"/>
      <c r="Q330" s="275">
        <f>SUMIFS(BV_Data_An_Prec!$O:$O,BV_Data_An_Prec!$U:$U,$B330,BV_Data_An_Prec!$V:$V,$C330,BV_Data_An_Prec!$W:$W,$L$2)</f>
        <v>3940.17</v>
      </c>
      <c r="R330" s="297"/>
      <c r="S330" s="193">
        <f t="shared" si="182"/>
        <v>5106.3899999999994</v>
      </c>
      <c r="T330" s="216"/>
      <c r="U330" s="216"/>
      <c r="V330" s="216"/>
      <c r="W330" s="223"/>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
        <v>3207</v>
      </c>
      <c r="B331" s="24" t="s">
        <v>175</v>
      </c>
      <c r="C331" s="299" t="s">
        <v>122</v>
      </c>
      <c r="D331" s="295"/>
      <c r="E331" s="172"/>
      <c r="F331" s="173">
        <f>+INDEX('Budget original'!$A$2:$AO$500,MATCH($A331,'Budget original'!$A$2:$A$500,0),MATCH(F$2,'Budget original'!$A$2:$AO$2,0))</f>
        <v>667.7179017090657</v>
      </c>
      <c r="G331" s="296"/>
      <c r="H331" s="172"/>
      <c r="I331" s="173">
        <f>+INDEX('Budget révisé'!$A$2:$AO$500,MATCH($A331,'Budget révisé'!$A$2:$A$500,0),MATCH(I$2,'Budget révisé'!$A$2:$AO$2,0))</f>
        <v>667.7179017090657</v>
      </c>
      <c r="J331" s="297"/>
      <c r="K331" s="172"/>
      <c r="L331" s="174">
        <f>SUMIFS(BV_Data_An_Cour!$O:$O,BV_Data_An_Cour!$U:$U,$B331,BV_Data_An_Cour!$V:$V,$C331,BV_Data_An_Cour!$W:$W,$L$2)</f>
        <v>1959.56</v>
      </c>
      <c r="M331" s="297"/>
      <c r="N331" s="298">
        <f t="shared" si="185"/>
        <v>1291.8420982909342</v>
      </c>
      <c r="O331" s="297"/>
      <c r="P331" s="172"/>
      <c r="Q331" s="174">
        <f>SUMIFS(BV_Data_An_Prec!$O:$O,BV_Data_An_Prec!$U:$U,$B331,BV_Data_An_Prec!$V:$V,$C331,BV_Data_An_Prec!$W:$W,$L$2)</f>
        <v>0</v>
      </c>
      <c r="R331" s="297"/>
      <c r="S331" s="193">
        <f t="shared" si="182"/>
        <v>1959.56</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
        <v>3208</v>
      </c>
      <c r="B332" s="24" t="s">
        <v>175</v>
      </c>
      <c r="C332" s="300" t="s">
        <v>123</v>
      </c>
      <c r="D332" s="301"/>
      <c r="E332" s="302"/>
      <c r="F332" s="171">
        <f>+INDEX('Budget original'!$A$2:$AO$500,MATCH($A332,'Budget original'!$A$2:$A$500,0),MATCH(F$2,'Budget original'!$A$2:$AO$2,0))</f>
        <v>433.5</v>
      </c>
      <c r="G332" s="303"/>
      <c r="H332" s="302"/>
      <c r="I332" s="171">
        <f>+INDEX('Budget révisé'!$A$2:$AO$500,MATCH($A332,'Budget révisé'!$A$2:$A$500,0),MATCH(I$2,'Budget révisé'!$A$2:$AO$2,0))</f>
        <v>433.5</v>
      </c>
      <c r="J332" s="304"/>
      <c r="K332" s="302"/>
      <c r="L332" s="174">
        <f>SUMIFS(BV_Data_An_Cour!$O:$O,BV_Data_An_Cour!$U:$U,$B332,BV_Data_An_Cour!$V:$V,$C332,BV_Data_An_Cour!$W:$W,$L$2)</f>
        <v>625.21</v>
      </c>
      <c r="M332" s="304"/>
      <c r="N332" s="305">
        <f t="shared" si="185"/>
        <v>191.71000000000004</v>
      </c>
      <c r="O332" s="304"/>
      <c r="P332" s="302"/>
      <c r="Q332" s="174">
        <f>SUMIFS(BV_Data_An_Prec!$O:$O,BV_Data_An_Prec!$U:$U,$B332,BV_Data_An_Prec!$V:$V,$C332,BV_Data_An_Prec!$W:$W,$L$2)</f>
        <v>297.88</v>
      </c>
      <c r="R332" s="304"/>
      <c r="S332" s="196">
        <f t="shared" si="182"/>
        <v>327.33000000000004</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
        <v>3209</v>
      </c>
      <c r="B333" s="24" t="s">
        <v>175</v>
      </c>
      <c r="C333" s="299" t="s">
        <v>124</v>
      </c>
      <c r="D333" s="295"/>
      <c r="E333" s="172"/>
      <c r="F333" s="173">
        <f>+INDEX('Budget original'!$A$2:$AO$500,MATCH($A333,'Budget original'!$A$2:$A$500,0),MATCH(F$2,'Budget original'!$A$2:$AO$2,0))</f>
        <v>3489.4852291666666</v>
      </c>
      <c r="G333" s="296"/>
      <c r="H333" s="172"/>
      <c r="I333" s="173">
        <f>+INDEX('Budget révisé'!$A$2:$AO$500,MATCH($A333,'Budget révisé'!$A$2:$A$500,0),MATCH(I$2,'Budget révisé'!$A$2:$AO$2,0))</f>
        <v>3489.4852291666666</v>
      </c>
      <c r="J333" s="297"/>
      <c r="K333" s="172"/>
      <c r="L333" s="175">
        <f>SUMIFS(BV_Data_An_Cour!$O:$O,BV_Data_An_Cour!$U:$U,$B333,BV_Data_An_Cour!$V:$V,$C333,BV_Data_An_Cour!$W:$W,$L$2)</f>
        <v>3938.16</v>
      </c>
      <c r="M333" s="297"/>
      <c r="N333" s="298">
        <f t="shared" si="185"/>
        <v>448.67477083333324</v>
      </c>
      <c r="O333" s="297"/>
      <c r="P333" s="172"/>
      <c r="Q333" s="175">
        <f>SUMIFS(BV_Data_An_Prec!$O:$O,BV_Data_An_Prec!$U:$U,$B333,BV_Data_An_Prec!$V:$V,$C333,BV_Data_An_Prec!$W:$W,$L$2)</f>
        <v>3646.53</v>
      </c>
      <c r="R333" s="297"/>
      <c r="S333" s="193">
        <f t="shared" si="182"/>
        <v>291.62999999999965</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
        <v>3210</v>
      </c>
      <c r="B334" s="24" t="s">
        <v>175</v>
      </c>
      <c r="C334" s="299" t="s">
        <v>125</v>
      </c>
      <c r="D334" s="295"/>
      <c r="E334" s="172"/>
      <c r="F334" s="173">
        <f>+INDEX('Budget original'!$A$2:$AO$500,MATCH($A334,'Budget original'!$A$2:$A$500,0),MATCH(F$2,'Budget original'!$A$2:$AO$2,0))</f>
        <v>618.86078125000006</v>
      </c>
      <c r="G334" s="296"/>
      <c r="H334" s="172"/>
      <c r="I334" s="173">
        <f>+INDEX('Budget révisé'!$A$2:$AO$500,MATCH($A334,'Budget révisé'!$A$2:$A$500,0),MATCH(I$2,'Budget révisé'!$A$2:$AO$2,0))</f>
        <v>618.86078125000006</v>
      </c>
      <c r="J334" s="297"/>
      <c r="K334" s="172"/>
      <c r="L334" s="174">
        <f>SUMIFS(BV_Data_An_Cour!$O:$O,BV_Data_An_Cour!$U:$U,$B334,BV_Data_An_Cour!$V:$V,$C334,BV_Data_An_Cour!$W:$W,$L$2)</f>
        <v>1057.69</v>
      </c>
      <c r="M334" s="297"/>
      <c r="N334" s="298">
        <f t="shared" si="185"/>
        <v>438.82921875</v>
      </c>
      <c r="O334" s="297"/>
      <c r="P334" s="172"/>
      <c r="Q334" s="174">
        <f>SUMIFS(BV_Data_An_Prec!$O:$O,BV_Data_An_Prec!$U:$U,$B334,BV_Data_An_Prec!$V:$V,$C334,BV_Data_An_Prec!$W:$W,$L$2)</f>
        <v>478.48</v>
      </c>
      <c r="R334" s="297"/>
      <c r="S334" s="193">
        <f t="shared" si="182"/>
        <v>579.21</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
        <v>3211</v>
      </c>
      <c r="B335" s="24" t="s">
        <v>175</v>
      </c>
      <c r="C335" s="679" t="s">
        <v>126</v>
      </c>
      <c r="D335" s="301"/>
      <c r="E335" s="302"/>
      <c r="F335" s="171">
        <f>+INDEX('Budget original'!$A$2:$AO$500,MATCH($A335,'Budget original'!$A$2:$A$500,0),MATCH(F$2,'Budget original'!$A$2:$AO$2,0))</f>
        <v>9703.3845888888882</v>
      </c>
      <c r="G335" s="303"/>
      <c r="H335" s="302"/>
      <c r="I335" s="171">
        <f>+INDEX('Budget révisé'!$A$2:$AO$500,MATCH($A335,'Budget révisé'!$A$2:$A$500,0),MATCH(I$2,'Budget révisé'!$A$2:$AO$2,0))</f>
        <v>9703.3845888888882</v>
      </c>
      <c r="J335" s="304"/>
      <c r="K335" s="302"/>
      <c r="L335" s="399">
        <f>SUMIFS(BV_Data_An_Cour!$O:$O,BV_Data_An_Cour!$U:$U,$B335,BV_Data_An_Cour!$V:$V,$C335,BV_Data_An_Cour!$W:$W,$L$2)</f>
        <v>9774.32</v>
      </c>
      <c r="M335" s="304"/>
      <c r="N335" s="305">
        <f t="shared" si="185"/>
        <v>70.935411111111534</v>
      </c>
      <c r="O335" s="304"/>
      <c r="P335" s="302"/>
      <c r="Q335" s="399">
        <f>SUMIFS(BV_Data_An_Prec!$O:$O,BV_Data_An_Prec!$U:$U,$B335,BV_Data_An_Prec!$V:$V,$C335,BV_Data_An_Prec!$W:$W,$L$2)</f>
        <v>5740.51</v>
      </c>
      <c r="R335" s="304"/>
      <c r="S335" s="196">
        <f t="shared" si="182"/>
        <v>4033.8099999999995</v>
      </c>
      <c r="T335" s="216"/>
      <c r="U335" s="216"/>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s="564" customFormat="1" ht="15.75" customHeight="1">
      <c r="A336" s="564" t="s">
        <v>3212</v>
      </c>
      <c r="B336" s="24" t="s">
        <v>175</v>
      </c>
      <c r="C336" s="299" t="s">
        <v>1989</v>
      </c>
      <c r="D336" s="295"/>
      <c r="E336" s="172"/>
      <c r="F336" s="173"/>
      <c r="G336" s="296"/>
      <c r="H336" s="172"/>
      <c r="I336" s="173"/>
      <c r="J336" s="297"/>
      <c r="K336" s="172"/>
      <c r="L336" s="174">
        <f>SUMIFS(BV_Data_An_Cour!$O:$O,BV_Data_An_Cour!$U:$U,$B336,BV_Data_An_Cour!$V:$V,$C336,BV_Data_An_Cour!$W:$W,$L$2)</f>
        <v>0</v>
      </c>
      <c r="M336" s="297"/>
      <c r="N336" s="298">
        <f t="shared" ref="N336" si="186">L336-I336</f>
        <v>0</v>
      </c>
      <c r="O336" s="297"/>
      <c r="P336" s="172"/>
      <c r="Q336" s="174">
        <f>SUMIFS(BV_Data_An_Prec!$O:$O,BV_Data_An_Prec!$U:$U,$B336,BV_Data_An_Prec!$V:$V,$C336,BV_Data_An_Prec!$W:$W,$L$2)</f>
        <v>0</v>
      </c>
      <c r="R336" s="297"/>
      <c r="S336" s="193">
        <f t="shared" ref="S336" si="187">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
        <v>3213</v>
      </c>
      <c r="B337" s="24" t="s">
        <v>175</v>
      </c>
      <c r="C337" s="299" t="s">
        <v>127</v>
      </c>
      <c r="D337" s="295"/>
      <c r="E337" s="172"/>
      <c r="F337" s="173">
        <f>+INDEX('Budget original'!$A$2:$AO$500,MATCH($A337,'Budget original'!$A$2:$A$500,0),MATCH(F$2,'Budget original'!$A$2:$AO$2,0))</f>
        <v>107.68716037339154</v>
      </c>
      <c r="G337" s="296"/>
      <c r="H337" s="172"/>
      <c r="I337" s="173">
        <f>+INDEX('Budget révisé'!$A$2:$AO$500,MATCH($A337,'Budget révisé'!$A$2:$A$500,0),MATCH(I$2,'Budget révisé'!$A$2:$AO$2,0))</f>
        <v>107.68716037339154</v>
      </c>
      <c r="J337" s="297"/>
      <c r="K337" s="172"/>
      <c r="L337" s="174">
        <f>SUMIFS(BV_Data_An_Cour!$O:$O,BV_Data_An_Cour!$U:$U,$B337,BV_Data_An_Cour!$V:$V,$C337,BV_Data_An_Cour!$W:$W,$L$2)</f>
        <v>0</v>
      </c>
      <c r="M337" s="297"/>
      <c r="N337" s="298">
        <f t="shared" si="185"/>
        <v>-107.68716037339154</v>
      </c>
      <c r="O337" s="297"/>
      <c r="P337" s="172"/>
      <c r="Q337" s="174">
        <f>SUMIFS(BV_Data_An_Prec!$O:$O,BV_Data_An_Prec!$U:$U,$B337,BV_Data_An_Prec!$V:$V,$C337,BV_Data_An_Prec!$W:$W,$L$2)</f>
        <v>58.53</v>
      </c>
      <c r="R337" s="297"/>
      <c r="S337" s="193">
        <f t="shared" si="182"/>
        <v>-58.53</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
        <v>3214</v>
      </c>
      <c r="B338" s="24" t="s">
        <v>175</v>
      </c>
      <c r="C338" s="299" t="s">
        <v>128</v>
      </c>
      <c r="D338" s="295"/>
      <c r="E338" s="172"/>
      <c r="F338" s="173">
        <f>+INDEX('Budget original'!$A$2:$AO$500,MATCH($A338,'Budget original'!$A$2:$A$500,0),MATCH(F$2,'Budget original'!$A$2:$AO$2,0))</f>
        <v>57.222126165837054</v>
      </c>
      <c r="G338" s="296"/>
      <c r="H338" s="172"/>
      <c r="I338" s="173">
        <f>+INDEX('Budget révisé'!$A$2:$AO$500,MATCH($A338,'Budget révisé'!$A$2:$A$500,0),MATCH(I$2,'Budget révisé'!$A$2:$AO$2,0))</f>
        <v>57.222126165837054</v>
      </c>
      <c r="J338" s="297"/>
      <c r="K338" s="172"/>
      <c r="L338" s="174">
        <f>SUMIFS(BV_Data_An_Cour!$O:$O,BV_Data_An_Cour!$U:$U,$B338,BV_Data_An_Cour!$V:$V,$C338,BV_Data_An_Cour!$W:$W,$L$2)</f>
        <v>0</v>
      </c>
      <c r="M338" s="297"/>
      <c r="N338" s="298">
        <f t="shared" si="185"/>
        <v>-57.222126165837054</v>
      </c>
      <c r="O338" s="297"/>
      <c r="P338" s="172"/>
      <c r="Q338" s="174">
        <f>SUMIFS(BV_Data_An_Prec!$O:$O,BV_Data_An_Prec!$U:$U,$B338,BV_Data_An_Prec!$V:$V,$C338,BV_Data_An_Prec!$W:$W,$L$2)</f>
        <v>0</v>
      </c>
      <c r="R338" s="297"/>
      <c r="S338" s="193">
        <f t="shared" si="182"/>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
        <v>3215</v>
      </c>
      <c r="B339" s="24" t="s">
        <v>175</v>
      </c>
      <c r="C339" s="299" t="s">
        <v>129</v>
      </c>
      <c r="D339" s="295"/>
      <c r="E339" s="172"/>
      <c r="F339" s="173">
        <f>+INDEX('Budget original'!$A$2:$AO$500,MATCH($A339,'Budget original'!$A$2:$A$500,0),MATCH(F$2,'Budget original'!$A$2:$AO$2,0))</f>
        <v>510.05025000000001</v>
      </c>
      <c r="G339" s="296"/>
      <c r="H339" s="172"/>
      <c r="I339" s="173">
        <f>+INDEX('Budget révisé'!$A$2:$AO$500,MATCH($A339,'Budget révisé'!$A$2:$A$500,0),MATCH(I$2,'Budget révisé'!$A$2:$AO$2,0))</f>
        <v>510.05025000000001</v>
      </c>
      <c r="J339" s="297"/>
      <c r="K339" s="172"/>
      <c r="L339" s="548">
        <f>SUMIFS(BV_Data_An_Cour!$O:$O,BV_Data_An_Cour!$U:$U,$B339,BV_Data_An_Cour!$V:$V,$C339,BV_Data_An_Cour!$W:$W,$L$2)</f>
        <v>529.19000000000005</v>
      </c>
      <c r="M339" s="297"/>
      <c r="N339" s="298">
        <f t="shared" si="185"/>
        <v>19.139750000000049</v>
      </c>
      <c r="O339" s="297"/>
      <c r="P339" s="172"/>
      <c r="Q339" s="548">
        <f>SUMIFS(BV_Data_An_Prec!$O:$O,BV_Data_An_Prec!$U:$U,$B339,BV_Data_An_Prec!$V:$V,$C339,BV_Data_An_Prec!$W:$W,$L$2)</f>
        <v>1034.04</v>
      </c>
      <c r="R339" s="297"/>
      <c r="S339" s="193">
        <f t="shared" si="182"/>
        <v>-504.84999999999991</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
        <v>3216</v>
      </c>
      <c r="B340" s="24" t="s">
        <v>175</v>
      </c>
      <c r="C340" s="299" t="s">
        <v>130</v>
      </c>
      <c r="D340" s="295"/>
      <c r="E340" s="172"/>
      <c r="F340" s="173">
        <f>+INDEX('Budget original'!$A$2:$AO$500,MATCH($A340,'Budget original'!$A$2:$A$500,0),MATCH(F$2,'Budget original'!$A$2:$AO$2,0))</f>
        <v>235.51916145833334</v>
      </c>
      <c r="G340" s="296"/>
      <c r="H340" s="172"/>
      <c r="I340" s="173">
        <f>+INDEX('Budget révisé'!$A$2:$AO$500,MATCH($A340,'Budget révisé'!$A$2:$A$500,0),MATCH(I$2,'Budget révisé'!$A$2:$AO$2,0))</f>
        <v>235.51916145833334</v>
      </c>
      <c r="J340" s="297"/>
      <c r="K340" s="172"/>
      <c r="L340" s="174">
        <f>SUMIFS(BV_Data_An_Cour!$O:$O,BV_Data_An_Cour!$U:$U,$B340,BV_Data_An_Cour!$V:$V,$C340,BV_Data_An_Cour!$W:$W,$L$2)</f>
        <v>98.98</v>
      </c>
      <c r="M340" s="297"/>
      <c r="N340" s="298">
        <f t="shared" si="185"/>
        <v>-136.53916145833335</v>
      </c>
      <c r="O340" s="297"/>
      <c r="P340" s="172"/>
      <c r="Q340" s="174">
        <f>SUMIFS(BV_Data_An_Prec!$O:$O,BV_Data_An_Prec!$U:$U,$B340,BV_Data_An_Prec!$V:$V,$C340,BV_Data_An_Prec!$W:$W,$L$2)</f>
        <v>101.15</v>
      </c>
      <c r="R340" s="297"/>
      <c r="S340" s="193">
        <f t="shared" si="182"/>
        <v>-2.1700000000000017</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
        <v>3217</v>
      </c>
      <c r="B341" s="24" t="s">
        <v>175</v>
      </c>
      <c r="C341" s="299" t="s">
        <v>131</v>
      </c>
      <c r="D341" s="295"/>
      <c r="E341" s="172"/>
      <c r="F341" s="173">
        <f>+INDEX('Budget original'!$A$2:$AO$500,MATCH($A341,'Budget original'!$A$2:$A$500,0),MATCH(F$2,'Budget original'!$A$2:$AO$2,0))</f>
        <v>125.71646354166664</v>
      </c>
      <c r="G341" s="296"/>
      <c r="H341" s="172"/>
      <c r="I341" s="173">
        <f>+INDEX('Budget révisé'!$A$2:$AO$500,MATCH($A341,'Budget révisé'!$A$2:$A$500,0),MATCH(I$2,'Budget révisé'!$A$2:$AO$2,0))</f>
        <v>125.71646354166664</v>
      </c>
      <c r="J341" s="297"/>
      <c r="K341" s="172"/>
      <c r="L341" s="275">
        <f>SUMIFS(BV_Data_An_Cour!$O:$O,BV_Data_An_Cour!$U:$U,$B341,BV_Data_An_Cour!$V:$V,$C341,BV_Data_An_Cour!$W:$W,$L$2)</f>
        <v>-203.08</v>
      </c>
      <c r="M341" s="297"/>
      <c r="N341" s="298">
        <f t="shared" si="185"/>
        <v>-328.79646354166664</v>
      </c>
      <c r="O341" s="297"/>
      <c r="P341" s="172"/>
      <c r="Q341" s="174">
        <f>SUMIFS(BV_Data_An_Prec!$O:$O,BV_Data_An_Prec!$U:$U,$B341,BV_Data_An_Prec!$V:$V,$C341,BV_Data_An_Prec!$W:$W,$L$2)</f>
        <v>-47.98</v>
      </c>
      <c r="R341" s="297"/>
      <c r="S341" s="193">
        <f t="shared" si="182"/>
        <v>-155.10000000000002</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
        <v>3218</v>
      </c>
      <c r="B342" s="24" t="s">
        <v>175</v>
      </c>
      <c r="C342" s="299" t="s">
        <v>132</v>
      </c>
      <c r="D342" s="295"/>
      <c r="E342" s="172"/>
      <c r="F342" s="173">
        <f>+INDEX('Budget original'!$A$2:$AO$500,MATCH($A342,'Budget original'!$A$2:$A$500,0),MATCH(F$2,'Budget original'!$A$2:$AO$2,0))</f>
        <v>606.4324947916665</v>
      </c>
      <c r="G342" s="296"/>
      <c r="H342" s="172"/>
      <c r="I342" s="173">
        <f>+INDEX('Budget révisé'!$A$2:$AO$500,MATCH($A342,'Budget révisé'!$A$2:$A$500,0),MATCH(I$2,'Budget révisé'!$A$2:$AO$2,0))</f>
        <v>606.4324947916665</v>
      </c>
      <c r="J342" s="297"/>
      <c r="K342" s="172"/>
      <c r="L342" s="275">
        <f>SUMIFS(BV_Data_An_Cour!$O:$O,BV_Data_An_Cour!$U:$U,$B342,BV_Data_An_Cour!$V:$V,$C342,BV_Data_An_Cour!$W:$W,$L$2)</f>
        <v>209.06</v>
      </c>
      <c r="M342" s="297"/>
      <c r="N342" s="298">
        <f t="shared" si="185"/>
        <v>-397.3724947916665</v>
      </c>
      <c r="O342" s="297"/>
      <c r="P342" s="172"/>
      <c r="Q342" s="174">
        <f>SUMIFS(BV_Data_An_Prec!$O:$O,BV_Data_An_Prec!$U:$U,$B342,BV_Data_An_Prec!$V:$V,$C342,BV_Data_An_Prec!$W:$W,$L$2)</f>
        <v>936.25</v>
      </c>
      <c r="R342" s="297"/>
      <c r="S342" s="193">
        <f t="shared" si="182"/>
        <v>-727.19</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s="564" customFormat="1" ht="15.75" customHeight="1">
      <c r="A343" s="564" t="s">
        <v>3219</v>
      </c>
      <c r="B343" s="24" t="s">
        <v>175</v>
      </c>
      <c r="C343" s="299" t="s">
        <v>133</v>
      </c>
      <c r="D343" s="295"/>
      <c r="E343" s="172"/>
      <c r="F343" s="173">
        <f>+INDEX('Budget original'!$A$2:$AO$500,MATCH($A343,'Budget original'!$A$2:$A$500,0),MATCH(F$2,'Budget original'!$A$2:$AO$2,0))</f>
        <v>900.98145833333331</v>
      </c>
      <c r="G343" s="296"/>
      <c r="H343" s="172"/>
      <c r="I343" s="173">
        <f>+INDEX('Budget révisé'!$A$2:$AO$500,MATCH($A343,'Budget révisé'!$A$2:$A$500,0),MATCH(I$2,'Budget révisé'!$A$2:$AO$2,0))</f>
        <v>900.98145833333331</v>
      </c>
      <c r="J343" s="297"/>
      <c r="K343" s="172"/>
      <c r="L343" s="275">
        <f>SUMIFS(BV_Data_An_Cour!$O:$O,BV_Data_An_Cour!$U:$U,$B343,BV_Data_An_Cour!$V:$V,$C343,BV_Data_An_Cour!$W:$W,$L$2)</f>
        <v>79.75</v>
      </c>
      <c r="M343" s="297"/>
      <c r="N343" s="298">
        <f t="shared" ref="N343:N347" si="188">L343-I343</f>
        <v>-821.23145833333331</v>
      </c>
      <c r="O343" s="297"/>
      <c r="P343" s="172"/>
      <c r="Q343" s="174">
        <f>SUMIFS(BV_Data_An_Prec!$O:$O,BV_Data_An_Prec!$U:$U,$B343,BV_Data_An_Prec!$V:$V,$C343,BV_Data_An_Prec!$W:$W,$L$2)</f>
        <v>272.14</v>
      </c>
      <c r="R343" s="297"/>
      <c r="S343" s="193">
        <f t="shared" ref="S343:S347" si="189">L343-Q343</f>
        <v>-192.39</v>
      </c>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s="564" customFormat="1" ht="15.75" customHeight="1">
      <c r="A344" s="564" t="s">
        <v>3220</v>
      </c>
      <c r="B344" s="24" t="s">
        <v>175</v>
      </c>
      <c r="C344" s="299" t="s">
        <v>134</v>
      </c>
      <c r="D344" s="295"/>
      <c r="E344" s="172"/>
      <c r="F344" s="173">
        <f>+INDEX('Budget original'!$A$2:$AO$500,MATCH($A344,'Budget original'!$A$2:$A$500,0),MATCH(F$2,'Budget original'!$A$2:$AO$2,0))</f>
        <v>2395.9626172538665</v>
      </c>
      <c r="G344" s="296"/>
      <c r="H344" s="172"/>
      <c r="I344" s="173">
        <f>+INDEX('Budget révisé'!$A$2:$AO$500,MATCH($A344,'Budget révisé'!$A$2:$A$500,0),MATCH(I$2,'Budget révisé'!$A$2:$AO$2,0))</f>
        <v>2395.9626172538665</v>
      </c>
      <c r="J344" s="297"/>
      <c r="K344" s="172"/>
      <c r="L344" s="958">
        <f>AF447*W7</f>
        <v>1891.5400000000002</v>
      </c>
      <c r="M344" s="297"/>
      <c r="N344" s="298">
        <f t="shared" si="188"/>
        <v>-504.42261725386629</v>
      </c>
      <c r="O344" s="297"/>
      <c r="P344" s="172"/>
      <c r="Q344" s="275">
        <f>AL447*W7</f>
        <v>1379.0420000000001</v>
      </c>
      <c r="R344" s="297"/>
      <c r="S344" s="193">
        <f t="shared" si="189"/>
        <v>512.49800000000005</v>
      </c>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s="564" customFormat="1" ht="15.75" hidden="1" customHeight="1">
      <c r="A345" s="564" t="s">
        <v>3187</v>
      </c>
      <c r="B345" s="24" t="s">
        <v>175</v>
      </c>
      <c r="C345" s="299" t="s">
        <v>42</v>
      </c>
      <c r="D345" s="295"/>
      <c r="E345" s="172"/>
      <c r="F345" s="173">
        <f>+INDEX('Budget original'!$A$2:$AO$500,MATCH($A345,'Budget original'!$A$2:$A$500,0),MATCH(F$2,'Budget original'!$A$2:$AO$2,0))</f>
        <v>0</v>
      </c>
      <c r="G345" s="296"/>
      <c r="H345" s="172"/>
      <c r="I345" s="173">
        <f>+INDEX('Budget révisé'!$A$2:$AO$500,MATCH($A345,'Budget révisé'!$A$2:$A$500,0),MATCH(I$2,'Budget révisé'!$A$2:$AO$2,0))</f>
        <v>0</v>
      </c>
      <c r="J345" s="297"/>
      <c r="K345" s="172"/>
      <c r="L345" s="275">
        <f>SUMIFS(BV_Data_An_Cour!$O:$O,BV_Data_An_Cour!$U:$U,$B345,BV_Data_An_Cour!$V:$V,$C345,BV_Data_An_Cour!$W:$W,$L$2)</f>
        <v>0</v>
      </c>
      <c r="M345" s="297"/>
      <c r="N345" s="298">
        <f t="shared" si="188"/>
        <v>0</v>
      </c>
      <c r="O345" s="297"/>
      <c r="P345" s="172"/>
      <c r="Q345" s="174">
        <f>SUMIFS(BV_Data_An_Prec!$O:$O,BV_Data_An_Prec!$U:$U,$B345,BV_Data_An_Prec!$V:$V,$C345,BV_Data_An_Prec!$W:$W,$L$2)</f>
        <v>0</v>
      </c>
      <c r="R345" s="297"/>
      <c r="S345" s="193">
        <f t="shared" si="189"/>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
        <v>3187</v>
      </c>
      <c r="B346" s="24" t="s">
        <v>175</v>
      </c>
      <c r="C346" s="299" t="s">
        <v>42</v>
      </c>
      <c r="D346" s="295"/>
      <c r="E346" s="172"/>
      <c r="F346" s="173">
        <f>+INDEX('Budget original'!$A$2:$AO$500,MATCH($A346,'Budget original'!$A$2:$A$500,0),MATCH(F$2,'Budget original'!$A$2:$AO$2,0))</f>
        <v>0</v>
      </c>
      <c r="G346" s="296"/>
      <c r="H346" s="172"/>
      <c r="I346" s="173">
        <f>+INDEX('Budget révisé'!$A$2:$AO$500,MATCH($A346,'Budget révisé'!$A$2:$A$500,0),MATCH(I$2,'Budget révisé'!$A$2:$AO$2,0))</f>
        <v>0</v>
      </c>
      <c r="J346" s="297"/>
      <c r="K346" s="172"/>
      <c r="L346" s="174">
        <f>SUMIFS(BV_Data_An_Cour!$O:$O,BV_Data_An_Cour!$U:$U,$B346,BV_Data_An_Cour!$V:$V,$C346,BV_Data_An_Cour!$W:$W,$L$2)</f>
        <v>0</v>
      </c>
      <c r="M346" s="297"/>
      <c r="N346" s="298">
        <f t="shared" si="188"/>
        <v>0</v>
      </c>
      <c r="O346" s="297"/>
      <c r="P346" s="172"/>
      <c r="Q346" s="174">
        <f>SUMIFS(BV_Data_An_Prec!$O:$O,BV_Data_An_Prec!$U:$U,$B346,BV_Data_An_Prec!$V:$V,$C346,BV_Data_An_Prec!$W:$W,$L$2)</f>
        <v>0</v>
      </c>
      <c r="R346" s="297"/>
      <c r="S346" s="193">
        <f t="shared" si="189"/>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
        <v>3187</v>
      </c>
      <c r="B347" s="24" t="s">
        <v>175</v>
      </c>
      <c r="C347" s="299" t="s">
        <v>42</v>
      </c>
      <c r="D347" s="295"/>
      <c r="E347" s="172"/>
      <c r="F347" s="173">
        <f>+INDEX('Budget original'!$A$2:$AO$500,MATCH($A347,'Budget original'!$A$2:$A$500,0),MATCH(F$2,'Budget original'!$A$2:$AO$2,0))</f>
        <v>0</v>
      </c>
      <c r="G347" s="296"/>
      <c r="H347" s="172"/>
      <c r="I347" s="173">
        <f>+INDEX('Budget révisé'!$A$2:$AO$500,MATCH($A347,'Budget révisé'!$A$2:$A$500,0),MATCH(I$2,'Budget révisé'!$A$2:$AO$2,0))</f>
        <v>0</v>
      </c>
      <c r="J347" s="297"/>
      <c r="K347" s="172"/>
      <c r="L347" s="174">
        <f>SUMIFS(BV_Data_An_Cour!$O:$O,BV_Data_An_Cour!$U:$U,$B347,BV_Data_An_Cour!$V:$V,$C347,BV_Data_An_Cour!$W:$W,$L$2)</f>
        <v>0</v>
      </c>
      <c r="M347" s="297"/>
      <c r="N347" s="298">
        <f t="shared" si="188"/>
        <v>0</v>
      </c>
      <c r="O347" s="297"/>
      <c r="P347" s="172"/>
      <c r="Q347" s="174">
        <f>SUMIFS(BV_Data_An_Prec!$O:$O,BV_Data_An_Prec!$U:$U,$B347,BV_Data_An_Prec!$V:$V,$C347,BV_Data_An_Prec!$W:$W,$L$2)</f>
        <v>0</v>
      </c>
      <c r="R347" s="297"/>
      <c r="S347" s="193">
        <f t="shared" si="189"/>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2"/>
      <c r="C348" s="292" t="s">
        <v>135</v>
      </c>
      <c r="D348" s="39" t="s">
        <v>111</v>
      </c>
      <c r="E348" s="40">
        <f>F348/F$313</f>
        <v>0.20988992543349147</v>
      </c>
      <c r="F348" s="41">
        <f>+SUM(F330:F347)</f>
        <v>23578.007732932714</v>
      </c>
      <c r="G348" s="42" t="s">
        <v>111</v>
      </c>
      <c r="H348" s="40">
        <f>I348/I$313</f>
        <v>0.20988992543349147</v>
      </c>
      <c r="I348" s="41">
        <f>+SUM(I330:I347)</f>
        <v>23578.007732932714</v>
      </c>
      <c r="J348" s="42" t="s">
        <v>111</v>
      </c>
      <c r="K348" s="40">
        <f>L348/L$313</f>
        <v>0.24999131703475394</v>
      </c>
      <c r="L348" s="41">
        <f>+SUM(L330:L347)</f>
        <v>29006.939999999995</v>
      </c>
      <c r="M348" s="44"/>
      <c r="N348" s="41">
        <f>+SUM(N330:N347)</f>
        <v>5428.9322670672846</v>
      </c>
      <c r="O348" s="42" t="s">
        <v>111</v>
      </c>
      <c r="P348" s="40">
        <f>Q348/Q$313</f>
        <v>0.18089987350923045</v>
      </c>
      <c r="Q348" s="41">
        <f>+SUM(Q330:Q347)</f>
        <v>17836.742000000002</v>
      </c>
      <c r="R348" s="44"/>
      <c r="S348" s="310">
        <f>+SUM(S330:S347)</f>
        <v>11170.197999999997</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2"/>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2"/>
      <c r="C350" s="292" t="s">
        <v>136</v>
      </c>
      <c r="D350" s="39" t="s">
        <v>111</v>
      </c>
      <c r="E350" s="40">
        <f>F350/F$313</f>
        <v>0.59217144489818951</v>
      </c>
      <c r="F350" s="41">
        <f>F329+F348</f>
        <v>66521.644038868879</v>
      </c>
      <c r="G350" s="42" t="s">
        <v>111</v>
      </c>
      <c r="H350" s="40">
        <f>I350/I$313</f>
        <v>0.59217144489818951</v>
      </c>
      <c r="I350" s="41">
        <f>I329+I348</f>
        <v>66521.644038868879</v>
      </c>
      <c r="J350" s="42" t="s">
        <v>111</v>
      </c>
      <c r="K350" s="40">
        <f>L350/L$313</f>
        <v>0.66723240243040283</v>
      </c>
      <c r="L350" s="41">
        <f>L329+L348</f>
        <v>77420.17</v>
      </c>
      <c r="M350" s="44"/>
      <c r="N350" s="46">
        <f t="shared" ref="N350:N351" si="190">L350-I350</f>
        <v>10898.525961131119</v>
      </c>
      <c r="O350" s="42" t="s">
        <v>111</v>
      </c>
      <c r="P350" s="40">
        <f>Q350/Q$313</f>
        <v>0.63045417407369264</v>
      </c>
      <c r="Q350" s="41">
        <f>Q329+Q348</f>
        <v>62162.832000000009</v>
      </c>
      <c r="R350" s="44"/>
      <c r="S350" s="293">
        <f>L350-Q350</f>
        <v>15257.337999999989</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2"/>
      <c r="C351" s="258"/>
      <c r="D351" s="295"/>
      <c r="E351" s="172"/>
      <c r="F351" s="298"/>
      <c r="G351" s="296"/>
      <c r="H351" s="172"/>
      <c r="I351" s="298"/>
      <c r="J351" s="297"/>
      <c r="K351" s="172"/>
      <c r="L351" s="298"/>
      <c r="M351" s="297"/>
      <c r="N351" s="298">
        <f t="shared" si="190"/>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24" customHeight="1" thickBot="1">
      <c r="B352" s="2"/>
      <c r="C352" s="334" t="s">
        <v>143</v>
      </c>
      <c r="D352" s="335"/>
      <c r="E352" s="336"/>
      <c r="F352" s="337">
        <f>F313-F350</f>
        <v>45813.465348760859</v>
      </c>
      <c r="G352" s="338"/>
      <c r="H352" s="336"/>
      <c r="I352" s="337">
        <f>I313-I350</f>
        <v>45813.465348760859</v>
      </c>
      <c r="J352" s="339"/>
      <c r="K352" s="340"/>
      <c r="L352" s="337">
        <f>L313-L350</f>
        <v>38611.62000000001</v>
      </c>
      <c r="M352" s="339"/>
      <c r="N352" s="337">
        <f>L352-I352</f>
        <v>-7201.8453487608494</v>
      </c>
      <c r="O352" s="339"/>
      <c r="P352" s="340"/>
      <c r="Q352" s="337">
        <f>Q313-Q350</f>
        <v>36437.247999999978</v>
      </c>
      <c r="R352" s="339"/>
      <c r="S352" s="341">
        <f>L352-Q352</f>
        <v>2174.3720000000321</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2"/>
      <c r="C353" s="56"/>
      <c r="D353" s="36"/>
      <c r="E353" s="25"/>
      <c r="F353" s="45"/>
      <c r="G353" s="36"/>
      <c r="H353" s="25"/>
      <c r="I353" s="45"/>
      <c r="J353" s="56"/>
      <c r="K353" s="56"/>
      <c r="L353" s="45"/>
      <c r="M353" s="56"/>
      <c r="N353" s="45"/>
      <c r="O353" s="56"/>
      <c r="P353" s="56"/>
      <c r="Q353" s="45"/>
      <c r="R353" s="56"/>
      <c r="S353" s="45"/>
      <c r="T353" s="216"/>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2"/>
      <c r="C354" s="56"/>
      <c r="D354" s="36"/>
      <c r="E354" s="25"/>
      <c r="F354" s="45"/>
      <c r="G354" s="36"/>
      <c r="H354" s="25"/>
      <c r="I354" s="45"/>
      <c r="J354" s="56"/>
      <c r="K354" s="56"/>
      <c r="L354" s="45"/>
      <c r="M354" s="56"/>
      <c r="N354" s="45"/>
      <c r="O354" s="56"/>
      <c r="P354" s="56"/>
      <c r="Q354" s="45"/>
      <c r="R354" s="56"/>
      <c r="S354" s="45"/>
      <c r="T354" s="216"/>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2"/>
      <c r="C355" s="1192" t="str">
        <f>+C290</f>
        <v>Volks</v>
      </c>
      <c r="D355" s="19"/>
      <c r="E355" s="19"/>
      <c r="F355" s="19"/>
      <c r="G355" s="19"/>
      <c r="H355" s="18"/>
      <c r="I355" s="18"/>
      <c r="J355" s="18"/>
      <c r="K355" s="5" t="s">
        <v>191</v>
      </c>
      <c r="L355" s="19"/>
      <c r="M355" s="19"/>
      <c r="N355" s="18"/>
      <c r="O355" s="18"/>
      <c r="P355" s="19"/>
      <c r="Q355" s="18"/>
      <c r="R355" s="19"/>
      <c r="S355" s="6" t="str">
        <f>$S$1</f>
        <v>Réalisé, Mai 2022</v>
      </c>
      <c r="T355" s="514"/>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c r="B356" s="2"/>
      <c r="C356" s="22"/>
      <c r="D356" s="23"/>
      <c r="E356" s="23"/>
      <c r="F356" s="23"/>
      <c r="G356" s="23"/>
      <c r="H356" s="23"/>
      <c r="I356" s="23"/>
      <c r="J356" s="23"/>
      <c r="K356" s="23"/>
      <c r="L356" s="23"/>
      <c r="M356" s="23"/>
      <c r="N356" s="23"/>
      <c r="O356" s="23"/>
      <c r="P356" s="23"/>
      <c r="Q356" s="23"/>
      <c r="R356" s="23"/>
      <c r="S356" s="23"/>
      <c r="T356" s="514"/>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2"/>
      <c r="C357" s="257"/>
      <c r="D357" s="1426" t="s">
        <v>77</v>
      </c>
      <c r="E357" s="1427"/>
      <c r="F357" s="1428"/>
      <c r="G357" s="1429" t="s">
        <v>145</v>
      </c>
      <c r="H357" s="1427"/>
      <c r="I357" s="1428"/>
      <c r="J357" s="1429" t="s">
        <v>79</v>
      </c>
      <c r="K357" s="1427"/>
      <c r="L357" s="1428"/>
      <c r="M357" s="1429" t="s">
        <v>80</v>
      </c>
      <c r="N357" s="1428"/>
      <c r="O357" s="1426" t="s">
        <v>81</v>
      </c>
      <c r="P357" s="1427"/>
      <c r="Q357" s="1428"/>
      <c r="R357" s="1429" t="s">
        <v>82</v>
      </c>
      <c r="S357" s="1430"/>
      <c r="T357" s="514"/>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
        <v>191</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514"/>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
        <v>3221</v>
      </c>
      <c r="B359" s="24" t="s">
        <v>191</v>
      </c>
      <c r="C359" s="263" t="s">
        <v>191</v>
      </c>
      <c r="D359" s="197">
        <f>+INDEX('Budget original'!$A$2:$AO$500,MATCH($A359,'Budget original'!$A$2:$A$500,0),MATCH(D$2,'Budget original'!$A$2:$AO$2,0))</f>
        <v>0</v>
      </c>
      <c r="E359" s="198">
        <f>IFERROR(F359/D359,0)</f>
        <v>0</v>
      </c>
      <c r="F359" s="202">
        <f>+INDEX('Budget original'!$A$2:$AO$500,MATCH($A359,'Budget original'!$A$2:$A$500,0),MATCH(F$2,'Budget original'!$A$2:$AO$2,0))</f>
        <v>0</v>
      </c>
      <c r="G359" s="197">
        <f>+INDEX('Budget révisé'!$A$2:$AO$500,MATCH($A359,'Budget révisé'!$A$2:$A$500,0),MATCH(G$2,'Budget révisé'!$A$2:$AO$2,0))</f>
        <v>0</v>
      </c>
      <c r="H359" s="198">
        <f>IFERROR(I359/G359,0)</f>
        <v>0</v>
      </c>
      <c r="I359" s="197">
        <f>+INDEX('Budget révisé'!$A$2:$AO$500,MATCH($A359,'Budget révisé'!$A$2:$A$500,0),MATCH(I$2,'Budget révisé'!$A$2:$AO$2,0))</f>
        <v>0</v>
      </c>
      <c r="J359" s="215">
        <f>-SUMIFS(BV_Data_An_Cour!$O:$O,BV_Data_An_Cour!$X:$X,"Oui",BV_Data_An_Cour!$U:$U,$B359,BV_Data_An_Cour!$V:$V,$C359)</f>
        <v>0</v>
      </c>
      <c r="K359" s="71">
        <f>IF(J359&lt;=0,0,L359/J359)</f>
        <v>0</v>
      </c>
      <c r="L359" s="214">
        <f>-SUMIFS(BV_Data_An_Cour!$O:$O,BV_Data_An_Cour!$X:$X,"Oui",BV_Data_An_Cour!$U:$U,$B359,BV_Data_An_Cour!$V:$V,$C359)</f>
        <v>0</v>
      </c>
      <c r="M359" s="72">
        <f>IF(G359=0,0,(+J359-G359)/G359)</f>
        <v>0</v>
      </c>
      <c r="N359" s="73">
        <f>L359-I359</f>
        <v>0</v>
      </c>
      <c r="O359" s="215">
        <f>-SUMIFS(BV_Data_An_Prec!$O:$O,BV_Data_An_Prec!$X:$X,"Oui",BV_Data_An_Prec!$U:$U,$B359,BV_Data_An_Prec!$V:$V,$C359)</f>
        <v>0</v>
      </c>
      <c r="P359" s="71">
        <f>IF(O359&lt;=0,0,Q359/O359)</f>
        <v>0</v>
      </c>
      <c r="Q359" s="214">
        <f>-SUMIFS(BV_Data_An_Prec!$O:$O,BV_Data_An_Prec!$X:$X,"Oui",BV_Data_An_Prec!$U:$U,$B359,BV_Data_An_Prec!$V:$V,$C359)</f>
        <v>0</v>
      </c>
      <c r="R359" s="72">
        <f>IF(O359=0,0,(J359-O359)/O359)</f>
        <v>0</v>
      </c>
      <c r="S359" s="264">
        <f>L359-Q359</f>
        <v>0</v>
      </c>
      <c r="T359" s="514"/>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
        <v>191</v>
      </c>
      <c r="B360" s="24" t="s">
        <v>191</v>
      </c>
      <c r="C360" s="265"/>
      <c r="D360" s="74"/>
      <c r="E360" s="75"/>
      <c r="F360" s="76"/>
      <c r="G360" s="77"/>
      <c r="H360" s="75"/>
      <c r="I360" s="76"/>
      <c r="J360" s="77"/>
      <c r="K360" s="75"/>
      <c r="L360" s="76"/>
      <c r="M360" s="78"/>
      <c r="N360" s="34"/>
      <c r="O360" s="77"/>
      <c r="P360" s="75"/>
      <c r="Q360" s="76"/>
      <c r="R360" s="78"/>
      <c r="S360" s="266"/>
      <c r="T360" s="514"/>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
        <v>3222</v>
      </c>
      <c r="B361" s="24" t="s">
        <v>191</v>
      </c>
      <c r="C361" s="267" t="s">
        <v>192</v>
      </c>
      <c r="D361" s="240">
        <f>+D359</f>
        <v>0</v>
      </c>
      <c r="E361" s="231">
        <f>IF(D361&lt;=0,0,F361/D361)</f>
        <v>0</v>
      </c>
      <c r="F361" s="232">
        <f t="shared" ref="F361" si="191">+F359</f>
        <v>0</v>
      </c>
      <c r="G361" s="230">
        <f>+G359</f>
        <v>0</v>
      </c>
      <c r="H361" s="231">
        <f>IF(G361&lt;=0,0,I361/G361)</f>
        <v>0</v>
      </c>
      <c r="I361" s="232">
        <f t="shared" ref="I361" si="192">+I359</f>
        <v>0</v>
      </c>
      <c r="J361" s="230">
        <f t="shared" ref="J361" si="193">+J359</f>
        <v>0</v>
      </c>
      <c r="K361" s="231">
        <f>IF(J361&lt;=0,0,L361/J361)</f>
        <v>0</v>
      </c>
      <c r="L361" s="232">
        <f>+L359</f>
        <v>0</v>
      </c>
      <c r="M361" s="618">
        <f>IF(G361=0,0,(+J361-G361)/G361)</f>
        <v>0</v>
      </c>
      <c r="N361" s="619">
        <f>L361-I361</f>
        <v>0</v>
      </c>
      <c r="O361" s="230">
        <f t="shared" ref="O361" si="194">+O359</f>
        <v>0</v>
      </c>
      <c r="P361" s="231">
        <f>IF(O361&lt;=0,0,Q361/O361)</f>
        <v>0</v>
      </c>
      <c r="Q361" s="232">
        <f>+Q359</f>
        <v>0</v>
      </c>
      <c r="R361" s="221">
        <f>IF(O361=0,0,(J361-O361)/O361)</f>
        <v>0</v>
      </c>
      <c r="S361" s="269">
        <f>L361-Q361</f>
        <v>0</v>
      </c>
      <c r="T361" s="514"/>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
        <v>191</v>
      </c>
      <c r="B362" s="24" t="s">
        <v>191</v>
      </c>
      <c r="C362" s="270"/>
      <c r="D362" s="227"/>
      <c r="E362" s="227"/>
      <c r="F362" s="226"/>
      <c r="G362" s="221"/>
      <c r="H362" s="271"/>
      <c r="I362" s="226"/>
      <c r="J362" s="221"/>
      <c r="K362" s="227"/>
      <c r="L362" s="272"/>
      <c r="M362" s="221"/>
      <c r="N362" s="268">
        <f>IF(H362=0,0,(+K362-H362)/H362)</f>
        <v>0</v>
      </c>
      <c r="O362" s="221"/>
      <c r="P362" s="227"/>
      <c r="Q362" s="272"/>
      <c r="R362" s="221"/>
      <c r="S362" s="273">
        <f>IF(Q361=0,0,S361/Q361)</f>
        <v>0</v>
      </c>
      <c r="T362" s="514"/>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
        <v>3223</v>
      </c>
      <c r="B363" s="24" t="s">
        <v>191</v>
      </c>
      <c r="C363" s="270" t="s">
        <v>102</v>
      </c>
      <c r="D363" s="227"/>
      <c r="E363" s="227"/>
      <c r="F363" s="226"/>
      <c r="G363" s="221"/>
      <c r="H363" s="227"/>
      <c r="I363" s="226"/>
      <c r="J363" s="221"/>
      <c r="K363" s="227"/>
      <c r="L363" s="272"/>
      <c r="M363" s="221"/>
      <c r="N363" s="272"/>
      <c r="O363" s="221"/>
      <c r="P363" s="227"/>
      <c r="Q363" s="272"/>
      <c r="R363" s="221"/>
      <c r="S363" s="273"/>
      <c r="T363" s="514"/>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
        <v>3224</v>
      </c>
      <c r="B364" s="24" t="s">
        <v>191</v>
      </c>
      <c r="C364" s="274" t="s">
        <v>112</v>
      </c>
      <c r="D364" s="227"/>
      <c r="E364" s="227"/>
      <c r="F364" s="225">
        <f>+INDEX('Budget original'!$A$2:$AO$500,MATCH($A364,'Budget original'!$A$2:$A$500,0),MATCH(F$2,'Budget original'!$A$2:$AO$2,0))</f>
        <v>0</v>
      </c>
      <c r="G364" s="221"/>
      <c r="H364" s="227"/>
      <c r="I364" s="225">
        <f>+INDEX('Budget révisé'!$A$2:$AO$500,MATCH($A364,'Budget révisé'!$A$2:$A$500,0),MATCH(I$2,'Budget révisé'!$A$2:$AO$2,0))</f>
        <v>0</v>
      </c>
      <c r="J364" s="221"/>
      <c r="K364" s="227"/>
      <c r="L364" s="275">
        <f>-SUMIFS(BV_Data_An_Cour!$O:$O,BV_Data_An_Cour!$U:$U,$B364,BV_Data_An_Cour!$V:$V,$C364,BV_Data_An_Cour!$W:$W,$L$2)</f>
        <v>0</v>
      </c>
      <c r="M364" s="221"/>
      <c r="N364" s="272"/>
      <c r="O364" s="221"/>
      <c r="P364" s="227"/>
      <c r="Q364" s="275">
        <f>-SUMIFS(BV_Data_An_Prec!$O:$O,BV_Data_An_Prec!$U:$U,$B364,BV_Data_An_Prec!$V:$V,$C364,BV_Data_An_Prec!$W:$W,$L$2)</f>
        <v>0</v>
      </c>
      <c r="R364" s="221"/>
      <c r="S364" s="507">
        <f>L364-Q364</f>
        <v>0</v>
      </c>
      <c r="T364" s="514"/>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
        <v>3225</v>
      </c>
      <c r="B365" s="24" t="s">
        <v>191</v>
      </c>
      <c r="C365" s="276" t="s">
        <v>113</v>
      </c>
      <c r="D365" s="256"/>
      <c r="E365" s="227"/>
      <c r="F365" s="238">
        <f>+INDEX('Budget original'!$A$2:$AO$500,MATCH($A365,'Budget original'!$A$2:$A$500,0),MATCH(F$2,'Budget original'!$A$2:$AO$2,0))</f>
        <v>0</v>
      </c>
      <c r="G365" s="277"/>
      <c r="H365" s="227"/>
      <c r="I365" s="238">
        <f>+INDEX('Budget révisé'!$A$2:$AO$500,MATCH($A365,'Budget révisé'!$A$2:$A$500,0),MATCH(I$2,'Budget révisé'!$A$2:$AO$2,0))</f>
        <v>0</v>
      </c>
      <c r="J365" s="221"/>
      <c r="K365" s="227"/>
      <c r="L365" s="238">
        <f>-SUMIFS(BV_Data_An_Cour!$O:$O,BV_Data_An_Cour!$U:$U,$B365,BV_Data_An_Cour!$V:$V,$C365,BV_Data_An_Cour!$W:$W,$L$2)</f>
        <v>0</v>
      </c>
      <c r="M365" s="221"/>
      <c r="N365" s="226">
        <f t="shared" ref="N365:N393" si="195">L365-I365</f>
        <v>0</v>
      </c>
      <c r="O365" s="221"/>
      <c r="P365" s="227"/>
      <c r="Q365" s="238">
        <f>-SUMIFS(BV_Data_An_Prec!$O:$O,BV_Data_An_Prec!$U:$U,$B365,BV_Data_An_Prec!$V:$V,$C365,BV_Data_An_Prec!$W:$W,$L$2)</f>
        <v>0</v>
      </c>
      <c r="R365" s="221"/>
      <c r="S365" s="278">
        <f t="shared" ref="S365:S393" si="196">L365-Q365</f>
        <v>0</v>
      </c>
      <c r="T365" s="514"/>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
        <v>3226</v>
      </c>
      <c r="B366" s="24" t="s">
        <v>191</v>
      </c>
      <c r="C366" s="274" t="s">
        <v>114</v>
      </c>
      <c r="D366" s="279"/>
      <c r="E366" s="280"/>
      <c r="F366" s="225">
        <f>+INDEX('Budget original'!$A$2:$AO$500,MATCH($A366,'Budget original'!$A$2:$A$500,0),MATCH(F$2,'Budget original'!$A$2:$AO$2,0))</f>
        <v>0</v>
      </c>
      <c r="G366" s="281"/>
      <c r="H366" s="280"/>
      <c r="I366" s="225">
        <f>+INDEX('Budget révisé'!$A$2:$AO$500,MATCH($A366,'Budget révisé'!$A$2:$A$500,0),MATCH(I$2,'Budget révisé'!$A$2:$AO$2,0))</f>
        <v>0</v>
      </c>
      <c r="J366" s="282"/>
      <c r="K366" s="280"/>
      <c r="L366" s="275">
        <f>-SUMIFS(BV_Data_An_Cour!$O:$O,BV_Data_An_Cour!$U:$U,$B366,BV_Data_An_Cour!$V:$V,$C366,BV_Data_An_Cour!$W:$W,$L$2)</f>
        <v>0</v>
      </c>
      <c r="M366" s="282"/>
      <c r="N366" s="283">
        <f t="shared" si="195"/>
        <v>0</v>
      </c>
      <c r="O366" s="282"/>
      <c r="P366" s="280"/>
      <c r="Q366" s="275">
        <f>-SUMIFS(BV_Data_An_Prec!$O:$O,BV_Data_An_Prec!$U:$U,$B366,BV_Data_An_Prec!$V:$V,$C366,BV_Data_An_Prec!$W:$W,$L$2)</f>
        <v>0</v>
      </c>
      <c r="R366" s="282"/>
      <c r="S366" s="284">
        <f t="shared" si="196"/>
        <v>0</v>
      </c>
      <c r="T366" s="514"/>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
        <v>3227</v>
      </c>
      <c r="B367" s="24" t="s">
        <v>191</v>
      </c>
      <c r="C367" s="274" t="s">
        <v>115</v>
      </c>
      <c r="D367" s="256"/>
      <c r="E367" s="227"/>
      <c r="F367" s="225">
        <f>+INDEX('Budget original'!$A$2:$AO$500,MATCH($A367,'Budget original'!$A$2:$A$500,0),MATCH(F$2,'Budget original'!$A$2:$AO$2,0))</f>
        <v>0</v>
      </c>
      <c r="G367" s="277"/>
      <c r="H367" s="227"/>
      <c r="I367" s="225">
        <f>+INDEX('Budget révisé'!$A$2:$AO$500,MATCH($A367,'Budget révisé'!$A$2:$A$500,0),MATCH(I$2,'Budget révisé'!$A$2:$AO$2,0))</f>
        <v>0</v>
      </c>
      <c r="J367" s="221"/>
      <c r="K367" s="227"/>
      <c r="L367" s="275">
        <f>-SUMIFS(BV_Data_An_Cour!$O:$O,BV_Data_An_Cour!$U:$U,$B367,BV_Data_An_Cour!$V:$V,$C367,BV_Data_An_Cour!$W:$W,$L$2)</f>
        <v>0</v>
      </c>
      <c r="M367" s="221"/>
      <c r="N367" s="226">
        <f t="shared" si="195"/>
        <v>0</v>
      </c>
      <c r="O367" s="221"/>
      <c r="P367" s="227"/>
      <c r="Q367" s="275">
        <f>-SUMIFS(BV_Data_An_Prec!$O:$O,BV_Data_An_Prec!$U:$U,$B367,BV_Data_An_Prec!$V:$V,$C367,BV_Data_An_Prec!$W:$W,$L$2)</f>
        <v>0</v>
      </c>
      <c r="R367" s="221"/>
      <c r="S367" s="278">
        <f t="shared" si="196"/>
        <v>0</v>
      </c>
      <c r="T367" s="514"/>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64" t="s">
        <v>3228</v>
      </c>
      <c r="B368" s="24" t="s">
        <v>191</v>
      </c>
      <c r="C368" s="285" t="s">
        <v>42</v>
      </c>
      <c r="D368" s="256"/>
      <c r="E368" s="227"/>
      <c r="F368" s="225">
        <f>+INDEX('Budget original'!$A$2:$AO$500,MATCH($A368,'Budget original'!$A$2:$A$500,0),MATCH(F$2,'Budget original'!$A$2:$AO$2,0))</f>
        <v>0</v>
      </c>
      <c r="G368" s="277"/>
      <c r="H368" s="227"/>
      <c r="I368" s="225">
        <f>+INDEX('Budget révisé'!$A$2:$AO$500,MATCH($A368,'Budget révisé'!$A$2:$A$500,0),MATCH(I$2,'Budget révisé'!$A$2:$AO$2,0))</f>
        <v>0</v>
      </c>
      <c r="J368" s="221"/>
      <c r="K368" s="227"/>
      <c r="L368" s="275">
        <f>-SUMIFS(BV_Data_An_Cour!$O:$O,BV_Data_An_Cour!$U:$U,$B368,BV_Data_An_Cour!$V:$V,$C368,BV_Data_An_Cour!$W:$W,$L$2)</f>
        <v>0</v>
      </c>
      <c r="M368" s="221"/>
      <c r="N368" s="226">
        <f t="shared" si="195"/>
        <v>0</v>
      </c>
      <c r="O368" s="221"/>
      <c r="P368" s="227"/>
      <c r="Q368" s="275">
        <f>-SUMIFS(BV_Data_An_Prec!$O:$O,BV_Data_An_Prec!$U:$U,$B368,BV_Data_An_Prec!$V:$V,$C368,BV_Data_An_Prec!$W:$W,$L$2)</f>
        <v>0</v>
      </c>
      <c r="R368" s="221"/>
      <c r="S368" s="278">
        <f t="shared" si="196"/>
        <v>0</v>
      </c>
      <c r="T368" s="514"/>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64" t="s">
        <v>3228</v>
      </c>
      <c r="B369" s="24" t="s">
        <v>191</v>
      </c>
      <c r="C369" s="285" t="s">
        <v>42</v>
      </c>
      <c r="D369" s="256"/>
      <c r="E369" s="227"/>
      <c r="F369" s="225">
        <f>+INDEX('Budget original'!$A$2:$AO$500,MATCH($A369,'Budget original'!$A$2:$A$500,0),MATCH(F$2,'Budget original'!$A$2:$AO$2,0))</f>
        <v>0</v>
      </c>
      <c r="G369" s="277"/>
      <c r="H369" s="227"/>
      <c r="I369" s="225">
        <f>+INDEX('Budget révisé'!$A$2:$AO$500,MATCH($A369,'Budget révisé'!$A$2:$A$500,0),MATCH(I$2,'Budget révisé'!$A$2:$AO$2,0))</f>
        <v>0</v>
      </c>
      <c r="J369" s="221"/>
      <c r="K369" s="227"/>
      <c r="L369" s="275">
        <f>-SUMIFS(BV_Data_An_Cour!$O:$O,BV_Data_An_Cour!$U:$U,$B369,BV_Data_An_Cour!$V:$V,$C369,BV_Data_An_Cour!$W:$W,$L$2)</f>
        <v>0</v>
      </c>
      <c r="M369" s="221"/>
      <c r="N369" s="226">
        <f t="shared" si="195"/>
        <v>0</v>
      </c>
      <c r="O369" s="221"/>
      <c r="P369" s="227"/>
      <c r="Q369" s="275">
        <f>-SUMIFS(BV_Data_An_Prec!$O:$O,BV_Data_An_Prec!$U:$U,$B369,BV_Data_An_Prec!$V:$V,$C369,BV_Data_An_Prec!$W:$W,$L$2)</f>
        <v>0</v>
      </c>
      <c r="R369" s="221"/>
      <c r="S369" s="278">
        <f t="shared" si="196"/>
        <v>0</v>
      </c>
      <c r="T369" s="514"/>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64" t="s">
        <v>3228</v>
      </c>
      <c r="B370" s="24" t="s">
        <v>191</v>
      </c>
      <c r="C370" s="285" t="s">
        <v>42</v>
      </c>
      <c r="D370" s="256"/>
      <c r="E370" s="227"/>
      <c r="F370" s="225">
        <f>+INDEX('Budget original'!$A$2:$AO$500,MATCH($A370,'Budget original'!$A$2:$A$500,0),MATCH(F$2,'Budget original'!$A$2:$AO$2,0))</f>
        <v>0</v>
      </c>
      <c r="G370" s="277"/>
      <c r="H370" s="227"/>
      <c r="I370" s="225">
        <f>+INDEX('Budget révisé'!$A$2:$AO$500,MATCH($A370,'Budget révisé'!$A$2:$A$500,0),MATCH(I$2,'Budget révisé'!$A$2:$AO$2,0))</f>
        <v>0</v>
      </c>
      <c r="J370" s="221"/>
      <c r="K370" s="227"/>
      <c r="L370" s="275">
        <f>-SUMIFS(BV_Data_An_Cour!$O:$O,BV_Data_An_Cour!$U:$U,$B370,BV_Data_An_Cour!$V:$V,$C370,BV_Data_An_Cour!$W:$W,$L$2)</f>
        <v>0</v>
      </c>
      <c r="M370" s="221"/>
      <c r="N370" s="226">
        <f t="shared" si="195"/>
        <v>0</v>
      </c>
      <c r="O370" s="221"/>
      <c r="P370" s="227"/>
      <c r="Q370" s="275">
        <f>-SUMIFS(BV_Data_An_Prec!$O:$O,BV_Data_An_Prec!$U:$U,$B370,BV_Data_An_Prec!$V:$V,$C370,BV_Data_An_Prec!$W:$W,$L$2)</f>
        <v>0</v>
      </c>
      <c r="R370" s="221"/>
      <c r="S370" s="278">
        <f t="shared" si="196"/>
        <v>0</v>
      </c>
      <c r="T370" s="514"/>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
        <v>3229</v>
      </c>
      <c r="B371" s="24" t="s">
        <v>191</v>
      </c>
      <c r="C371" s="276" t="s">
        <v>116</v>
      </c>
      <c r="D371" s="256"/>
      <c r="E371" s="227"/>
      <c r="F371" s="238">
        <f>+INDEX('Budget original'!$A$2:$AO$500,MATCH($A371,'Budget original'!$A$2:$A$500,0),MATCH(F$2,'Budget original'!$A$2:$AO$2,0))</f>
        <v>0</v>
      </c>
      <c r="G371" s="277"/>
      <c r="H371" s="227"/>
      <c r="I371" s="238">
        <f>+INDEX('Budget révisé'!$A$2:$AO$500,MATCH($A371,'Budget révisé'!$A$2:$A$500,0),MATCH(I$2,'Budget révisé'!$A$2:$AO$2,0))</f>
        <v>0</v>
      </c>
      <c r="J371" s="221"/>
      <c r="K371" s="227"/>
      <c r="L371" s="238">
        <f>-SUMIFS(BV_Data_An_Cour!$O:$O,BV_Data_An_Cour!$U:$U,$B371,BV_Data_An_Cour!$V:$V,$C371,BV_Data_An_Cour!$W:$W,$L$2)</f>
        <v>0</v>
      </c>
      <c r="M371" s="221"/>
      <c r="N371" s="226">
        <f t="shared" si="195"/>
        <v>0</v>
      </c>
      <c r="O371" s="221"/>
      <c r="P371" s="227"/>
      <c r="Q371" s="238">
        <f>-SUMIFS(BV_Data_An_Prec!$O:$O,BV_Data_An_Prec!$U:$U,$B371,BV_Data_An_Prec!$V:$V,$C371,BV_Data_An_Prec!$W:$W,$L$2)</f>
        <v>0</v>
      </c>
      <c r="R371" s="221"/>
      <c r="S371" s="278">
        <f t="shared" si="196"/>
        <v>0</v>
      </c>
      <c r="T371" s="514"/>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
        <v>3230</v>
      </c>
      <c r="B372" s="24" t="s">
        <v>191</v>
      </c>
      <c r="C372" s="274" t="s">
        <v>117</v>
      </c>
      <c r="D372" s="279"/>
      <c r="E372" s="280"/>
      <c r="F372" s="225">
        <f>+INDEX('Budget original'!$A$2:$AO$500,MATCH($A372,'Budget original'!$A$2:$A$500,0),MATCH(F$2,'Budget original'!$A$2:$AO$2,0))</f>
        <v>0</v>
      </c>
      <c r="G372" s="281"/>
      <c r="H372" s="280"/>
      <c r="I372" s="225">
        <f>+INDEX('Budget révisé'!$A$2:$AO$500,MATCH($A372,'Budget révisé'!$A$2:$A$500,0),MATCH(I$2,'Budget révisé'!$A$2:$AO$2,0))</f>
        <v>0</v>
      </c>
      <c r="J372" s="282"/>
      <c r="K372" s="280"/>
      <c r="L372" s="275">
        <f>-SUMIFS(BV_Data_An_Cour!$O:$O,BV_Data_An_Cour!$U:$U,$B372,BV_Data_An_Cour!$V:$V,$C372,BV_Data_An_Cour!$W:$W,$L$2)</f>
        <v>0</v>
      </c>
      <c r="M372" s="282"/>
      <c r="N372" s="283">
        <f t="shared" si="195"/>
        <v>0</v>
      </c>
      <c r="O372" s="282"/>
      <c r="P372" s="280"/>
      <c r="Q372" s="275">
        <f>-SUMIFS(BV_Data_An_Prec!$O:$O,BV_Data_An_Prec!$U:$U,$B372,BV_Data_An_Prec!$V:$V,$C372,BV_Data_An_Prec!$W:$W,$L$2)</f>
        <v>0</v>
      </c>
      <c r="R372" s="282"/>
      <c r="S372" s="284">
        <f t="shared" si="196"/>
        <v>0</v>
      </c>
      <c r="T372" s="514"/>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
        <v>3231</v>
      </c>
      <c r="B373" s="24" t="s">
        <v>191</v>
      </c>
      <c r="C373" s="274" t="s">
        <v>118</v>
      </c>
      <c r="D373" s="256"/>
      <c r="E373" s="227"/>
      <c r="F373" s="225">
        <f>+INDEX('Budget original'!$A$2:$AO$500,MATCH($A373,'Budget original'!$A$2:$A$500,0),MATCH(F$2,'Budget original'!$A$2:$AO$2,0))</f>
        <v>0</v>
      </c>
      <c r="G373" s="277"/>
      <c r="H373" s="227"/>
      <c r="I373" s="225">
        <f>+INDEX('Budget révisé'!$A$2:$AO$500,MATCH($A373,'Budget révisé'!$A$2:$A$500,0),MATCH(I$2,'Budget révisé'!$A$2:$AO$2,0))</f>
        <v>0</v>
      </c>
      <c r="J373" s="221"/>
      <c r="K373" s="227"/>
      <c r="L373" s="275">
        <f>-SUMIFS(BV_Data_An_Cour!$O:$O,BV_Data_An_Cour!$U:$U,$B373,BV_Data_An_Cour!$V:$V,$C373,BV_Data_An_Cour!$W:$W,$L$2)</f>
        <v>0</v>
      </c>
      <c r="M373" s="221"/>
      <c r="N373" s="226">
        <f t="shared" si="195"/>
        <v>0</v>
      </c>
      <c r="O373" s="221"/>
      <c r="P373" s="227"/>
      <c r="Q373" s="275">
        <f>-SUMIFS(BV_Data_An_Prec!$O:$O,BV_Data_An_Prec!$U:$U,$B373,BV_Data_An_Prec!$V:$V,$C373,BV_Data_An_Prec!$W:$W,$L$2)</f>
        <v>0</v>
      </c>
      <c r="R373" s="221"/>
      <c r="S373" s="278">
        <f t="shared" si="196"/>
        <v>0</v>
      </c>
      <c r="T373" s="514"/>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
        <v>3232</v>
      </c>
      <c r="B374" s="24" t="s">
        <v>191</v>
      </c>
      <c r="C374" s="274" t="s">
        <v>119</v>
      </c>
      <c r="D374" s="256"/>
      <c r="E374" s="227"/>
      <c r="F374" s="225">
        <f>+INDEX('Budget original'!$A$2:$AO$500,MATCH($A374,'Budget original'!$A$2:$A$500,0),MATCH(F$2,'Budget original'!$A$2:$AO$2,0))</f>
        <v>0</v>
      </c>
      <c r="G374" s="277"/>
      <c r="H374" s="227"/>
      <c r="I374" s="225">
        <f>+INDEX('Budget révisé'!$A$2:$AO$500,MATCH($A374,'Budget révisé'!$A$2:$A$500,0),MATCH(I$2,'Budget révisé'!$A$2:$AO$2,0))</f>
        <v>0</v>
      </c>
      <c r="J374" s="221"/>
      <c r="K374" s="227"/>
      <c r="L374" s="275">
        <f>-SUMIFS(BV_Data_An_Cour!$O:$O,BV_Data_An_Cour!$U:$U,$B374,BV_Data_An_Cour!$V:$V,$C374,BV_Data_An_Cour!$W:$W,$L$2)</f>
        <v>0</v>
      </c>
      <c r="M374" s="221"/>
      <c r="N374" s="226">
        <f t="shared" si="195"/>
        <v>0</v>
      </c>
      <c r="O374" s="221"/>
      <c r="P374" s="227"/>
      <c r="Q374" s="275">
        <f>-SUMIFS(BV_Data_An_Prec!$O:$O,BV_Data_An_Prec!$U:$U,$B374,BV_Data_An_Prec!$V:$V,$C374,BV_Data_An_Prec!$W:$W,$L$2)</f>
        <v>0</v>
      </c>
      <c r="R374" s="221"/>
      <c r="S374" s="278">
        <f t="shared" si="196"/>
        <v>0</v>
      </c>
      <c r="T374" s="514"/>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64" t="s">
        <v>3228</v>
      </c>
      <c r="B375" s="24" t="s">
        <v>191</v>
      </c>
      <c r="C375" s="285" t="s">
        <v>42</v>
      </c>
      <c r="D375" s="286"/>
      <c r="E375" s="287"/>
      <c r="F375" s="225">
        <f>+INDEX('Budget original'!$A$2:$AO$500,MATCH($A375,'Budget original'!$A$2:$A$500,0),MATCH(F$2,'Budget original'!$A$2:$AO$2,0))</f>
        <v>0</v>
      </c>
      <c r="G375" s="288"/>
      <c r="H375" s="287"/>
      <c r="I375" s="225">
        <f>+INDEX('Budget révisé'!$A$2:$AO$500,MATCH($A375,'Budget révisé'!$A$2:$A$500,0),MATCH(I$2,'Budget révisé'!$A$2:$AO$2,0))</f>
        <v>0</v>
      </c>
      <c r="J375" s="289"/>
      <c r="K375" s="287"/>
      <c r="L375" s="275">
        <f>-SUMIFS(BV_Data_An_Cour!$O:$O,BV_Data_An_Cour!$U:$U,$B375,BV_Data_An_Cour!$V:$V,$C375,BV_Data_An_Cour!$W:$W,$L$2)</f>
        <v>0</v>
      </c>
      <c r="M375" s="289"/>
      <c r="N375" s="290">
        <f t="shared" si="195"/>
        <v>0</v>
      </c>
      <c r="O375" s="289"/>
      <c r="P375" s="287"/>
      <c r="Q375" s="275">
        <f>-SUMIFS(BV_Data_An_Prec!$O:$O,BV_Data_An_Prec!$U:$U,$B375,BV_Data_An_Prec!$V:$V,$C375,BV_Data_An_Prec!$W:$W,$L$2)</f>
        <v>0</v>
      </c>
      <c r="R375" s="289"/>
      <c r="S375" s="291">
        <f t="shared" si="196"/>
        <v>0</v>
      </c>
      <c r="T375" s="514"/>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
        <v>3233</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5"/>
        <v>0</v>
      </c>
      <c r="O376" s="42" t="s">
        <v>111</v>
      </c>
      <c r="P376" s="40">
        <f>IFERROR(Q376/Q$359,0)</f>
        <v>0</v>
      </c>
      <c r="Q376" s="41">
        <f>+SUM(Q364:Q375)</f>
        <v>0</v>
      </c>
      <c r="R376" s="43"/>
      <c r="S376" s="293">
        <f t="shared" si="196"/>
        <v>0</v>
      </c>
      <c r="T376" s="514"/>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
        <v>3234</v>
      </c>
      <c r="B377" s="24" t="s">
        <v>191</v>
      </c>
      <c r="C377" s="294" t="s">
        <v>121</v>
      </c>
      <c r="D377" s="295"/>
      <c r="E377" s="172"/>
      <c r="F377" s="173">
        <f>+INDEX('Budget original'!$A$2:$AO$500,MATCH($A377,'Budget original'!$A$2:$A$500,0),MATCH(F$2,'Budget original'!$A$2:$AO$2,0))</f>
        <v>0</v>
      </c>
      <c r="G377" s="296"/>
      <c r="H377" s="172"/>
      <c r="I377" s="173">
        <f>+INDEX('Budget révisé'!$A$2:$AO$500,MATCH($A377,'Budget révisé'!$A$2:$A$500,0),MATCH(I$2,'Budget révisé'!$A$2:$AO$2,0))</f>
        <v>0</v>
      </c>
      <c r="J377" s="297"/>
      <c r="K377" s="172"/>
      <c r="L377" s="174">
        <f>-SUMIFS(BV_Data_An_Cour!$O:$O,BV_Data_An_Cour!$U:$U,$B377,BV_Data_An_Cour!$V:$V,$C377,BV_Data_An_Cour!$W:$W,$L$2)</f>
        <v>0</v>
      </c>
      <c r="M377" s="297"/>
      <c r="N377" s="298">
        <f t="shared" si="195"/>
        <v>0</v>
      </c>
      <c r="O377" s="297"/>
      <c r="P377" s="172"/>
      <c r="Q377" s="174">
        <f>-SUMIFS(BV_Data_An_Prec!$O:$O,BV_Data_An_Prec!$U:$U,$B377,BV_Data_An_Prec!$V:$V,$C377,BV_Data_An_Prec!$W:$W,$L$2)</f>
        <v>0</v>
      </c>
      <c r="R377" s="297"/>
      <c r="S377" s="193">
        <f t="shared" si="196"/>
        <v>0</v>
      </c>
      <c r="T377" s="514"/>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
        <v>3235</v>
      </c>
      <c r="B378" s="24" t="s">
        <v>191</v>
      </c>
      <c r="C378" s="299" t="s">
        <v>122</v>
      </c>
      <c r="D378" s="295"/>
      <c r="E378" s="172"/>
      <c r="F378" s="173">
        <f>+INDEX('Budget original'!$A$2:$AO$500,MATCH($A378,'Budget original'!$A$2:$A$500,0),MATCH(F$2,'Budget original'!$A$2:$AO$2,0))</f>
        <v>0</v>
      </c>
      <c r="G378" s="296"/>
      <c r="H378" s="172"/>
      <c r="I378" s="173">
        <f>+INDEX('Budget révisé'!$A$2:$AO$500,MATCH($A378,'Budget révisé'!$A$2:$A$500,0),MATCH(I$2,'Budget révisé'!$A$2:$AO$2,0))</f>
        <v>0</v>
      </c>
      <c r="J378" s="297"/>
      <c r="K378" s="172"/>
      <c r="L378" s="174">
        <f>-SUMIFS(BV_Data_An_Cour!$O:$O,BV_Data_An_Cour!$U:$U,$B378,BV_Data_An_Cour!$V:$V,$C378,BV_Data_An_Cour!$W:$W,$L$2)</f>
        <v>0</v>
      </c>
      <c r="M378" s="297"/>
      <c r="N378" s="298">
        <f t="shared" si="195"/>
        <v>0</v>
      </c>
      <c r="O378" s="297"/>
      <c r="P378" s="172"/>
      <c r="Q378" s="174">
        <f>-SUMIFS(BV_Data_An_Prec!$O:$O,BV_Data_An_Prec!$U:$U,$B378,BV_Data_An_Prec!$V:$V,$C378,BV_Data_An_Prec!$W:$W,$L$2)</f>
        <v>0</v>
      </c>
      <c r="R378" s="297"/>
      <c r="S378" s="193">
        <f t="shared" si="196"/>
        <v>0</v>
      </c>
      <c r="T378" s="514"/>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
        <v>3236</v>
      </c>
      <c r="B379" s="24" t="s">
        <v>191</v>
      </c>
      <c r="C379" s="300" t="s">
        <v>123</v>
      </c>
      <c r="D379" s="301"/>
      <c r="E379" s="302"/>
      <c r="F379" s="171">
        <f>+INDEX('Budget original'!$A$2:$AO$500,MATCH($A379,'Budget original'!$A$2:$A$500,0),MATCH(F$2,'Budget original'!$A$2:$AO$2,0))</f>
        <v>0</v>
      </c>
      <c r="G379" s="303"/>
      <c r="H379" s="302"/>
      <c r="I379" s="171">
        <f>+INDEX('Budget révisé'!$A$2:$AO$500,MATCH($A379,'Budget révisé'!$A$2:$A$500,0),MATCH(I$2,'Budget révisé'!$A$2:$AO$2,0))</f>
        <v>0</v>
      </c>
      <c r="J379" s="304"/>
      <c r="K379" s="302"/>
      <c r="L379" s="171">
        <f>-SUMIFS(BV_Data_An_Cour!$O:$O,BV_Data_An_Cour!$U:$U,$B379,BV_Data_An_Cour!$V:$V,$C379,BV_Data_An_Cour!$W:$W,$L$2)</f>
        <v>0</v>
      </c>
      <c r="M379" s="304"/>
      <c r="N379" s="305">
        <f t="shared" si="195"/>
        <v>0</v>
      </c>
      <c r="O379" s="304"/>
      <c r="P379" s="302"/>
      <c r="Q379" s="171">
        <f>-SUMIFS(BV_Data_An_Prec!$O:$O,BV_Data_An_Prec!$U:$U,$B379,BV_Data_An_Prec!$V:$V,$C379,BV_Data_An_Prec!$W:$W,$L$2)</f>
        <v>0</v>
      </c>
      <c r="R379" s="304"/>
      <c r="S379" s="196">
        <f t="shared" si="196"/>
        <v>0</v>
      </c>
      <c r="T379" s="514"/>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
        <v>3237</v>
      </c>
      <c r="B380" s="24" t="s">
        <v>191</v>
      </c>
      <c r="C380" s="299" t="s">
        <v>124</v>
      </c>
      <c r="D380" s="295"/>
      <c r="E380" s="172"/>
      <c r="F380" s="173">
        <f>+INDEX('Budget original'!$A$2:$AO$500,MATCH($A380,'Budget original'!$A$2:$A$500,0),MATCH(F$2,'Budget original'!$A$2:$AO$2,0))</f>
        <v>0</v>
      </c>
      <c r="G380" s="296"/>
      <c r="H380" s="172"/>
      <c r="I380" s="173">
        <f>+INDEX('Budget révisé'!$A$2:$AO$500,MATCH($A380,'Budget révisé'!$A$2:$A$500,0),MATCH(I$2,'Budget révisé'!$A$2:$AO$2,0))</f>
        <v>0</v>
      </c>
      <c r="J380" s="297"/>
      <c r="K380" s="172"/>
      <c r="L380" s="174">
        <f>-SUMIFS(BV_Data_An_Cour!$O:$O,BV_Data_An_Cour!$U:$U,$B380,BV_Data_An_Cour!$V:$V,$C380,BV_Data_An_Cour!$W:$W,$L$2)</f>
        <v>0</v>
      </c>
      <c r="M380" s="297"/>
      <c r="N380" s="298">
        <f t="shared" si="195"/>
        <v>0</v>
      </c>
      <c r="O380" s="297"/>
      <c r="P380" s="172"/>
      <c r="Q380" s="174">
        <f>-SUMIFS(BV_Data_An_Prec!$O:$O,BV_Data_An_Prec!$U:$U,$B380,BV_Data_An_Prec!$V:$V,$C380,BV_Data_An_Prec!$W:$W,$L$2)</f>
        <v>0</v>
      </c>
      <c r="R380" s="297"/>
      <c r="S380" s="193">
        <f t="shared" si="196"/>
        <v>0</v>
      </c>
      <c r="T380" s="514"/>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
        <v>3238</v>
      </c>
      <c r="B381" s="24" t="s">
        <v>191</v>
      </c>
      <c r="C381" s="299" t="s">
        <v>125</v>
      </c>
      <c r="D381" s="295"/>
      <c r="E381" s="172"/>
      <c r="F381" s="173">
        <f>+INDEX('Budget original'!$A$2:$AO$500,MATCH($A381,'Budget original'!$A$2:$A$500,0),MATCH(F$2,'Budget original'!$A$2:$AO$2,0))</f>
        <v>0</v>
      </c>
      <c r="G381" s="296"/>
      <c r="H381" s="172"/>
      <c r="I381" s="173">
        <f>+INDEX('Budget révisé'!$A$2:$AO$500,MATCH($A381,'Budget révisé'!$A$2:$A$500,0),MATCH(I$2,'Budget révisé'!$A$2:$AO$2,0))</f>
        <v>0</v>
      </c>
      <c r="J381" s="297"/>
      <c r="K381" s="172"/>
      <c r="L381" s="174">
        <f>-SUMIFS(BV_Data_An_Cour!$O:$O,BV_Data_An_Cour!$U:$U,$B381,BV_Data_An_Cour!$V:$V,$C381,BV_Data_An_Cour!$W:$W,$L$2)</f>
        <v>0</v>
      </c>
      <c r="M381" s="297"/>
      <c r="N381" s="298">
        <f t="shared" si="195"/>
        <v>0</v>
      </c>
      <c r="O381" s="297"/>
      <c r="P381" s="172"/>
      <c r="Q381" s="174">
        <f>-SUMIFS(BV_Data_An_Prec!$O:$O,BV_Data_An_Prec!$U:$U,$B381,BV_Data_An_Prec!$V:$V,$C381,BV_Data_An_Prec!$W:$W,$L$2)</f>
        <v>0</v>
      </c>
      <c r="R381" s="297"/>
      <c r="S381" s="193">
        <f t="shared" si="196"/>
        <v>0</v>
      </c>
      <c r="T381" s="514"/>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
        <v>3239</v>
      </c>
      <c r="B382" s="24" t="s">
        <v>191</v>
      </c>
      <c r="C382" s="299" t="s">
        <v>126</v>
      </c>
      <c r="D382" s="301"/>
      <c r="E382" s="302"/>
      <c r="F382" s="171">
        <f>+INDEX('Budget original'!$A$2:$AO$500,MATCH($A382,'Budget original'!$A$2:$A$500,0),MATCH(F$2,'Budget original'!$A$2:$AO$2,0))</f>
        <v>0</v>
      </c>
      <c r="G382" s="303"/>
      <c r="H382" s="302"/>
      <c r="I382" s="171">
        <f>+INDEX('Budget révisé'!$A$2:$AO$500,MATCH($A382,'Budget révisé'!$A$2:$A$500,0),MATCH(I$2,'Budget révisé'!$A$2:$AO$2,0))</f>
        <v>0</v>
      </c>
      <c r="J382" s="304"/>
      <c r="K382" s="302"/>
      <c r="L382" s="171">
        <f>-SUMIFS(BV_Data_An_Cour!$O:$O,BV_Data_An_Cour!$U:$U,$B382,BV_Data_An_Cour!$V:$V,$C382,BV_Data_An_Cour!$W:$W,$L$2)</f>
        <v>0</v>
      </c>
      <c r="M382" s="304"/>
      <c r="N382" s="305">
        <f t="shared" si="195"/>
        <v>0</v>
      </c>
      <c r="O382" s="304"/>
      <c r="P382" s="302"/>
      <c r="Q382" s="171">
        <f>-SUMIFS(BV_Data_An_Prec!$O:$O,BV_Data_An_Prec!$U:$U,$B382,BV_Data_An_Prec!$V:$V,$C382,BV_Data_An_Prec!$W:$W,$L$2)</f>
        <v>0</v>
      </c>
      <c r="R382" s="304"/>
      <c r="S382" s="196">
        <f t="shared" si="196"/>
        <v>0</v>
      </c>
      <c r="T382" s="514"/>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
        <v>3240</v>
      </c>
      <c r="B383" s="24" t="s">
        <v>191</v>
      </c>
      <c r="C383" s="294" t="s">
        <v>127</v>
      </c>
      <c r="D383" s="295"/>
      <c r="E383" s="172"/>
      <c r="F383" s="173">
        <f>+INDEX('Budget original'!$A$2:$AO$500,MATCH($A383,'Budget original'!$A$2:$A$500,0),MATCH(F$2,'Budget original'!$A$2:$AO$2,0))</f>
        <v>0</v>
      </c>
      <c r="G383" s="296"/>
      <c r="H383" s="172"/>
      <c r="I383" s="173">
        <f>+INDEX('Budget révisé'!$A$2:$AO$500,MATCH($A383,'Budget révisé'!$A$2:$A$500,0),MATCH(I$2,'Budget révisé'!$A$2:$AO$2,0))</f>
        <v>0</v>
      </c>
      <c r="J383" s="297"/>
      <c r="K383" s="172"/>
      <c r="L383" s="174">
        <f>-SUMIFS(BV_Data_An_Cour!$O:$O,BV_Data_An_Cour!$U:$U,$B383,BV_Data_An_Cour!$V:$V,$C383,BV_Data_An_Cour!$W:$W,$L$2)</f>
        <v>0</v>
      </c>
      <c r="M383" s="297"/>
      <c r="N383" s="298">
        <f t="shared" si="195"/>
        <v>0</v>
      </c>
      <c r="O383" s="297"/>
      <c r="P383" s="172"/>
      <c r="Q383" s="174">
        <f>-SUMIFS(BV_Data_An_Prec!$O:$O,BV_Data_An_Prec!$U:$U,$B383,BV_Data_An_Prec!$V:$V,$C383,BV_Data_An_Prec!$W:$W,$L$2)</f>
        <v>0</v>
      </c>
      <c r="R383" s="297"/>
      <c r="S383" s="193">
        <f t="shared" si="196"/>
        <v>0</v>
      </c>
      <c r="T383" s="514"/>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
        <v>3241</v>
      </c>
      <c r="B384" s="24" t="s">
        <v>191</v>
      </c>
      <c r="C384" s="299" t="s">
        <v>128</v>
      </c>
      <c r="D384" s="295"/>
      <c r="E384" s="172"/>
      <c r="F384" s="173">
        <f>+INDEX('Budget original'!$A$2:$AO$500,MATCH($A384,'Budget original'!$A$2:$A$500,0),MATCH(F$2,'Budget original'!$A$2:$AO$2,0))</f>
        <v>0</v>
      </c>
      <c r="G384" s="296"/>
      <c r="H384" s="172"/>
      <c r="I384" s="173">
        <f>+INDEX('Budget révisé'!$A$2:$AO$500,MATCH($A384,'Budget révisé'!$A$2:$A$500,0),MATCH(I$2,'Budget révisé'!$A$2:$AO$2,0))</f>
        <v>0</v>
      </c>
      <c r="J384" s="297"/>
      <c r="K384" s="172"/>
      <c r="L384" s="174">
        <f>-SUMIFS(BV_Data_An_Cour!$O:$O,BV_Data_An_Cour!$U:$U,$B384,BV_Data_An_Cour!$V:$V,$C384,BV_Data_An_Cour!$W:$W,$L$2)</f>
        <v>0</v>
      </c>
      <c r="M384" s="297"/>
      <c r="N384" s="298">
        <f t="shared" si="195"/>
        <v>0</v>
      </c>
      <c r="O384" s="297"/>
      <c r="P384" s="172"/>
      <c r="Q384" s="174">
        <f>-SUMIFS(BV_Data_An_Prec!$O:$O,BV_Data_An_Prec!$U:$U,$B384,BV_Data_An_Prec!$V:$V,$C384,BV_Data_An_Prec!$W:$W,$L$2)</f>
        <v>0</v>
      </c>
      <c r="R384" s="297"/>
      <c r="S384" s="193">
        <f t="shared" si="196"/>
        <v>0</v>
      </c>
      <c r="T384" s="514"/>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
        <v>3242</v>
      </c>
      <c r="B385" s="24" t="s">
        <v>191</v>
      </c>
      <c r="C385" s="299" t="s">
        <v>129</v>
      </c>
      <c r="D385" s="295"/>
      <c r="E385" s="172"/>
      <c r="F385" s="173">
        <f>+INDEX('Budget original'!$A$2:$AO$500,MATCH($A385,'Budget original'!$A$2:$A$500,0),MATCH(F$2,'Budget original'!$A$2:$AO$2,0))</f>
        <v>0</v>
      </c>
      <c r="G385" s="296"/>
      <c r="H385" s="172"/>
      <c r="I385" s="173">
        <f>+INDEX('Budget révisé'!$A$2:$AO$500,MATCH($A385,'Budget révisé'!$A$2:$A$500,0),MATCH(I$2,'Budget révisé'!$A$2:$AO$2,0))</f>
        <v>0</v>
      </c>
      <c r="J385" s="297"/>
      <c r="K385" s="172"/>
      <c r="L385" s="174">
        <f>-SUMIFS(BV_Data_An_Cour!$O:$O,BV_Data_An_Cour!$U:$U,$B385,BV_Data_An_Cour!$V:$V,$C385,BV_Data_An_Cour!$W:$W,$L$2)</f>
        <v>0</v>
      </c>
      <c r="M385" s="297"/>
      <c r="N385" s="298">
        <f t="shared" si="195"/>
        <v>0</v>
      </c>
      <c r="O385" s="297"/>
      <c r="P385" s="172"/>
      <c r="Q385" s="174">
        <f>-SUMIFS(BV_Data_An_Prec!$O:$O,BV_Data_An_Prec!$U:$U,$B385,BV_Data_An_Prec!$V:$V,$C385,BV_Data_An_Prec!$W:$W,$L$2)</f>
        <v>0</v>
      </c>
      <c r="R385" s="297"/>
      <c r="S385" s="193">
        <f t="shared" si="196"/>
        <v>0</v>
      </c>
      <c r="T385" s="514"/>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
        <v>3243</v>
      </c>
      <c r="B386" s="24" t="s">
        <v>191</v>
      </c>
      <c r="C386" s="299" t="s">
        <v>130</v>
      </c>
      <c r="D386" s="295"/>
      <c r="E386" s="172"/>
      <c r="F386" s="173">
        <f>+INDEX('Budget original'!$A$2:$AO$500,MATCH($A386,'Budget original'!$A$2:$A$500,0),MATCH(F$2,'Budget original'!$A$2:$AO$2,0))</f>
        <v>0</v>
      </c>
      <c r="G386" s="296"/>
      <c r="H386" s="172"/>
      <c r="I386" s="173">
        <f>+INDEX('Budget révisé'!$A$2:$AO$500,MATCH($A386,'Budget révisé'!$A$2:$A$500,0),MATCH(I$2,'Budget révisé'!$A$2:$AO$2,0))</f>
        <v>0</v>
      </c>
      <c r="J386" s="297"/>
      <c r="K386" s="172"/>
      <c r="L386" s="174">
        <f>-SUMIFS(BV_Data_An_Cour!$O:$O,BV_Data_An_Cour!$U:$U,$B386,BV_Data_An_Cour!$V:$V,$C386,BV_Data_An_Cour!$W:$W,$L$2)</f>
        <v>0</v>
      </c>
      <c r="M386" s="297"/>
      <c r="N386" s="298">
        <f t="shared" si="195"/>
        <v>0</v>
      </c>
      <c r="O386" s="297"/>
      <c r="P386" s="172"/>
      <c r="Q386" s="174">
        <f>-SUMIFS(BV_Data_An_Prec!$O:$O,BV_Data_An_Prec!$U:$U,$B386,BV_Data_An_Prec!$V:$V,$C386,BV_Data_An_Prec!$W:$W,$L$2)</f>
        <v>0</v>
      </c>
      <c r="R386" s="297"/>
      <c r="S386" s="193">
        <f t="shared" si="196"/>
        <v>0</v>
      </c>
      <c r="T386" s="514"/>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
        <v>3244</v>
      </c>
      <c r="B387" s="24" t="s">
        <v>191</v>
      </c>
      <c r="C387" s="299" t="s">
        <v>131</v>
      </c>
      <c r="D387" s="295"/>
      <c r="E387" s="172"/>
      <c r="F387" s="173">
        <f>+INDEX('Budget original'!$A$2:$AO$500,MATCH($A387,'Budget original'!$A$2:$A$500,0),MATCH(F$2,'Budget original'!$A$2:$AO$2,0))</f>
        <v>0</v>
      </c>
      <c r="G387" s="296"/>
      <c r="H387" s="172"/>
      <c r="I387" s="173">
        <f>+INDEX('Budget révisé'!$A$2:$AO$500,MATCH($A387,'Budget révisé'!$A$2:$A$500,0),MATCH(I$2,'Budget révisé'!$A$2:$AO$2,0))</f>
        <v>0</v>
      </c>
      <c r="J387" s="297"/>
      <c r="K387" s="172"/>
      <c r="L387" s="174">
        <f>-SUMIFS(BV_Data_An_Cour!$O:$O,BV_Data_An_Cour!$U:$U,$B387,BV_Data_An_Cour!$V:$V,$C387,BV_Data_An_Cour!$W:$W,$L$2)</f>
        <v>0</v>
      </c>
      <c r="M387" s="297"/>
      <c r="N387" s="298">
        <f t="shared" si="195"/>
        <v>0</v>
      </c>
      <c r="O387" s="297"/>
      <c r="P387" s="172"/>
      <c r="Q387" s="174">
        <f>-SUMIFS(BV_Data_An_Prec!$O:$O,BV_Data_An_Prec!$U:$U,$B387,BV_Data_An_Prec!$V:$V,$C387,BV_Data_An_Prec!$W:$W,$L$2)</f>
        <v>0</v>
      </c>
      <c r="R387" s="297"/>
      <c r="S387" s="193">
        <f t="shared" si="196"/>
        <v>0</v>
      </c>
      <c r="T387" s="514"/>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
        <v>3245</v>
      </c>
      <c r="B388" s="24" t="s">
        <v>191</v>
      </c>
      <c r="C388" s="299" t="s">
        <v>132</v>
      </c>
      <c r="D388" s="295"/>
      <c r="E388" s="172"/>
      <c r="F388" s="173">
        <f>+INDEX('Budget original'!$A$2:$AO$500,MATCH($A388,'Budget original'!$A$2:$A$500,0),MATCH(F$2,'Budget original'!$A$2:$AO$2,0))</f>
        <v>0</v>
      </c>
      <c r="G388" s="296"/>
      <c r="H388" s="172"/>
      <c r="I388" s="173">
        <f>+INDEX('Budget révisé'!$A$2:$AO$500,MATCH($A388,'Budget révisé'!$A$2:$A$500,0),MATCH(I$2,'Budget révisé'!$A$2:$AO$2,0))</f>
        <v>0</v>
      </c>
      <c r="J388" s="297"/>
      <c r="K388" s="172"/>
      <c r="L388" s="174">
        <f>-SUMIFS(BV_Data_An_Cour!$O:$O,BV_Data_An_Cour!$U:$U,$B388,BV_Data_An_Cour!$V:$V,$C388,BV_Data_An_Cour!$W:$W,$L$2)</f>
        <v>0</v>
      </c>
      <c r="M388" s="297"/>
      <c r="N388" s="298">
        <f t="shared" si="195"/>
        <v>0</v>
      </c>
      <c r="O388" s="297"/>
      <c r="P388" s="172"/>
      <c r="Q388" s="174">
        <f>-SUMIFS(BV_Data_An_Prec!$O:$O,BV_Data_An_Prec!$U:$U,$B388,BV_Data_An_Prec!$V:$V,$C388,BV_Data_An_Prec!$W:$W,$L$2)</f>
        <v>0</v>
      </c>
      <c r="R388" s="297"/>
      <c r="S388" s="193">
        <f t="shared" si="196"/>
        <v>0</v>
      </c>
      <c r="T388" s="514"/>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
        <v>3246</v>
      </c>
      <c r="B389" s="24" t="s">
        <v>191</v>
      </c>
      <c r="C389" s="299" t="s">
        <v>133</v>
      </c>
      <c r="D389" s="295"/>
      <c r="E389" s="172"/>
      <c r="F389" s="173">
        <f>+INDEX('Budget original'!$A$2:$AO$500,MATCH($A389,'Budget original'!$A$2:$A$500,0),MATCH(F$2,'Budget original'!$A$2:$AO$2,0))</f>
        <v>0</v>
      </c>
      <c r="G389" s="296"/>
      <c r="H389" s="172"/>
      <c r="I389" s="173">
        <f>+INDEX('Budget révisé'!$A$2:$AO$500,MATCH($A389,'Budget révisé'!$A$2:$A$500,0),MATCH(I$2,'Budget révisé'!$A$2:$AO$2,0))</f>
        <v>0</v>
      </c>
      <c r="J389" s="297"/>
      <c r="K389" s="172"/>
      <c r="L389" s="174">
        <f>-SUMIFS(BV_Data_An_Cour!$O:$O,BV_Data_An_Cour!$U:$U,$B389,BV_Data_An_Cour!$V:$V,$C389,BV_Data_An_Cour!$W:$W,$L$2)</f>
        <v>0</v>
      </c>
      <c r="M389" s="297"/>
      <c r="N389" s="298">
        <f t="shared" si="195"/>
        <v>0</v>
      </c>
      <c r="O389" s="297"/>
      <c r="P389" s="172"/>
      <c r="Q389" s="174">
        <f>-SUMIFS(BV_Data_An_Prec!$O:$O,BV_Data_An_Prec!$U:$U,$B389,BV_Data_An_Prec!$V:$V,$C389,BV_Data_An_Prec!$W:$W,$L$2)</f>
        <v>0</v>
      </c>
      <c r="R389" s="297"/>
      <c r="S389" s="193">
        <f t="shared" si="196"/>
        <v>0</v>
      </c>
      <c r="T389" s="514"/>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
        <v>3247</v>
      </c>
      <c r="B390" s="24" t="s">
        <v>191</v>
      </c>
      <c r="C390" s="299" t="s">
        <v>134</v>
      </c>
      <c r="D390" s="295"/>
      <c r="E390" s="172"/>
      <c r="F390" s="173">
        <f>+INDEX('Budget original'!$A$2:$AO$500,MATCH($A390,'Budget original'!$A$2:$A$500,0),MATCH(F$2,'Budget original'!$A$2:$AO$2,0))</f>
        <v>0</v>
      </c>
      <c r="G390" s="296"/>
      <c r="H390" s="172"/>
      <c r="I390" s="173">
        <f>+INDEX('Budget révisé'!$A$2:$AO$500,MATCH($A390,'Budget révisé'!$A$2:$A$500,0),MATCH(I$2,'Budget révisé'!$A$2:$AO$2,0))</f>
        <v>0</v>
      </c>
      <c r="J390" s="297"/>
      <c r="K390" s="172"/>
      <c r="L390" s="174">
        <f>-SUMIFS(BV_Data_An_Cour!$O:$O,BV_Data_An_Cour!$U:$U,$B390,BV_Data_An_Cour!$V:$V,$C390,BV_Data_An_Cour!$W:$W,$L$2)</f>
        <v>0</v>
      </c>
      <c r="M390" s="297"/>
      <c r="N390" s="298">
        <f t="shared" si="195"/>
        <v>0</v>
      </c>
      <c r="O390" s="297"/>
      <c r="P390" s="172"/>
      <c r="Q390" s="174">
        <f>-SUMIFS(BV_Data_An_Prec!$O:$O,BV_Data_An_Prec!$U:$U,$B390,BV_Data_An_Prec!$V:$V,$C390,BV_Data_An_Prec!$W:$W,$L$2)</f>
        <v>0</v>
      </c>
      <c r="R390" s="297"/>
      <c r="S390" s="193">
        <f t="shared" si="196"/>
        <v>0</v>
      </c>
      <c r="T390" s="514"/>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64" t="s">
        <v>3228</v>
      </c>
      <c r="B391" s="24" t="s">
        <v>191</v>
      </c>
      <c r="C391" s="299" t="s">
        <v>42</v>
      </c>
      <c r="D391" s="295"/>
      <c r="E391" s="172"/>
      <c r="F391" s="173">
        <f>+INDEX('Budget original'!$A$2:$AO$500,MATCH($A391,'Budget original'!$A$2:$A$500,0),MATCH(F$2,'Budget original'!$A$2:$AO$2,0))</f>
        <v>0</v>
      </c>
      <c r="G391" s="296"/>
      <c r="H391" s="172"/>
      <c r="I391" s="173">
        <f>+INDEX('Budget révisé'!$A$2:$AO$500,MATCH($A391,'Budget révisé'!$A$2:$A$500,0),MATCH(I$2,'Budget révisé'!$A$2:$AO$2,0))</f>
        <v>0</v>
      </c>
      <c r="J391" s="297"/>
      <c r="K391" s="172"/>
      <c r="L391" s="174">
        <f>-SUMIFS(BV_Data_An_Cour!$O:$O,BV_Data_An_Cour!$U:$U,$B391,BV_Data_An_Cour!$V:$V,$C391,BV_Data_An_Cour!$W:$W,$L$2)</f>
        <v>0</v>
      </c>
      <c r="M391" s="297"/>
      <c r="N391" s="298">
        <f t="shared" si="195"/>
        <v>0</v>
      </c>
      <c r="O391" s="297"/>
      <c r="P391" s="172"/>
      <c r="Q391" s="174">
        <f>-SUMIFS(BV_Data_An_Prec!$O:$O,BV_Data_An_Prec!$U:$U,$B391,BV_Data_An_Prec!$V:$V,$C391,BV_Data_An_Prec!$W:$W,$L$2)</f>
        <v>0</v>
      </c>
      <c r="R391" s="297"/>
      <c r="S391" s="193">
        <f t="shared" si="196"/>
        <v>0</v>
      </c>
      <c r="T391" s="514"/>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64" t="s">
        <v>3228</v>
      </c>
      <c r="B392" s="24" t="s">
        <v>191</v>
      </c>
      <c r="C392" s="299" t="s">
        <v>42</v>
      </c>
      <c r="D392" s="295"/>
      <c r="E392" s="172"/>
      <c r="F392" s="173">
        <f>+INDEX('Budget original'!$A$2:$AO$500,MATCH($A392,'Budget original'!$A$2:$A$500,0),MATCH(F$2,'Budget original'!$A$2:$AO$2,0))</f>
        <v>0</v>
      </c>
      <c r="G392" s="296"/>
      <c r="H392" s="172"/>
      <c r="I392" s="173">
        <f>+INDEX('Budget révisé'!$A$2:$AO$500,MATCH($A392,'Budget révisé'!$A$2:$A$500,0),MATCH(I$2,'Budget révisé'!$A$2:$AO$2,0))</f>
        <v>0</v>
      </c>
      <c r="J392" s="297"/>
      <c r="K392" s="172"/>
      <c r="L392" s="174">
        <f>-SUMIFS(BV_Data_An_Cour!$O:$O,BV_Data_An_Cour!$U:$U,$B392,BV_Data_An_Cour!$V:$V,$C392,BV_Data_An_Cour!$W:$W,$L$2)</f>
        <v>0</v>
      </c>
      <c r="M392" s="297"/>
      <c r="N392" s="298">
        <f t="shared" si="195"/>
        <v>0</v>
      </c>
      <c r="O392" s="297"/>
      <c r="P392" s="172"/>
      <c r="Q392" s="174">
        <f>-SUMIFS(BV_Data_An_Prec!$O:$O,BV_Data_An_Prec!$U:$U,$B392,BV_Data_An_Prec!$V:$V,$C392,BV_Data_An_Prec!$W:$W,$L$2)</f>
        <v>0</v>
      </c>
      <c r="R392" s="297"/>
      <c r="S392" s="193">
        <f t="shared" si="196"/>
        <v>0</v>
      </c>
      <c r="T392" s="514"/>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64" t="s">
        <v>3228</v>
      </c>
      <c r="B393" s="24" t="s">
        <v>191</v>
      </c>
      <c r="C393" s="299" t="s">
        <v>42</v>
      </c>
      <c r="D393" s="301"/>
      <c r="E393" s="302"/>
      <c r="F393" s="173">
        <f>+INDEX('Budget original'!$A$2:$AO$500,MATCH($A393,'Budget original'!$A$2:$A$500,0),MATCH(F$2,'Budget original'!$A$2:$AO$2,0))</f>
        <v>0</v>
      </c>
      <c r="G393" s="303"/>
      <c r="H393" s="302"/>
      <c r="I393" s="173">
        <f>+INDEX('Budget révisé'!$A$2:$AO$500,MATCH($A393,'Budget révisé'!$A$2:$A$500,0),MATCH(I$2,'Budget révisé'!$A$2:$AO$2,0))</f>
        <v>0</v>
      </c>
      <c r="J393" s="304"/>
      <c r="K393" s="302"/>
      <c r="L393" s="174">
        <f>-SUMIFS(BV_Data_An_Cour!$O:$O,BV_Data_An_Cour!$U:$U,$B393,BV_Data_An_Cour!$V:$V,$C393,BV_Data_An_Cour!$W:$W,$L$2)</f>
        <v>0</v>
      </c>
      <c r="M393" s="304"/>
      <c r="N393" s="305">
        <f t="shared" si="195"/>
        <v>0</v>
      </c>
      <c r="O393" s="304"/>
      <c r="P393" s="302"/>
      <c r="Q393" s="174">
        <f>-SUMIFS(BV_Data_An_Prec!$O:$O,BV_Data_An_Prec!$U:$U,$B393,BV_Data_An_Prec!$V:$V,$C393,BV_Data_An_Prec!$W:$W,$L$2)</f>
        <v>0</v>
      </c>
      <c r="R393" s="304"/>
      <c r="S393" s="196">
        <f t="shared" si="196"/>
        <v>0</v>
      </c>
      <c r="T393" s="514"/>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3">
        <f>+SUM(S377:S393)</f>
        <v>0</v>
      </c>
      <c r="T394" s="514"/>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58"/>
      <c r="D395" s="172"/>
      <c r="E395" s="172"/>
      <c r="F395" s="306"/>
      <c r="G395" s="297"/>
      <c r="H395" s="172"/>
      <c r="I395" s="306"/>
      <c r="J395" s="297"/>
      <c r="K395" s="172"/>
      <c r="L395" s="306"/>
      <c r="M395" s="307"/>
      <c r="N395" s="308"/>
      <c r="O395" s="297"/>
      <c r="P395" s="172"/>
      <c r="Q395" s="306"/>
      <c r="R395" s="297"/>
      <c r="S395" s="309"/>
      <c r="T395" s="531"/>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58"/>
      <c r="D397" s="172"/>
      <c r="E397" s="172"/>
      <c r="F397" s="298"/>
      <c r="G397" s="297"/>
      <c r="H397" s="172"/>
      <c r="I397" s="298"/>
      <c r="J397" s="297"/>
      <c r="K397" s="172"/>
      <c r="L397" s="298"/>
      <c r="M397" s="307"/>
      <c r="N397" s="308"/>
      <c r="O397" s="297"/>
      <c r="P397" s="172"/>
      <c r="Q397" s="298"/>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1" t="s">
        <v>143</v>
      </c>
      <c r="D398" s="312"/>
      <c r="E398" s="312"/>
      <c r="F398" s="313">
        <f>F361-F396</f>
        <v>0</v>
      </c>
      <c r="G398" s="314"/>
      <c r="H398" s="312"/>
      <c r="I398" s="313">
        <f>I361-I396</f>
        <v>0</v>
      </c>
      <c r="J398" s="315"/>
      <c r="K398" s="316"/>
      <c r="L398" s="313">
        <f>L361-L396</f>
        <v>0</v>
      </c>
      <c r="M398" s="314"/>
      <c r="N398" s="313">
        <f>L398-I398</f>
        <v>0</v>
      </c>
      <c r="O398" s="315"/>
      <c r="P398" s="316"/>
      <c r="Q398" s="313">
        <f>Q361-Q396</f>
        <v>0</v>
      </c>
      <c r="R398" s="315"/>
      <c r="S398" s="317">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2"/>
      <c r="C399" s="235"/>
      <c r="D399" s="256"/>
      <c r="E399" s="227"/>
      <c r="F399" s="233"/>
      <c r="G399" s="256"/>
      <c r="H399" s="227"/>
      <c r="I399" s="233"/>
      <c r="J399" s="235"/>
      <c r="K399" s="235"/>
      <c r="L399" s="233"/>
      <c r="M399" s="235"/>
      <c r="N399" s="233"/>
      <c r="O399" s="235"/>
      <c r="P399" s="235"/>
      <c r="Q399" s="233"/>
      <c r="R399" s="235"/>
      <c r="S399" s="23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1259" t="s">
        <v>3311</v>
      </c>
      <c r="E401" s="1337" t="s">
        <v>3353</v>
      </c>
      <c r="F401" s="1338"/>
      <c r="G401" s="1338"/>
      <c r="H401" s="1338"/>
      <c r="I401" s="1338"/>
      <c r="V401" s="1316" t="str">
        <f>C1</f>
        <v>Volks</v>
      </c>
      <c r="W401" s="21"/>
      <c r="X401" s="21"/>
      <c r="Y401" s="21"/>
      <c r="Z401" s="18"/>
      <c r="AA401" s="18"/>
      <c r="AB401" s="21"/>
      <c r="AC401" s="21"/>
      <c r="AD401" s="18"/>
      <c r="AE401" s="1317" t="s">
        <v>193</v>
      </c>
      <c r="AF401" s="21"/>
      <c r="AG401" s="21"/>
      <c r="AH401" s="18"/>
      <c r="AI401" s="18"/>
      <c r="AJ401" s="80"/>
      <c r="AK401" s="19"/>
      <c r="AL401" s="18"/>
      <c r="AM401" s="21"/>
      <c r="AN401" s="21"/>
      <c r="AO401" s="1318" t="str">
        <f>$S$1</f>
        <v>Réalisé, Mai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1259" t="s">
        <v>3311</v>
      </c>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
        <v>3248</v>
      </c>
      <c r="B403" s="2"/>
      <c r="C403" s="1259" t="s">
        <v>3311</v>
      </c>
      <c r="V403" s="434"/>
      <c r="W403" s="435"/>
      <c r="X403" s="1434" t="s">
        <v>194</v>
      </c>
      <c r="Y403" s="1432"/>
      <c r="Z403" s="1435"/>
      <c r="AA403" s="1431" t="s">
        <v>145</v>
      </c>
      <c r="AB403" s="1432"/>
      <c r="AC403" s="1435"/>
      <c r="AD403" s="1431" t="s">
        <v>79</v>
      </c>
      <c r="AE403" s="1432"/>
      <c r="AF403" s="1435"/>
      <c r="AG403" s="1431" t="s">
        <v>195</v>
      </c>
      <c r="AH403" s="1432"/>
      <c r="AI403" s="1435"/>
      <c r="AJ403" s="1431" t="s">
        <v>196</v>
      </c>
      <c r="AK403" s="1432"/>
      <c r="AL403" s="1432"/>
      <c r="AM403" s="1431" t="s">
        <v>197</v>
      </c>
      <c r="AN403" s="1432"/>
      <c r="AO403" s="1433"/>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
        <v>3248</v>
      </c>
      <c r="B404" s="2"/>
      <c r="C404" s="1259" t="s">
        <v>3311</v>
      </c>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
        <v>88</v>
      </c>
      <c r="B405" s="2"/>
      <c r="C405" s="1259" t="s">
        <v>3311</v>
      </c>
      <c r="V405" s="300" t="s">
        <v>88</v>
      </c>
      <c r="W405" s="439"/>
      <c r="X405" s="439"/>
      <c r="Y405" s="439"/>
      <c r="Z405" s="440">
        <f>F5+F93+E193+E249+D313+D361</f>
        <v>6023595.7978889085</v>
      </c>
      <c r="AA405" s="439"/>
      <c r="AB405" s="439"/>
      <c r="AC405" s="440">
        <f>I5+I93+H193+H249+G313+G361</f>
        <v>6023595.7978889085</v>
      </c>
      <c r="AD405" s="441"/>
      <c r="AE405" s="442"/>
      <c r="AF405" s="442">
        <f>L5+L93+K193+K249+J313+J361</f>
        <v>4721471.7200000007</v>
      </c>
      <c r="AG405" s="441"/>
      <c r="AH405" s="442"/>
      <c r="AI405" s="443"/>
      <c r="AJ405" s="441"/>
      <c r="AK405" s="442"/>
      <c r="AL405" s="442">
        <f>Q5+Q93+P193+P249+O313+O361</f>
        <v>5900774.6799999988</v>
      </c>
      <c r="AM405" s="444"/>
      <c r="AN405" s="442"/>
      <c r="AO405" s="445"/>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
        <v>205</v>
      </c>
      <c r="B406" s="2"/>
      <c r="C406" s="1259" t="s">
        <v>3311</v>
      </c>
      <c r="V406" s="446" t="s">
        <v>205</v>
      </c>
      <c r="W406" s="81"/>
      <c r="X406" s="81"/>
      <c r="Y406" s="81"/>
      <c r="Z406" s="82">
        <f>F27+F107+F193+F249+F313+F361</f>
        <v>766209.10586005112</v>
      </c>
      <c r="AA406" s="81"/>
      <c r="AB406" s="81"/>
      <c r="AC406" s="82">
        <f>I27+I107+I193+I249+I313+I361</f>
        <v>766209.10586005112</v>
      </c>
      <c r="AD406" s="83"/>
      <c r="AE406" s="84"/>
      <c r="AF406" s="84">
        <f>L27+L107+L193+L249+L313+L361</f>
        <v>749925.49</v>
      </c>
      <c r="AG406" s="83"/>
      <c r="AH406" s="84">
        <f>AF406-AC406</f>
        <v>-16283.615860051126</v>
      </c>
      <c r="AI406" s="85">
        <f>AH406/AC406</f>
        <v>-2.1252182642456544E-2</v>
      </c>
      <c r="AJ406" s="83"/>
      <c r="AK406" s="84"/>
      <c r="AL406" s="84">
        <f>Q27+Q107+Q193+Q249+Q313+Q361</f>
        <v>685728.85000000009</v>
      </c>
      <c r="AM406" s="86"/>
      <c r="AN406" s="84">
        <f>AF406-AL406</f>
        <v>64196.639999999898</v>
      </c>
      <c r="AO406" s="447">
        <f>IF(AL406=0,0,AN406/AL406)</f>
        <v>9.3618111590317202E-2</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
        <v>206</v>
      </c>
      <c r="B407" s="2"/>
      <c r="C407" s="1259" t="s">
        <v>3311</v>
      </c>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
        <v>103</v>
      </c>
      <c r="B408" s="2"/>
      <c r="C408" s="1259" t="s">
        <v>3311</v>
      </c>
      <c r="V408" s="299" t="s">
        <v>103</v>
      </c>
      <c r="W408" s="454" t="s">
        <v>207</v>
      </c>
      <c r="X408" s="449"/>
      <c r="Y408" s="455">
        <f t="shared" ref="Y408:Y414" si="197">Z408/(D$13+D$96)</f>
        <v>592.20314527558082</v>
      </c>
      <c r="Z408" s="87">
        <f t="shared" ref="Z408:Z414" si="198">+SUMIF($C:$C,$V408,F:F)</f>
        <v>78257.70950617356</v>
      </c>
      <c r="AA408" s="449"/>
      <c r="AB408" s="455">
        <f t="shared" ref="AB408:AB414" si="199">IF(AC408=0,0,AC408/(G$13+G$96))</f>
        <v>592.20314527558082</v>
      </c>
      <c r="AC408" s="87">
        <f t="shared" ref="AC408:AC414" si="200">+SUMIF($C:$C,$V408,I:I)</f>
        <v>78257.70950617356</v>
      </c>
      <c r="AD408" s="456"/>
      <c r="AE408" s="455">
        <f t="shared" ref="AE408:AE413" si="201">IF(AF408=0,0,AF408/(J$13+J$96))</f>
        <v>1032.0177333333334</v>
      </c>
      <c r="AF408" s="87">
        <f t="shared" ref="AF408:AF414" si="202">+SUMIF($C:$C,$V408,L:L)</f>
        <v>77401.33</v>
      </c>
      <c r="AG408" s="450">
        <f t="shared" ref="AG408:AH408" si="203">AE408-AB408</f>
        <v>439.81458805775253</v>
      </c>
      <c r="AH408" s="451">
        <f t="shared" si="203"/>
        <v>-856.37950617355818</v>
      </c>
      <c r="AI408" s="452">
        <f>IF(AC408=0,0,AH408/AC408)</f>
        <v>-1.0943068888388568E-2</v>
      </c>
      <c r="AJ408" s="456"/>
      <c r="AK408" s="451">
        <f t="shared" ref="AK408:AK414" si="204">AL408/(O$13+O$96)</f>
        <v>590.54139344262296</v>
      </c>
      <c r="AL408" s="87">
        <f t="shared" ref="AL408:AL414" si="205">+SUMIF($C:$C,$V408,Q:Q)</f>
        <v>72046.05</v>
      </c>
      <c r="AM408" s="453">
        <f t="shared" ref="AM408:AM413" si="206">AE408-Y408</f>
        <v>439.81458805775253</v>
      </c>
      <c r="AN408" s="451">
        <f t="shared" ref="AN408:AN413" si="207">AF408-AL408</f>
        <v>5355.2799999999988</v>
      </c>
      <c r="AO408" s="208">
        <f>IF(AL408=0,0,AN408/AL408)</f>
        <v>7.4331347797693265E-2</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
        <v>104</v>
      </c>
      <c r="B409" s="2"/>
      <c r="C409" s="1259" t="s">
        <v>3311</v>
      </c>
      <c r="V409" s="300" t="s">
        <v>104</v>
      </c>
      <c r="W409" s="457" t="s">
        <v>208</v>
      </c>
      <c r="X409" s="439"/>
      <c r="Y409" s="458">
        <f t="shared" si="197"/>
        <v>374.60457924226642</v>
      </c>
      <c r="Z409" s="440">
        <f t="shared" si="198"/>
        <v>49502.770419062275</v>
      </c>
      <c r="AA409" s="439"/>
      <c r="AB409" s="458">
        <f t="shared" si="199"/>
        <v>374.60457924226642</v>
      </c>
      <c r="AC409" s="440">
        <f t="shared" si="200"/>
        <v>49502.770419062275</v>
      </c>
      <c r="AD409" s="459"/>
      <c r="AE409" s="458">
        <f t="shared" si="201"/>
        <v>648.46440000000007</v>
      </c>
      <c r="AF409" s="440">
        <f t="shared" si="202"/>
        <v>48634.83</v>
      </c>
      <c r="AG409" s="441">
        <f t="shared" ref="AG409:AH409" si="208">AE409-AB409</f>
        <v>273.85982075773364</v>
      </c>
      <c r="AH409" s="442">
        <f t="shared" si="208"/>
        <v>-867.94041906227358</v>
      </c>
      <c r="AI409" s="460">
        <f t="shared" ref="AI409:AI413" si="209">IF(AC409=0,0,AH409/AC409)</f>
        <v>-1.7533168582582026E-2</v>
      </c>
      <c r="AJ409" s="459"/>
      <c r="AK409" s="442">
        <f t="shared" si="204"/>
        <v>370.44098360655738</v>
      </c>
      <c r="AL409" s="440">
        <f t="shared" si="205"/>
        <v>45193.8</v>
      </c>
      <c r="AM409" s="444">
        <f t="shared" si="206"/>
        <v>273.85982075773364</v>
      </c>
      <c r="AN409" s="442">
        <f t="shared" si="207"/>
        <v>3441.0299999999988</v>
      </c>
      <c r="AO409" s="209">
        <f t="shared" ref="AO409:AO413" si="210">IF(AL409=0,0,AN409/AL409)</f>
        <v>7.6139426204479346E-2</v>
      </c>
      <c r="AP409" s="79"/>
      <c r="AQ409" s="531"/>
      <c r="AR409" s="216"/>
      <c r="AS409" s="531"/>
      <c r="AT409" s="531"/>
      <c r="AU409" s="531"/>
      <c r="AV409" s="79"/>
      <c r="AW409" s="79"/>
      <c r="AX409" s="79"/>
      <c r="AY409" s="79"/>
      <c r="AZ409" s="79"/>
      <c r="BA409" s="79"/>
      <c r="BB409" s="79"/>
      <c r="BC409" s="79"/>
      <c r="BD409" s="79"/>
      <c r="BE409" s="79"/>
      <c r="BF409" s="79"/>
      <c r="BG409" s="79"/>
      <c r="BH409" s="79"/>
      <c r="BI409" s="79"/>
    </row>
    <row r="410" spans="1:61" ht="15.75" customHeight="1">
      <c r="A410" s="564" t="s">
        <v>105</v>
      </c>
      <c r="B410" s="2"/>
      <c r="C410" s="1259" t="s">
        <v>3311</v>
      </c>
      <c r="V410" s="299" t="s">
        <v>105</v>
      </c>
      <c r="W410" s="454" t="s">
        <v>209</v>
      </c>
      <c r="X410" s="449"/>
      <c r="Y410" s="455">
        <f t="shared" si="197"/>
        <v>144.27932898180427</v>
      </c>
      <c r="Z410" s="87">
        <f t="shared" si="198"/>
        <v>19066.041619805063</v>
      </c>
      <c r="AA410" s="449"/>
      <c r="AB410" s="455">
        <f t="shared" si="199"/>
        <v>144.27932898180427</v>
      </c>
      <c r="AC410" s="87">
        <f t="shared" si="200"/>
        <v>19066.041619805063</v>
      </c>
      <c r="AD410" s="456"/>
      <c r="AE410" s="455">
        <f t="shared" si="201"/>
        <v>64.374799999999993</v>
      </c>
      <c r="AF410" s="248">
        <f t="shared" si="202"/>
        <v>4828.1099999999997</v>
      </c>
      <c r="AG410" s="450">
        <f t="shared" ref="AG410:AH410" si="211">AE410-AB410</f>
        <v>-79.904528981804276</v>
      </c>
      <c r="AH410" s="451">
        <f t="shared" si="211"/>
        <v>-14237.931619805062</v>
      </c>
      <c r="AI410" s="452">
        <f t="shared" si="209"/>
        <v>-0.74676914609350542</v>
      </c>
      <c r="AJ410" s="456"/>
      <c r="AK410" s="451">
        <f t="shared" si="204"/>
        <v>73.45926229508197</v>
      </c>
      <c r="AL410" s="87">
        <f t="shared" si="205"/>
        <v>8962.0300000000007</v>
      </c>
      <c r="AM410" s="453">
        <f t="shared" si="206"/>
        <v>-79.904528981804276</v>
      </c>
      <c r="AN410" s="451">
        <f t="shared" si="207"/>
        <v>-4133.920000000001</v>
      </c>
      <c r="AO410" s="208">
        <f t="shared" si="210"/>
        <v>-0.46127049340383824</v>
      </c>
      <c r="AP410" s="79"/>
      <c r="AQ410" s="531"/>
      <c r="AR410" s="216"/>
      <c r="AS410" s="531"/>
      <c r="AT410" s="531"/>
      <c r="AU410" s="531"/>
      <c r="AV410" s="79"/>
      <c r="AW410" s="79"/>
      <c r="AX410" s="79"/>
      <c r="AY410" s="79"/>
      <c r="AZ410" s="79"/>
      <c r="BA410" s="79"/>
      <c r="BB410" s="79"/>
      <c r="BC410" s="79"/>
      <c r="BD410" s="79"/>
      <c r="BE410" s="79"/>
      <c r="BF410" s="79"/>
      <c r="BG410" s="79"/>
      <c r="BH410" s="79"/>
      <c r="BI410" s="79"/>
    </row>
    <row r="411" spans="1:61" ht="15.75" customHeight="1">
      <c r="A411" s="564" t="s">
        <v>106</v>
      </c>
      <c r="B411" s="2"/>
      <c r="C411" s="1259" t="s">
        <v>3311</v>
      </c>
      <c r="V411" s="299" t="s">
        <v>106</v>
      </c>
      <c r="W411" s="454" t="s">
        <v>210</v>
      </c>
      <c r="X411" s="449"/>
      <c r="Y411" s="455">
        <f t="shared" si="197"/>
        <v>16.837320191273808</v>
      </c>
      <c r="Z411" s="87">
        <f t="shared" si="198"/>
        <v>2224.9968155403326</v>
      </c>
      <c r="AA411" s="449"/>
      <c r="AB411" s="455">
        <f t="shared" si="199"/>
        <v>16.837320191273808</v>
      </c>
      <c r="AC411" s="87">
        <f t="shared" si="200"/>
        <v>2224.9968155403326</v>
      </c>
      <c r="AD411" s="456"/>
      <c r="AE411" s="455">
        <f t="shared" si="201"/>
        <v>0</v>
      </c>
      <c r="AF411" s="248">
        <f t="shared" si="202"/>
        <v>0</v>
      </c>
      <c r="AG411" s="450">
        <f t="shared" ref="AG411:AH411" si="212">AE411-AB411</f>
        <v>-16.837320191273808</v>
      </c>
      <c r="AH411" s="451">
        <f t="shared" si="212"/>
        <v>-2224.9968155403326</v>
      </c>
      <c r="AI411" s="452">
        <f t="shared" si="209"/>
        <v>-1</v>
      </c>
      <c r="AJ411" s="456"/>
      <c r="AK411" s="451">
        <f t="shared" si="204"/>
        <v>5.8828688524590165</v>
      </c>
      <c r="AL411" s="87">
        <f t="shared" si="205"/>
        <v>717.71</v>
      </c>
      <c r="AM411" s="453">
        <f t="shared" si="206"/>
        <v>-16.837320191273808</v>
      </c>
      <c r="AN411" s="451">
        <f t="shared" si="207"/>
        <v>-717.71</v>
      </c>
      <c r="AO411" s="210">
        <f t="shared" si="210"/>
        <v>-1</v>
      </c>
      <c r="AP411" s="79"/>
      <c r="AQ411" s="531"/>
      <c r="AR411" s="216"/>
      <c r="AS411" s="531"/>
      <c r="AT411" s="531"/>
      <c r="AU411" s="531"/>
      <c r="AV411" s="79"/>
      <c r="AW411" s="79"/>
      <c r="AX411" s="79"/>
      <c r="AY411" s="79"/>
      <c r="AZ411" s="79"/>
      <c r="BA411" s="79"/>
      <c r="BB411" s="79"/>
      <c r="BC411" s="79"/>
      <c r="BD411" s="79"/>
      <c r="BE411" s="79"/>
      <c r="BF411" s="79"/>
      <c r="BG411" s="79"/>
      <c r="BH411" s="79"/>
      <c r="BI411" s="79"/>
    </row>
    <row r="412" spans="1:61" ht="15.75" customHeight="1">
      <c r="A412" s="564" t="s">
        <v>107</v>
      </c>
      <c r="B412" s="2"/>
      <c r="C412" s="1259" t="s">
        <v>3311</v>
      </c>
      <c r="V412" s="300" t="s">
        <v>107</v>
      </c>
      <c r="W412" s="457"/>
      <c r="X412" s="439"/>
      <c r="Y412" s="458">
        <f t="shared" si="197"/>
        <v>43.273076253995619</v>
      </c>
      <c r="Z412" s="440">
        <f t="shared" si="198"/>
        <v>5718.3955504792302</v>
      </c>
      <c r="AA412" s="439"/>
      <c r="AB412" s="458">
        <f t="shared" si="199"/>
        <v>43.273076253995619</v>
      </c>
      <c r="AC412" s="440">
        <f t="shared" si="200"/>
        <v>5718.3955504792302</v>
      </c>
      <c r="AD412" s="459"/>
      <c r="AE412" s="458">
        <f t="shared" si="201"/>
        <v>154.51906666666667</v>
      </c>
      <c r="AF412" s="1005">
        <f t="shared" si="202"/>
        <v>11588.93</v>
      </c>
      <c r="AG412" s="441">
        <f t="shared" ref="AG412:AH412" si="213">AE412-AB412</f>
        <v>111.24599041267106</v>
      </c>
      <c r="AH412" s="442">
        <f t="shared" si="213"/>
        <v>5870.5344495207701</v>
      </c>
      <c r="AI412" s="460">
        <f t="shared" si="209"/>
        <v>1.0266051723247425</v>
      </c>
      <c r="AJ412" s="459"/>
      <c r="AK412" s="442">
        <f t="shared" si="204"/>
        <v>46.078934426229509</v>
      </c>
      <c r="AL412" s="440">
        <f t="shared" si="205"/>
        <v>5621.63</v>
      </c>
      <c r="AM412" s="444">
        <f t="shared" si="206"/>
        <v>111.24599041267106</v>
      </c>
      <c r="AN412" s="442">
        <f t="shared" si="207"/>
        <v>5967.3</v>
      </c>
      <c r="AO412" s="209">
        <f t="shared" si="210"/>
        <v>1.0614892833573182</v>
      </c>
      <c r="AP412" s="79"/>
      <c r="AQ412" s="531"/>
      <c r="AR412" s="216"/>
      <c r="AS412" s="531"/>
      <c r="AT412" s="531"/>
      <c r="AU412" s="531"/>
      <c r="AV412" s="79"/>
      <c r="AW412" s="79"/>
      <c r="AX412" s="79"/>
      <c r="AY412" s="79"/>
      <c r="AZ412" s="79"/>
      <c r="BA412" s="79"/>
      <c r="BB412" s="79"/>
      <c r="BC412" s="79"/>
      <c r="BD412" s="79"/>
      <c r="BE412" s="79"/>
      <c r="BF412" s="79"/>
      <c r="BG412" s="79"/>
      <c r="BH412" s="79"/>
      <c r="BI412" s="79"/>
    </row>
    <row r="413" spans="1:61" ht="15.75" customHeight="1">
      <c r="A413" s="564" t="s">
        <v>108</v>
      </c>
      <c r="B413" s="2"/>
      <c r="C413" s="1259" t="s">
        <v>3311</v>
      </c>
      <c r="V413" s="299" t="s">
        <v>108</v>
      </c>
      <c r="W413" s="454" t="s">
        <v>211</v>
      </c>
      <c r="X413" s="452"/>
      <c r="Y413" s="455">
        <f t="shared" si="197"/>
        <v>155.04760072031854</v>
      </c>
      <c r="Z413" s="87">
        <f t="shared" si="198"/>
        <v>20489.033524388815</v>
      </c>
      <c r="AA413" s="452"/>
      <c r="AB413" s="455">
        <f t="shared" si="199"/>
        <v>155.04760072031854</v>
      </c>
      <c r="AC413" s="87">
        <f t="shared" si="200"/>
        <v>20489.033524388815</v>
      </c>
      <c r="AD413" s="456"/>
      <c r="AE413" s="455">
        <f t="shared" si="201"/>
        <v>366.74693333333335</v>
      </c>
      <c r="AF413" s="248">
        <f t="shared" si="202"/>
        <v>27506.02</v>
      </c>
      <c r="AG413" s="450">
        <f t="shared" ref="AG413:AH414" si="214">AE413-AB413</f>
        <v>211.6993326130148</v>
      </c>
      <c r="AH413" s="451">
        <f t="shared" si="214"/>
        <v>7016.9864756111856</v>
      </c>
      <c r="AI413" s="452">
        <f t="shared" si="209"/>
        <v>0.34247523033522398</v>
      </c>
      <c r="AJ413" s="456"/>
      <c r="AK413" s="451">
        <f t="shared" si="204"/>
        <v>91.212622950819679</v>
      </c>
      <c r="AL413" s="87">
        <f t="shared" si="205"/>
        <v>11127.94</v>
      </c>
      <c r="AM413" s="453">
        <f t="shared" si="206"/>
        <v>211.6993326130148</v>
      </c>
      <c r="AN413" s="451">
        <f t="shared" si="207"/>
        <v>16378.08</v>
      </c>
      <c r="AO413" s="208">
        <f t="shared" si="210"/>
        <v>1.4717980147268945</v>
      </c>
      <c r="AP413" s="79"/>
      <c r="AQ413" s="531"/>
      <c r="AR413" s="216"/>
      <c r="AS413" s="531"/>
      <c r="AT413" s="531"/>
      <c r="AU413" s="531"/>
      <c r="AV413" s="79"/>
      <c r="AW413" s="79"/>
      <c r="AX413" s="79"/>
      <c r="AY413" s="79"/>
      <c r="AZ413" s="79"/>
      <c r="BA413" s="79"/>
      <c r="BB413" s="79"/>
      <c r="BC413" s="79"/>
      <c r="BD413" s="79"/>
      <c r="BE413" s="79"/>
      <c r="BF413" s="79"/>
      <c r="BG413" s="79"/>
      <c r="BH413" s="79"/>
      <c r="BI413" s="79"/>
    </row>
    <row r="414" spans="1:61" s="564" customFormat="1" ht="15.75" customHeight="1">
      <c r="A414" s="564" t="s">
        <v>109</v>
      </c>
      <c r="B414" s="159"/>
      <c r="C414" s="1259" t="s">
        <v>3311</v>
      </c>
      <c r="D414"/>
      <c r="E414"/>
      <c r="F414"/>
      <c r="G414"/>
      <c r="H414"/>
      <c r="I414"/>
      <c r="J414"/>
      <c r="K414"/>
      <c r="L414"/>
      <c r="M414"/>
      <c r="N414"/>
      <c r="O414"/>
      <c r="P414"/>
      <c r="Q414"/>
      <c r="R414"/>
      <c r="S414"/>
      <c r="V414" s="299" t="s">
        <v>109</v>
      </c>
      <c r="W414" s="454" t="s">
        <v>212</v>
      </c>
      <c r="X414" s="449"/>
      <c r="Y414" s="455">
        <f t="shared" si="197"/>
        <v>67.093247494206267</v>
      </c>
      <c r="Z414" s="87">
        <f t="shared" si="198"/>
        <v>8866.153302485518</v>
      </c>
      <c r="AA414" s="449"/>
      <c r="AB414" s="455">
        <f t="shared" si="199"/>
        <v>67.093247494206267</v>
      </c>
      <c r="AC414" s="87">
        <f t="shared" si="200"/>
        <v>8866.153302485518</v>
      </c>
      <c r="AD414" s="456"/>
      <c r="AE414" s="455">
        <f>IF(AF414=0,0,AF414/(J$13+J$13))</f>
        <v>25.031046511627906</v>
      </c>
      <c r="AF414" s="87">
        <f t="shared" si="202"/>
        <v>2152.67</v>
      </c>
      <c r="AG414" s="450">
        <f t="shared" si="214"/>
        <v>-42.062200982578361</v>
      </c>
      <c r="AH414" s="451">
        <f t="shared" si="214"/>
        <v>-6713.4833024855179</v>
      </c>
      <c r="AI414" s="452">
        <f t="shared" ref="AI414" si="215">IF(AC414=0,0,AH414/AC414)</f>
        <v>-0.75720361169521788</v>
      </c>
      <c r="AJ414" s="456"/>
      <c r="AK414" s="451">
        <f t="shared" si="204"/>
        <v>119.43352459016393</v>
      </c>
      <c r="AL414" s="87">
        <f t="shared" si="205"/>
        <v>14570.89</v>
      </c>
      <c r="AM414" s="453">
        <f t="shared" ref="AM414" si="216">AE414-Y414</f>
        <v>-42.062200982578361</v>
      </c>
      <c r="AN414" s="451">
        <f t="shared" ref="AN414" si="217">AF414-AL414</f>
        <v>-12418.22</v>
      </c>
      <c r="AO414" s="208">
        <f t="shared" ref="AO414" si="218">IF(AL414=0,0,AN414/AL414)</f>
        <v>-0.85226228459620512</v>
      </c>
      <c r="AP414" s="79"/>
      <c r="AQ414" s="531"/>
      <c r="AR414" s="216"/>
      <c r="AS414" s="531"/>
      <c r="AT414" s="531"/>
      <c r="AU414" s="531"/>
      <c r="AV414" s="79"/>
      <c r="AW414" s="79"/>
      <c r="AX414" s="79"/>
      <c r="AY414" s="79"/>
      <c r="AZ414" s="79"/>
      <c r="BA414" s="79"/>
      <c r="BB414" s="79"/>
      <c r="BC414" s="79"/>
      <c r="BD414" s="79"/>
      <c r="BE414" s="79"/>
      <c r="BF414" s="79"/>
      <c r="BG414" s="79"/>
      <c r="BH414" s="79"/>
      <c r="BI414" s="79"/>
    </row>
    <row r="415" spans="1:61" s="564" customFormat="1" ht="15.75" hidden="1" customHeight="1">
      <c r="A415" s="564" t="s">
        <v>42</v>
      </c>
      <c r="B415" s="159"/>
      <c r="C415" s="1259" t="s">
        <v>3311</v>
      </c>
      <c r="D415"/>
      <c r="E415"/>
      <c r="F415"/>
      <c r="G415"/>
      <c r="H415"/>
      <c r="I415"/>
      <c r="J415"/>
      <c r="K415"/>
      <c r="L415"/>
      <c r="M415"/>
      <c r="N415"/>
      <c r="O415"/>
      <c r="P415"/>
      <c r="Q415"/>
      <c r="R415"/>
      <c r="S415"/>
      <c r="V415" s="299" t="s">
        <v>42</v>
      </c>
      <c r="W415" s="454"/>
      <c r="X415" s="452"/>
      <c r="Y415" s="455">
        <f t="shared" ref="Y415:Y417" si="219">Z415/(D$13+D$96)</f>
        <v>0</v>
      </c>
      <c r="Z415" s="87">
        <f>IFERROR(SUMIF($C:$C,$V415,F:F),0)</f>
        <v>0</v>
      </c>
      <c r="AA415" s="449"/>
      <c r="AB415" s="455">
        <f t="shared" ref="AB415:AB417" si="220">IF(AC415=0,0,AC415/(G$13+G$96))</f>
        <v>0</v>
      </c>
      <c r="AC415" s="87">
        <f>IFERROR(SUMIF($C:$C,$V415,I:I),0)</f>
        <v>0</v>
      </c>
      <c r="AD415" s="456"/>
      <c r="AE415" s="455">
        <f t="shared" ref="AE415:AE417" si="221">IF(AF415=0,0,AF415/(J$13+J$13))</f>
        <v>0</v>
      </c>
      <c r="AF415" s="87">
        <f>IFERROR(SUMIF($C:$C,$V415,L:L),0)</f>
        <v>0</v>
      </c>
      <c r="AG415" s="450">
        <f t="shared" ref="AG415:AG417" si="222">AE415-AB415</f>
        <v>0</v>
      </c>
      <c r="AH415" s="451">
        <f t="shared" ref="AH415:AH417" si="223">AF415-AC415</f>
        <v>0</v>
      </c>
      <c r="AI415" s="452">
        <f t="shared" ref="AI415:AI417" si="224">IF(AC415=0,0,AH415/AC415)</f>
        <v>0</v>
      </c>
      <c r="AJ415" s="456"/>
      <c r="AK415" s="451">
        <f t="shared" ref="AK415:AK417" si="225">AL415/(O$13+O$96)</f>
        <v>0</v>
      </c>
      <c r="AL415" s="87">
        <f>IFERROR(SUMIF($C:$C,$V415,Q:Q),0)</f>
        <v>0</v>
      </c>
      <c r="AM415" s="453">
        <f t="shared" ref="AM415:AM417" si="226">AE415-Y415</f>
        <v>0</v>
      </c>
      <c r="AN415" s="451">
        <f t="shared" ref="AN415:AN417" si="227">AF415-AL415</f>
        <v>0</v>
      </c>
      <c r="AO415" s="208">
        <f t="shared" ref="AO415:AO417" si="228">IF(AL415=0,0,AN415/AL415)</f>
        <v>0</v>
      </c>
      <c r="AP415" s="79"/>
      <c r="AQ415" s="531"/>
      <c r="AR415" s="216"/>
      <c r="AS415" s="531"/>
      <c r="AT415" s="531"/>
      <c r="AU415" s="531"/>
      <c r="AV415" s="79"/>
      <c r="AW415" s="79"/>
      <c r="AX415" s="79"/>
      <c r="AY415" s="79"/>
      <c r="AZ415" s="79"/>
      <c r="BA415" s="79"/>
      <c r="BB415" s="79"/>
      <c r="BC415" s="79"/>
      <c r="BD415" s="79"/>
      <c r="BE415" s="79"/>
      <c r="BF415" s="79"/>
      <c r="BG415" s="79"/>
      <c r="BH415" s="79"/>
      <c r="BI415" s="79"/>
    </row>
    <row r="416" spans="1:61" s="564" customFormat="1" ht="15.75" hidden="1" customHeight="1">
      <c r="A416" s="564" t="s">
        <v>42</v>
      </c>
      <c r="B416" s="159"/>
      <c r="C416" s="1259" t="s">
        <v>3311</v>
      </c>
      <c r="D416"/>
      <c r="E416"/>
      <c r="F416"/>
      <c r="G416"/>
      <c r="H416"/>
      <c r="I416"/>
      <c r="J416"/>
      <c r="K416"/>
      <c r="L416"/>
      <c r="M416"/>
      <c r="N416"/>
      <c r="O416"/>
      <c r="P416"/>
      <c r="Q416"/>
      <c r="R416"/>
      <c r="S416"/>
      <c r="V416" s="299" t="s">
        <v>42</v>
      </c>
      <c r="W416" s="454"/>
      <c r="X416" s="452"/>
      <c r="Y416" s="455">
        <f t="shared" si="219"/>
        <v>0</v>
      </c>
      <c r="Z416" s="87">
        <f>IFERROR(SUMIF($C:$C,$V416,F:F),0)</f>
        <v>0</v>
      </c>
      <c r="AA416" s="449"/>
      <c r="AB416" s="455">
        <f t="shared" si="220"/>
        <v>0</v>
      </c>
      <c r="AC416" s="87">
        <f>IFERROR(SUMIF($C:$C,$V416,I:I),0)</f>
        <v>0</v>
      </c>
      <c r="AD416" s="456"/>
      <c r="AE416" s="455">
        <f t="shared" si="221"/>
        <v>0</v>
      </c>
      <c r="AF416" s="87">
        <f>IFERROR(SUMIF($C:$C,$V416,L:L),0)</f>
        <v>0</v>
      </c>
      <c r="AG416" s="450">
        <f t="shared" si="222"/>
        <v>0</v>
      </c>
      <c r="AH416" s="451">
        <f t="shared" si="223"/>
        <v>0</v>
      </c>
      <c r="AI416" s="452">
        <f t="shared" si="224"/>
        <v>0</v>
      </c>
      <c r="AJ416" s="456"/>
      <c r="AK416" s="451">
        <f t="shared" si="225"/>
        <v>0</v>
      </c>
      <c r="AL416" s="87">
        <f>IFERROR(SUMIF($C:$C,$V416,Q:Q),0)</f>
        <v>0</v>
      </c>
      <c r="AM416" s="453">
        <f t="shared" si="226"/>
        <v>0</v>
      </c>
      <c r="AN416" s="451">
        <f t="shared" si="227"/>
        <v>0</v>
      </c>
      <c r="AO416" s="208">
        <f t="shared" si="228"/>
        <v>0</v>
      </c>
      <c r="AP416" s="79"/>
      <c r="AQ416" s="531"/>
      <c r="AR416" s="216"/>
      <c r="AS416" s="531"/>
      <c r="AT416" s="531"/>
      <c r="AU416" s="531"/>
      <c r="AV416" s="79"/>
      <c r="AW416" s="79"/>
      <c r="AX416" s="79"/>
      <c r="AY416" s="79"/>
      <c r="AZ416" s="79"/>
      <c r="BA416" s="79"/>
      <c r="BB416" s="79"/>
      <c r="BC416" s="79"/>
      <c r="BD416" s="79"/>
      <c r="BE416" s="79"/>
      <c r="BF416" s="79"/>
      <c r="BG416" s="79"/>
      <c r="BH416" s="79"/>
      <c r="BI416" s="79"/>
    </row>
    <row r="417" spans="1:61" ht="15.75" hidden="1" customHeight="1">
      <c r="A417" s="564" t="s">
        <v>42</v>
      </c>
      <c r="B417" s="2"/>
      <c r="C417" s="1259" t="s">
        <v>3311</v>
      </c>
      <c r="V417" s="299" t="s">
        <v>42</v>
      </c>
      <c r="W417" s="454" t="s">
        <v>212</v>
      </c>
      <c r="X417" s="449"/>
      <c r="Y417" s="455">
        <f t="shared" si="219"/>
        <v>0</v>
      </c>
      <c r="Z417" s="87">
        <f>IFERROR(SUMIF($C:$C,$V417,F:F),0)</f>
        <v>0</v>
      </c>
      <c r="AA417" s="449"/>
      <c r="AB417" s="455">
        <f t="shared" si="220"/>
        <v>0</v>
      </c>
      <c r="AC417" s="87">
        <f>IFERROR(SUMIF($C:$C,$V417,I:I),0)</f>
        <v>0</v>
      </c>
      <c r="AD417" s="456"/>
      <c r="AE417" s="455">
        <f t="shared" si="221"/>
        <v>0</v>
      </c>
      <c r="AF417" s="87">
        <f>IFERROR(SUMIF($C:$C,$V417,L:L),0)</f>
        <v>0</v>
      </c>
      <c r="AG417" s="450">
        <f t="shared" si="222"/>
        <v>0</v>
      </c>
      <c r="AH417" s="451">
        <f t="shared" si="223"/>
        <v>0</v>
      </c>
      <c r="AI417" s="452">
        <f t="shared" si="224"/>
        <v>0</v>
      </c>
      <c r="AJ417" s="456"/>
      <c r="AK417" s="451">
        <f t="shared" si="225"/>
        <v>0</v>
      </c>
      <c r="AL417" s="87">
        <f>IFERROR(SUMIF($C:$C,$V417,Q:Q),0)</f>
        <v>0</v>
      </c>
      <c r="AM417" s="453">
        <f t="shared" si="226"/>
        <v>0</v>
      </c>
      <c r="AN417" s="451">
        <f t="shared" si="227"/>
        <v>0</v>
      </c>
      <c r="AO417" s="208">
        <f t="shared" si="228"/>
        <v>0</v>
      </c>
      <c r="AP417" s="79"/>
      <c r="AQ417" s="531"/>
      <c r="AR417" s="216"/>
      <c r="AS417" s="531"/>
      <c r="AT417" s="531"/>
      <c r="AU417" s="531"/>
      <c r="AV417" s="79"/>
      <c r="AW417" s="79"/>
      <c r="AX417" s="79"/>
      <c r="AY417" s="79"/>
      <c r="AZ417" s="79"/>
      <c r="BA417" s="79"/>
      <c r="BB417" s="79"/>
      <c r="BC417" s="79"/>
      <c r="BD417" s="79"/>
      <c r="BE417" s="79"/>
      <c r="BF417" s="79"/>
      <c r="BG417" s="79"/>
      <c r="BH417" s="79"/>
      <c r="BI417" s="79"/>
    </row>
    <row r="418" spans="1:61" ht="15.75" customHeight="1">
      <c r="A418" s="564" t="s">
        <v>110</v>
      </c>
      <c r="B418" s="2"/>
      <c r="C418" s="1259" t="s">
        <v>3311</v>
      </c>
      <c r="V418" s="461" t="s">
        <v>110</v>
      </c>
      <c r="W418" s="88"/>
      <c r="X418" s="89">
        <f>Z418/Z406</f>
        <v>0.24030659428310874</v>
      </c>
      <c r="Y418" s="88"/>
      <c r="Z418" s="90">
        <f>SUM(Z408:Z417)</f>
        <v>184125.10073793482</v>
      </c>
      <c r="AA418" s="89">
        <f>AC418/AC406</f>
        <v>0.24030659428310874</v>
      </c>
      <c r="AB418" s="88"/>
      <c r="AC418" s="90">
        <f>SUM(AC408:AC417)</f>
        <v>184125.10073793482</v>
      </c>
      <c r="AD418" s="91">
        <f>AF418/AF406</f>
        <v>0.22950532058858275</v>
      </c>
      <c r="AE418" s="88"/>
      <c r="AF418" s="90">
        <f>SUM(AF408:AF417)</f>
        <v>172111.89</v>
      </c>
      <c r="AG418" s="92"/>
      <c r="AH418" s="93">
        <f>AF418-AC418</f>
        <v>-12013.210737934802</v>
      </c>
      <c r="AI418" s="89">
        <f>AH418/AC418</f>
        <v>-6.5244829139472951E-2</v>
      </c>
      <c r="AJ418" s="91">
        <f>IF($AL$406=0,0,AL418/$AL$406)</f>
        <v>0.23076183829803859</v>
      </c>
      <c r="AK418" s="88"/>
      <c r="AL418" s="90">
        <f>SUM(AL408:AL417)</f>
        <v>158240.04999999999</v>
      </c>
      <c r="AM418" s="94"/>
      <c r="AN418" s="93">
        <f t="shared" ref="AN418:AN423" si="229">AF418-AL418</f>
        <v>13871.840000000026</v>
      </c>
      <c r="AO418" s="447">
        <f>IF(AL418=0,0,AN418/AL418)</f>
        <v>8.7663268559381946E-2</v>
      </c>
      <c r="AP418" s="79"/>
      <c r="AQ418" s="531"/>
      <c r="AR418" s="216"/>
      <c r="AS418" s="531"/>
      <c r="AT418" s="531"/>
      <c r="AU418" s="531"/>
      <c r="AV418" s="79"/>
      <c r="AW418" s="79"/>
      <c r="AX418" s="79"/>
      <c r="AY418" s="79"/>
      <c r="AZ418" s="79"/>
      <c r="BA418" s="79"/>
      <c r="BB418" s="79"/>
      <c r="BC418" s="79"/>
      <c r="BD418" s="79"/>
      <c r="BE418" s="79"/>
      <c r="BF418" s="79"/>
      <c r="BG418" s="79"/>
      <c r="BH418" s="79"/>
      <c r="BI418" s="79"/>
    </row>
    <row r="419" spans="1:61" ht="15.75" customHeight="1">
      <c r="A419" s="564" t="s">
        <v>213</v>
      </c>
      <c r="B419" s="2"/>
      <c r="C419" s="1259" t="s">
        <v>3311</v>
      </c>
      <c r="V419" s="299" t="s">
        <v>213</v>
      </c>
      <c r="W419" s="454" t="s">
        <v>214</v>
      </c>
      <c r="X419" s="449"/>
      <c r="Y419" s="449"/>
      <c r="Z419" s="87">
        <f>+INDEX('Budget original'!$A$2:$AO$500,MATCH($A419,'Budget original'!$A$2:$A$500,0),MATCH(F$2,'Budget original'!$A$2:$AO$2,0))</f>
        <v>15497.547546666668</v>
      </c>
      <c r="AA419" s="449"/>
      <c r="AB419" s="449"/>
      <c r="AC419" s="87">
        <f>+INDEX('Budget révisé'!$A$2:$AO$500,MATCH($A419,'Budget révisé'!$A$2:$A$500,0),MATCH(I$2,'Budget révisé'!$A$2:$AO$2,0))</f>
        <v>15497.547546666668</v>
      </c>
      <c r="AD419" s="456"/>
      <c r="AE419" s="455"/>
      <c r="AF419" s="87">
        <f>SUMIFS(BV_Data_An_Cour!$O:$O,BV_Data_An_Cour!$V:$V,$V419)</f>
        <v>17045.78</v>
      </c>
      <c r="AG419" s="450"/>
      <c r="AH419" s="451">
        <f t="shared" ref="AH419:AH426" si="230">AF419-AC419</f>
        <v>1548.2324533333303</v>
      </c>
      <c r="AI419" s="452">
        <f>IF(AC419=0,0,AH419/AC419)</f>
        <v>9.9901771468759656E-2</v>
      </c>
      <c r="AJ419" s="456"/>
      <c r="AK419" s="449"/>
      <c r="AL419" s="87">
        <f>SUMIFS(BV_Data_An_Prec!$O:$O,BV_Data_An_Prec!$V:$V,$V419)</f>
        <v>2336.25</v>
      </c>
      <c r="AM419" s="453"/>
      <c r="AN419" s="451">
        <f t="shared" si="229"/>
        <v>14709.529999999999</v>
      </c>
      <c r="AO419" s="208">
        <f t="shared" ref="AO419:AO423" si="231">IF(AL419=0,0,AN419/AL419)</f>
        <v>6.296214018191546</v>
      </c>
      <c r="AP419" s="79"/>
      <c r="AQ419" s="531"/>
      <c r="AR419" s="531"/>
      <c r="AS419" s="531"/>
      <c r="AT419" s="531"/>
      <c r="AU419" s="531"/>
      <c r="AV419" s="79"/>
      <c r="AW419" s="79"/>
      <c r="AX419" s="79"/>
      <c r="AY419" s="79"/>
      <c r="AZ419" s="79"/>
      <c r="BA419" s="79"/>
      <c r="BB419" s="79"/>
      <c r="BC419" s="79"/>
      <c r="BD419" s="79"/>
      <c r="BE419" s="79"/>
      <c r="BF419" s="79"/>
      <c r="BG419" s="79"/>
      <c r="BH419" s="79"/>
      <c r="BI419" s="79"/>
    </row>
    <row r="420" spans="1:61" ht="15.75" customHeight="1">
      <c r="A420" s="564" t="s">
        <v>112</v>
      </c>
      <c r="B420" s="2"/>
      <c r="C420" s="1259" t="s">
        <v>3311</v>
      </c>
      <c r="V420" s="299" t="s">
        <v>112</v>
      </c>
      <c r="W420" s="454" t="s">
        <v>215</v>
      </c>
      <c r="X420" s="449"/>
      <c r="Y420" s="449"/>
      <c r="Z420" s="87">
        <f>+SUMIF($C:$C,$V420,F:F)</f>
        <v>38467.750957854405</v>
      </c>
      <c r="AA420" s="449"/>
      <c r="AB420" s="449"/>
      <c r="AC420" s="87">
        <f>+SUMIF($C:$C,$V420,I:I)</f>
        <v>38467.750957854405</v>
      </c>
      <c r="AD420" s="456"/>
      <c r="AE420" s="455"/>
      <c r="AF420" s="87">
        <f>+SUMIF($C:$C,$V420,L:L)</f>
        <v>39074.49</v>
      </c>
      <c r="AG420" s="450"/>
      <c r="AH420" s="451">
        <f t="shared" si="230"/>
        <v>606.73904214559298</v>
      </c>
      <c r="AI420" s="452">
        <f t="shared" ref="AI420:AI431" si="232">IF(AC420=0,0,AH420/AC420)</f>
        <v>1.5772667417191646E-2</v>
      </c>
      <c r="AJ420" s="456"/>
      <c r="AK420" s="449"/>
      <c r="AL420" s="87">
        <f>+SUMIF($C:$C,$V420,Q:Q)</f>
        <v>45947.850000000006</v>
      </c>
      <c r="AM420" s="453"/>
      <c r="AN420" s="451">
        <f t="shared" si="229"/>
        <v>-6873.3600000000079</v>
      </c>
      <c r="AO420" s="208">
        <f t="shared" si="231"/>
        <v>-0.14959045961889417</v>
      </c>
      <c r="AP420" s="79"/>
      <c r="AQ420" s="531"/>
      <c r="AR420" s="531"/>
      <c r="AS420" s="531"/>
      <c r="AT420" s="531"/>
      <c r="AU420" s="531"/>
      <c r="AV420" s="79"/>
      <c r="AW420" s="79"/>
      <c r="AX420" s="79"/>
      <c r="AY420" s="79"/>
      <c r="AZ420" s="79"/>
      <c r="BA420" s="79"/>
      <c r="BB420" s="79"/>
      <c r="BC420" s="79"/>
      <c r="BD420" s="79"/>
      <c r="BE420" s="79"/>
      <c r="BF420" s="79"/>
      <c r="BG420" s="79"/>
      <c r="BH420" s="79"/>
      <c r="BI420" s="79"/>
    </row>
    <row r="421" spans="1:61" ht="15.75" customHeight="1">
      <c r="A421" s="564" t="s">
        <v>113</v>
      </c>
      <c r="B421" s="2"/>
      <c r="C421" s="1259" t="s">
        <v>3311</v>
      </c>
      <c r="V421" s="300" t="s">
        <v>113</v>
      </c>
      <c r="W421" s="457" t="s">
        <v>216</v>
      </c>
      <c r="X421" s="439"/>
      <c r="Y421" s="439"/>
      <c r="Z421" s="440">
        <f>+SUMIF($C:$C,$V421,F:F)</f>
        <v>26732.282612567054</v>
      </c>
      <c r="AA421" s="439"/>
      <c r="AB421" s="439"/>
      <c r="AC421" s="440">
        <f>+SUMIF($C:$C,$V421,I:I)</f>
        <v>26732.282612567054</v>
      </c>
      <c r="AD421" s="459"/>
      <c r="AE421" s="458"/>
      <c r="AF421" s="440">
        <f>+SUMIF($C:$C,$V421,L:L)</f>
        <v>21231.339999999997</v>
      </c>
      <c r="AG421" s="441"/>
      <c r="AH421" s="442">
        <f t="shared" si="230"/>
        <v>-5500.9426125670579</v>
      </c>
      <c r="AI421" s="460">
        <f t="shared" si="232"/>
        <v>-0.20577900856027243</v>
      </c>
      <c r="AJ421" s="459"/>
      <c r="AK421" s="439"/>
      <c r="AL421" s="440">
        <f>+SUMIF($C:$C,$V421,Q:Q)</f>
        <v>25571.14</v>
      </c>
      <c r="AM421" s="444"/>
      <c r="AN421" s="442">
        <f t="shared" si="229"/>
        <v>-4339.8000000000029</v>
      </c>
      <c r="AO421" s="445">
        <f t="shared" si="231"/>
        <v>-0.1697147643789054</v>
      </c>
      <c r="AP421" s="79"/>
      <c r="AQ421" s="531"/>
      <c r="AR421" s="531"/>
      <c r="AS421" s="531"/>
      <c r="AT421" s="531"/>
      <c r="AU421" s="531"/>
      <c r="AV421" s="79"/>
      <c r="AW421" s="79"/>
      <c r="AX421" s="79"/>
      <c r="AY421" s="79"/>
      <c r="AZ421" s="79"/>
      <c r="BA421" s="79"/>
      <c r="BB421" s="79"/>
      <c r="BC421" s="79"/>
      <c r="BD421" s="79"/>
      <c r="BE421" s="79"/>
      <c r="BF421" s="79"/>
      <c r="BG421" s="79"/>
      <c r="BH421" s="79"/>
      <c r="BI421" s="79"/>
    </row>
    <row r="422" spans="1:61" ht="15.75" customHeight="1">
      <c r="A422" s="564" t="s">
        <v>114</v>
      </c>
      <c r="B422" s="2"/>
      <c r="C422" s="1259" t="s">
        <v>3311</v>
      </c>
      <c r="V422" s="274" t="s">
        <v>114</v>
      </c>
      <c r="W422" s="454" t="s">
        <v>217</v>
      </c>
      <c r="X422" s="449"/>
      <c r="Y422" s="449"/>
      <c r="Z422" s="87">
        <f>+SUMIF($C:$C,$V422,F:F)</f>
        <v>56911.548926896547</v>
      </c>
      <c r="AA422" s="449"/>
      <c r="AB422" s="449"/>
      <c r="AC422" s="87">
        <f>+SUMIF($C:$C,$V422,I:I)</f>
        <v>56911.548926896547</v>
      </c>
      <c r="AD422" s="456"/>
      <c r="AE422" s="455"/>
      <c r="AF422" s="248">
        <f>+SUMIF($C:$C,$V422,L:L)</f>
        <v>59546.25</v>
      </c>
      <c r="AG422" s="450"/>
      <c r="AH422" s="451">
        <f t="shared" si="230"/>
        <v>2634.7010731034534</v>
      </c>
      <c r="AI422" s="452">
        <f t="shared" si="232"/>
        <v>4.6294664664420802E-2</v>
      </c>
      <c r="AJ422" s="456"/>
      <c r="AK422" s="449"/>
      <c r="AL422" s="87">
        <f>+SUMIF($C:$C,$V422,Q:Q)</f>
        <v>51344.81</v>
      </c>
      <c r="AM422" s="453"/>
      <c r="AN422" s="451">
        <f t="shared" si="229"/>
        <v>8201.4400000000023</v>
      </c>
      <c r="AO422" s="208">
        <f t="shared" si="231"/>
        <v>0.15973260004273077</v>
      </c>
      <c r="AP422" s="79"/>
      <c r="AQ422" s="531"/>
      <c r="AR422" s="531"/>
      <c r="AS422" s="531"/>
      <c r="AT422" s="531"/>
      <c r="AU422" s="531"/>
      <c r="AV422" s="79"/>
      <c r="AW422" s="79"/>
      <c r="AX422" s="79"/>
      <c r="AY422" s="79"/>
      <c r="AZ422" s="79"/>
      <c r="BA422" s="79"/>
      <c r="BB422" s="79"/>
      <c r="BC422" s="79"/>
      <c r="BD422" s="79"/>
      <c r="BE422" s="79"/>
      <c r="BF422" s="79"/>
      <c r="BG422" s="79"/>
      <c r="BH422" s="79"/>
      <c r="BI422" s="79"/>
    </row>
    <row r="423" spans="1:61" ht="15.75" customHeight="1">
      <c r="A423" s="564" t="s">
        <v>115</v>
      </c>
      <c r="B423" s="2"/>
      <c r="C423" s="1259" t="s">
        <v>3311</v>
      </c>
      <c r="V423" s="274" t="s">
        <v>115</v>
      </c>
      <c r="W423" s="454" t="s">
        <v>218</v>
      </c>
      <c r="X423" s="449"/>
      <c r="Y423" s="449"/>
      <c r="Z423" s="87">
        <f>+SUMIF($C:$C,$V423,F:F)</f>
        <v>36866.512348284632</v>
      </c>
      <c r="AA423" s="449"/>
      <c r="AB423" s="449"/>
      <c r="AC423" s="87">
        <f>+SUMIF($C:$C,$V423,I:I)</f>
        <v>36866.512348284632</v>
      </c>
      <c r="AD423" s="456"/>
      <c r="AE423" s="455"/>
      <c r="AF423" s="248">
        <f>+SUMIF($C:$C,$V423,L:L)</f>
        <v>29704.89</v>
      </c>
      <c r="AG423" s="450"/>
      <c r="AH423" s="451">
        <f t="shared" si="230"/>
        <v>-7161.6223482846326</v>
      </c>
      <c r="AI423" s="452">
        <f t="shared" si="232"/>
        <v>-0.19425820052158682</v>
      </c>
      <c r="AJ423" s="456"/>
      <c r="AK423" s="449"/>
      <c r="AL423" s="87">
        <f>+SUMIF($C:$C,$V423,Q:Q)</f>
        <v>26515.010000000002</v>
      </c>
      <c r="AM423" s="453"/>
      <c r="AN423" s="451">
        <f t="shared" si="229"/>
        <v>3189.8799999999974</v>
      </c>
      <c r="AO423" s="208">
        <f t="shared" si="231"/>
        <v>0.12030468779759076</v>
      </c>
      <c r="AP423" s="79"/>
      <c r="AQ423" s="531"/>
      <c r="AR423" s="531"/>
      <c r="AS423" s="531"/>
      <c r="AT423" s="531"/>
      <c r="AU423" s="531"/>
      <c r="AV423" s="79"/>
      <c r="AW423" s="79"/>
      <c r="AX423" s="79"/>
      <c r="AY423" s="79"/>
      <c r="AZ423" s="79"/>
      <c r="BA423" s="79"/>
      <c r="BB423" s="79"/>
      <c r="BC423" s="79"/>
      <c r="BD423" s="79"/>
      <c r="BE423" s="79"/>
      <c r="BF423" s="79"/>
      <c r="BG423" s="79"/>
      <c r="BH423" s="79"/>
      <c r="BI423" s="79"/>
    </row>
    <row r="424" spans="1:61" s="564" customFormat="1" ht="15.75" hidden="1" customHeight="1">
      <c r="A424" s="564" t="s">
        <v>42</v>
      </c>
      <c r="B424" s="159"/>
      <c r="C424" s="1259" t="s">
        <v>3311</v>
      </c>
      <c r="D424"/>
      <c r="E424"/>
      <c r="F424"/>
      <c r="G424"/>
      <c r="H424"/>
      <c r="I424"/>
      <c r="J424"/>
      <c r="K424"/>
      <c r="L424"/>
      <c r="M424"/>
      <c r="N424"/>
      <c r="O424"/>
      <c r="P424"/>
      <c r="Q424"/>
      <c r="R424"/>
      <c r="S424"/>
      <c r="V424" s="274" t="s">
        <v>42</v>
      </c>
      <c r="W424" s="454"/>
      <c r="X424" s="449"/>
      <c r="Y424" s="449"/>
      <c r="Z424" s="87">
        <f>IFERROR(SUMIF($C:$C,$V424,F:F),0)</f>
        <v>0</v>
      </c>
      <c r="AA424" s="449"/>
      <c r="AB424" s="449"/>
      <c r="AC424" s="87">
        <f>IFERROR(SUMIF($C:$C,$V424,I:I),0)</f>
        <v>0</v>
      </c>
      <c r="AD424" s="456"/>
      <c r="AE424" s="455"/>
      <c r="AF424" s="87">
        <f>IFERROR(SUMIF($C:$C,$V424,L:L),0)</f>
        <v>0</v>
      </c>
      <c r="AG424" s="450"/>
      <c r="AH424" s="451">
        <f t="shared" si="230"/>
        <v>0</v>
      </c>
      <c r="AI424" s="452">
        <f t="shared" ref="AI424:AI426" si="233">IF(AC424=0,0,AH424/AC424)</f>
        <v>0</v>
      </c>
      <c r="AJ424" s="456"/>
      <c r="AK424" s="449"/>
      <c r="AL424" s="87">
        <f>IFERROR(SUMIF($C:$C,$V424,Q:Q),0)</f>
        <v>0</v>
      </c>
      <c r="AM424" s="453"/>
      <c r="AN424" s="451">
        <f t="shared" ref="AN424:AN426" si="234">AF424-AL424</f>
        <v>0</v>
      </c>
      <c r="AO424" s="208">
        <f t="shared" ref="AO424:AO426" si="235">IF(AL424=0,0,AN424/AL424)</f>
        <v>0</v>
      </c>
      <c r="AP424" s="79"/>
      <c r="AQ424" s="531"/>
      <c r="AR424" s="531"/>
      <c r="AS424" s="531"/>
      <c r="AT424" s="531"/>
      <c r="AU424" s="531"/>
      <c r="AV424" s="79"/>
      <c r="AW424" s="79"/>
      <c r="AX424" s="79"/>
      <c r="AY424" s="79"/>
      <c r="AZ424" s="79"/>
      <c r="BA424" s="79"/>
      <c r="BB424" s="79"/>
      <c r="BC424" s="79"/>
      <c r="BD424" s="79"/>
      <c r="BE424" s="79"/>
      <c r="BF424" s="79"/>
      <c r="BG424" s="79"/>
      <c r="BH424" s="79"/>
      <c r="BI424" s="79"/>
    </row>
    <row r="425" spans="1:61" s="564" customFormat="1" ht="15.75" hidden="1" customHeight="1">
      <c r="A425" s="564" t="s">
        <v>42</v>
      </c>
      <c r="B425" s="159"/>
      <c r="C425" s="1259" t="s">
        <v>3311</v>
      </c>
      <c r="D425"/>
      <c r="E425"/>
      <c r="F425"/>
      <c r="G425"/>
      <c r="H425"/>
      <c r="I425"/>
      <c r="J425"/>
      <c r="K425"/>
      <c r="L425"/>
      <c r="M425"/>
      <c r="N425"/>
      <c r="O425"/>
      <c r="P425"/>
      <c r="Q425"/>
      <c r="R425"/>
      <c r="S425"/>
      <c r="V425" s="274" t="s">
        <v>42</v>
      </c>
      <c r="W425" s="454"/>
      <c r="X425" s="449"/>
      <c r="Y425" s="449"/>
      <c r="Z425" s="87">
        <f>IFERROR(SUMIF($C:$C,$V425,F:F),0)</f>
        <v>0</v>
      </c>
      <c r="AA425" s="449"/>
      <c r="AB425" s="449"/>
      <c r="AC425" s="87">
        <f>IFERROR(SUMIF($C:$C,$V425,I:I),0)</f>
        <v>0</v>
      </c>
      <c r="AD425" s="456"/>
      <c r="AE425" s="455"/>
      <c r="AF425" s="87">
        <f>IFERROR(SUMIF($C:$C,$V425,L:L),0)</f>
        <v>0</v>
      </c>
      <c r="AG425" s="450"/>
      <c r="AH425" s="451">
        <f t="shared" si="230"/>
        <v>0</v>
      </c>
      <c r="AI425" s="452">
        <f t="shared" si="233"/>
        <v>0</v>
      </c>
      <c r="AJ425" s="456"/>
      <c r="AK425" s="449"/>
      <c r="AL425" s="87">
        <f>IFERROR(SUMIF($C:$C,$V425,Q:Q),0)</f>
        <v>0</v>
      </c>
      <c r="AM425" s="453"/>
      <c r="AN425" s="451">
        <f t="shared" si="234"/>
        <v>0</v>
      </c>
      <c r="AO425" s="208">
        <f t="shared" si="235"/>
        <v>0</v>
      </c>
      <c r="AP425" s="79"/>
      <c r="AQ425" s="531"/>
      <c r="AR425" s="531"/>
      <c r="AS425" s="531"/>
      <c r="AT425" s="531"/>
      <c r="AU425" s="531"/>
      <c r="AV425" s="79"/>
      <c r="AW425" s="79"/>
      <c r="AX425" s="79"/>
      <c r="AY425" s="79"/>
      <c r="AZ425" s="79"/>
      <c r="BA425" s="79"/>
      <c r="BB425" s="79"/>
      <c r="BC425" s="79"/>
      <c r="BD425" s="79"/>
      <c r="BE425" s="79"/>
      <c r="BF425" s="79"/>
      <c r="BG425" s="79"/>
      <c r="BH425" s="79"/>
      <c r="BI425" s="79"/>
    </row>
    <row r="426" spans="1:61" s="564" customFormat="1" ht="15.75" hidden="1" customHeight="1">
      <c r="A426" s="564" t="s">
        <v>42</v>
      </c>
      <c r="B426" s="159"/>
      <c r="C426" s="1259" t="s">
        <v>3311</v>
      </c>
      <c r="D426"/>
      <c r="E426"/>
      <c r="F426"/>
      <c r="G426"/>
      <c r="H426"/>
      <c r="I426"/>
      <c r="J426"/>
      <c r="K426"/>
      <c r="L426"/>
      <c r="M426"/>
      <c r="N426"/>
      <c r="O426"/>
      <c r="P426"/>
      <c r="Q426"/>
      <c r="R426"/>
      <c r="S426"/>
      <c r="V426" s="274" t="s">
        <v>42</v>
      </c>
      <c r="W426" s="454"/>
      <c r="X426" s="449"/>
      <c r="Y426" s="449"/>
      <c r="Z426" s="87">
        <f>IFERROR(SUMIF($C:$C,$V426,F:F),0)</f>
        <v>0</v>
      </c>
      <c r="AA426" s="449"/>
      <c r="AB426" s="449"/>
      <c r="AC426" s="87">
        <f>IFERROR(SUMIF($C:$C,$V426,I:I),0)</f>
        <v>0</v>
      </c>
      <c r="AD426" s="456"/>
      <c r="AE426" s="455"/>
      <c r="AF426" s="87">
        <f>IFERROR(SUMIF($C:$C,$V426,L:L),0)</f>
        <v>0</v>
      </c>
      <c r="AG426" s="450"/>
      <c r="AH426" s="451">
        <f t="shared" si="230"/>
        <v>0</v>
      </c>
      <c r="AI426" s="452">
        <f t="shared" si="233"/>
        <v>0</v>
      </c>
      <c r="AJ426" s="456"/>
      <c r="AK426" s="449"/>
      <c r="AL426" s="87">
        <f>IFERROR(SUMIF($C:$C,$V426,Q:Q),0)</f>
        <v>0</v>
      </c>
      <c r="AM426" s="453"/>
      <c r="AN426" s="451">
        <f t="shared" si="234"/>
        <v>0</v>
      </c>
      <c r="AO426" s="208">
        <f t="shared" si="235"/>
        <v>0</v>
      </c>
      <c r="AP426" s="79"/>
      <c r="AQ426" s="531"/>
      <c r="AR426" s="531"/>
      <c r="AS426" s="531"/>
      <c r="AT426" s="531"/>
      <c r="AU426" s="531"/>
      <c r="AV426" s="79"/>
      <c r="AW426" s="79"/>
      <c r="AX426" s="79"/>
      <c r="AY426" s="79"/>
      <c r="AZ426" s="79"/>
      <c r="BA426" s="79"/>
      <c r="BB426" s="79"/>
      <c r="BC426" s="79"/>
      <c r="BD426" s="79"/>
      <c r="BE426" s="79"/>
      <c r="BF426" s="79"/>
      <c r="BG426" s="79"/>
      <c r="BH426" s="79"/>
      <c r="BI426" s="79"/>
    </row>
    <row r="427" spans="1:61" ht="15.75" customHeight="1">
      <c r="A427" s="564" t="s">
        <v>116</v>
      </c>
      <c r="B427" s="2"/>
      <c r="C427" s="1259" t="s">
        <v>3311</v>
      </c>
      <c r="V427" s="276" t="s">
        <v>116</v>
      </c>
      <c r="W427" s="457" t="s">
        <v>219</v>
      </c>
      <c r="X427" s="439"/>
      <c r="Y427" s="439"/>
      <c r="Z427" s="440">
        <f>+SUMIF($C:$C,$V427,F:F)</f>
        <v>42551.816629138484</v>
      </c>
      <c r="AA427" s="439"/>
      <c r="AB427" s="439"/>
      <c r="AC427" s="440">
        <f>+SUMIF($C:$C,$V427,I:I)</f>
        <v>42551.816629138484</v>
      </c>
      <c r="AD427" s="459"/>
      <c r="AE427" s="458"/>
      <c r="AF427" s="1005">
        <f>+SUMIF($C:$C,$V427,L:L)</f>
        <v>45078.25</v>
      </c>
      <c r="AG427" s="441"/>
      <c r="AH427" s="442">
        <f t="shared" ref="AH427:AH431" si="236">AF427-AC427</f>
        <v>2526.4333708615159</v>
      </c>
      <c r="AI427" s="460">
        <f t="shared" si="232"/>
        <v>5.9373102513594532E-2</v>
      </c>
      <c r="AJ427" s="459"/>
      <c r="AK427" s="439"/>
      <c r="AL427" s="440">
        <f>+SUMIF($C:$C,$V427,Q:Q)</f>
        <v>36353.65</v>
      </c>
      <c r="AM427" s="444"/>
      <c r="AN427" s="442">
        <f t="shared" ref="AN427:AN430" si="237">AF427-AL427</f>
        <v>8724.5999999999985</v>
      </c>
      <c r="AO427" s="209">
        <f t="shared" ref="AO427:AO430" si="238">IF(AL427=0,0,AN427/AL427)</f>
        <v>0.2399924079150236</v>
      </c>
      <c r="AP427" s="79"/>
      <c r="AQ427" s="531"/>
      <c r="AR427" s="531"/>
      <c r="AS427" s="531"/>
      <c r="AT427" s="531"/>
      <c r="AU427" s="531"/>
      <c r="AV427" s="79"/>
      <c r="AW427" s="79"/>
      <c r="AX427" s="79"/>
      <c r="AY427" s="79"/>
      <c r="AZ427" s="79"/>
      <c r="BA427" s="79"/>
      <c r="BB427" s="79"/>
      <c r="BC427" s="79"/>
      <c r="BD427" s="79"/>
      <c r="BE427" s="79"/>
      <c r="BF427" s="79"/>
      <c r="BG427" s="79"/>
      <c r="BH427" s="79"/>
      <c r="BI427" s="79"/>
    </row>
    <row r="428" spans="1:61" ht="15.75" customHeight="1">
      <c r="A428" s="564" t="s">
        <v>117</v>
      </c>
      <c r="B428" s="2"/>
      <c r="C428" s="1259" t="s">
        <v>3311</v>
      </c>
      <c r="V428" s="274" t="s">
        <v>117</v>
      </c>
      <c r="W428" s="454" t="s">
        <v>220</v>
      </c>
      <c r="X428" s="449"/>
      <c r="Y428" s="449"/>
      <c r="Z428" s="87">
        <f>+SUMIF($C:$C,$V428,F:F)</f>
        <v>38109.513596385528</v>
      </c>
      <c r="AA428" s="449"/>
      <c r="AB428" s="449"/>
      <c r="AC428" s="87">
        <f>+SUMIF($C:$C,$V428,I:I)</f>
        <v>38109.513596385528</v>
      </c>
      <c r="AD428" s="456"/>
      <c r="AE428" s="455"/>
      <c r="AF428" s="248">
        <f>+SUMIF($C:$C,$V428,L:L)</f>
        <v>40760.730000000003</v>
      </c>
      <c r="AG428" s="450"/>
      <c r="AH428" s="451">
        <f t="shared" si="236"/>
        <v>2651.216403614475</v>
      </c>
      <c r="AI428" s="452">
        <f t="shared" si="232"/>
        <v>6.9568361110384988E-2</v>
      </c>
      <c r="AJ428" s="456"/>
      <c r="AK428" s="449"/>
      <c r="AL428" s="87">
        <f>+SUMIF($C:$C,$V428,Q:Q)</f>
        <v>35128.960000000006</v>
      </c>
      <c r="AM428" s="453"/>
      <c r="AN428" s="451">
        <f t="shared" si="237"/>
        <v>5631.7699999999968</v>
      </c>
      <c r="AO428" s="208">
        <f t="shared" si="238"/>
        <v>0.1603170147934922</v>
      </c>
      <c r="AP428" s="79"/>
      <c r="AQ428" s="531"/>
      <c r="AR428" s="531"/>
      <c r="AS428" s="531"/>
      <c r="AT428" s="531"/>
      <c r="AU428" s="531"/>
      <c r="AV428" s="79"/>
      <c r="AW428" s="79"/>
      <c r="AX428" s="79"/>
      <c r="AY428" s="79"/>
      <c r="AZ428" s="79"/>
      <c r="BA428" s="79"/>
      <c r="BB428" s="79"/>
      <c r="BC428" s="79"/>
      <c r="BD428" s="79"/>
      <c r="BE428" s="79"/>
      <c r="BF428" s="79"/>
      <c r="BG428" s="79"/>
      <c r="BH428" s="79"/>
      <c r="BI428" s="79"/>
    </row>
    <row r="429" spans="1:61" ht="15.75" customHeight="1">
      <c r="A429" s="564" t="s">
        <v>118</v>
      </c>
      <c r="B429" s="2"/>
      <c r="C429" s="1259" t="s">
        <v>3311</v>
      </c>
      <c r="V429" s="274" t="s">
        <v>118</v>
      </c>
      <c r="W429" s="454" t="s">
        <v>221</v>
      </c>
      <c r="X429" s="449"/>
      <c r="Y429" s="449"/>
      <c r="Z429" s="87">
        <f>+SUMIF($C:$C,$V429,F:F)</f>
        <v>30263.437267717924</v>
      </c>
      <c r="AA429" s="449"/>
      <c r="AB429" s="449"/>
      <c r="AC429" s="87">
        <f>+SUMIF($C:$C,$V429,I:I)</f>
        <v>30263.437267717924</v>
      </c>
      <c r="AD429" s="456"/>
      <c r="AE429" s="455"/>
      <c r="AF429" s="87">
        <f>+SUMIF($C:$C,$V429,L:L)</f>
        <v>21099.64</v>
      </c>
      <c r="AG429" s="450"/>
      <c r="AH429" s="451">
        <f t="shared" si="236"/>
        <v>-9163.7972677179241</v>
      </c>
      <c r="AI429" s="452">
        <f t="shared" si="232"/>
        <v>-0.30280094050958867</v>
      </c>
      <c r="AJ429" s="456"/>
      <c r="AK429" s="449"/>
      <c r="AL429" s="87">
        <f>+SUMIF($C:$C,$V429,Q:Q)</f>
        <v>27796.020000000004</v>
      </c>
      <c r="AM429" s="453"/>
      <c r="AN429" s="451">
        <f t="shared" si="237"/>
        <v>-6696.3800000000047</v>
      </c>
      <c r="AO429" s="208">
        <f t="shared" si="238"/>
        <v>-0.24091146862032778</v>
      </c>
      <c r="AP429" s="79"/>
      <c r="AQ429" s="531"/>
      <c r="AR429" s="531"/>
      <c r="AS429" s="531"/>
      <c r="AT429" s="531"/>
      <c r="AU429" s="531"/>
      <c r="AV429" s="79"/>
      <c r="AW429" s="79"/>
      <c r="AX429" s="79"/>
      <c r="AY429" s="79"/>
      <c r="AZ429" s="79"/>
      <c r="BA429" s="79"/>
      <c r="BB429" s="79"/>
      <c r="BC429" s="79"/>
      <c r="BD429" s="79"/>
      <c r="BE429" s="79"/>
      <c r="BF429" s="79"/>
      <c r="BG429" s="79"/>
      <c r="BH429" s="79"/>
      <c r="BI429" s="79"/>
    </row>
    <row r="430" spans="1:61" ht="15.75" customHeight="1">
      <c r="A430" s="564" t="s">
        <v>119</v>
      </c>
      <c r="B430" s="2"/>
      <c r="C430" s="1259" t="s">
        <v>3311</v>
      </c>
      <c r="V430" s="274" t="s">
        <v>119</v>
      </c>
      <c r="W430" s="454"/>
      <c r="X430" s="449"/>
      <c r="Y430" s="449"/>
      <c r="Z430" s="87">
        <f>+SUMIF($C:$C,$V430,F:F)</f>
        <v>12329.548516477671</v>
      </c>
      <c r="AA430" s="449"/>
      <c r="AB430" s="449"/>
      <c r="AC430" s="87">
        <f>+SUMIF($C:$C,$V430,I:I)</f>
        <v>12329.548516477671</v>
      </c>
      <c r="AD430" s="456"/>
      <c r="AE430" s="455"/>
      <c r="AF430" s="248">
        <f>+SUMIF($C:$C,$V430,L:L)</f>
        <v>13064.77</v>
      </c>
      <c r="AG430" s="450"/>
      <c r="AH430" s="451">
        <f t="shared" si="236"/>
        <v>735.22148352232944</v>
      </c>
      <c r="AI430" s="97">
        <f t="shared" si="232"/>
        <v>5.9630852057538999E-2</v>
      </c>
      <c r="AJ430" s="456"/>
      <c r="AK430" s="449"/>
      <c r="AL430" s="87">
        <f>+SUMIF($C:$C,$V430,Q:Q)</f>
        <v>10120.39</v>
      </c>
      <c r="AM430" s="453"/>
      <c r="AN430" s="451">
        <f t="shared" si="237"/>
        <v>2944.380000000001</v>
      </c>
      <c r="AO430" s="208">
        <f t="shared" si="238"/>
        <v>0.29093542837776026</v>
      </c>
      <c r="AP430" s="79"/>
      <c r="AQ430" s="531"/>
      <c r="AR430" s="531"/>
      <c r="AS430" s="531"/>
      <c r="AT430" s="531"/>
      <c r="AU430" s="531"/>
      <c r="AV430" s="79"/>
      <c r="AW430" s="79"/>
      <c r="AX430" s="79"/>
      <c r="AY430" s="79"/>
      <c r="AZ430" s="79"/>
      <c r="BA430" s="79"/>
      <c r="BB430" s="79"/>
      <c r="BC430" s="79"/>
      <c r="BD430" s="79"/>
      <c r="BE430" s="79"/>
      <c r="BF430" s="79"/>
      <c r="BG430" s="79"/>
      <c r="BH430" s="79"/>
      <c r="BI430" s="79"/>
    </row>
    <row r="431" spans="1:61" ht="15.75" hidden="1" customHeight="1">
      <c r="A431" s="564" t="s">
        <v>42</v>
      </c>
      <c r="B431" s="2"/>
      <c r="C431" s="1259" t="s">
        <v>3311</v>
      </c>
      <c r="V431" s="285" t="s">
        <v>42</v>
      </c>
      <c r="W431" s="454"/>
      <c r="X431" s="449"/>
      <c r="Y431" s="455"/>
      <c r="Z431" s="87">
        <f>IFERROR(SUMIF($C:$C,$V431,F:F),0)</f>
        <v>0</v>
      </c>
      <c r="AA431" s="449"/>
      <c r="AB431" s="449"/>
      <c r="AC431" s="87">
        <f>IFERROR(SUMIF($C:$C,$V431,I:I),0)</f>
        <v>0</v>
      </c>
      <c r="AD431" s="456"/>
      <c r="AE431" s="455"/>
      <c r="AF431" s="87">
        <f>IFERROR(SUMIF($C:$C,$V431,L:L),0)</f>
        <v>0</v>
      </c>
      <c r="AG431" s="450"/>
      <c r="AH431" s="451">
        <f t="shared" si="236"/>
        <v>0</v>
      </c>
      <c r="AI431" s="452">
        <f t="shared" si="232"/>
        <v>0</v>
      </c>
      <c r="AJ431" s="456"/>
      <c r="AK431" s="449"/>
      <c r="AL431" s="87">
        <f>IFERROR(SUMIF($C:$C,$V431,Q:Q),0)</f>
        <v>0</v>
      </c>
      <c r="AM431" s="453"/>
      <c r="AN431" s="451"/>
      <c r="AO431" s="209"/>
      <c r="AP431" s="79"/>
      <c r="AQ431" s="531"/>
      <c r="AR431" s="531"/>
      <c r="AS431" s="531"/>
      <c r="AT431" s="531"/>
      <c r="AU431" s="531"/>
      <c r="AV431" s="79"/>
      <c r="AW431" s="79"/>
      <c r="AX431" s="79"/>
      <c r="AY431" s="79"/>
      <c r="AZ431" s="79"/>
      <c r="BA431" s="79"/>
      <c r="BB431" s="79"/>
      <c r="BC431" s="79"/>
      <c r="BD431" s="79"/>
      <c r="BE431" s="79"/>
      <c r="BF431" s="79"/>
      <c r="BG431" s="79"/>
      <c r="BH431" s="79"/>
      <c r="BI431" s="79"/>
    </row>
    <row r="432" spans="1:61" ht="15.75" customHeight="1">
      <c r="A432" s="564" t="s">
        <v>120</v>
      </c>
      <c r="B432" s="2"/>
      <c r="C432" s="1259" t="s">
        <v>3311</v>
      </c>
      <c r="V432" s="461" t="s">
        <v>120</v>
      </c>
      <c r="W432" s="88"/>
      <c r="X432" s="89">
        <f>Z432/Z406</f>
        <v>0.38857533292794039</v>
      </c>
      <c r="Y432" s="88"/>
      <c r="Z432" s="90">
        <f>SUM(Z419:Z431)</f>
        <v>297729.9584019889</v>
      </c>
      <c r="AA432" s="89">
        <f>AC432/AC406</f>
        <v>0.38857533292794039</v>
      </c>
      <c r="AB432" s="88"/>
      <c r="AC432" s="90">
        <f>SUM(AC419:AC431)</f>
        <v>297729.9584019889</v>
      </c>
      <c r="AD432" s="91">
        <f>AF432/AF406</f>
        <v>0.38217948825822684</v>
      </c>
      <c r="AE432" s="98"/>
      <c r="AF432" s="90">
        <f>SUM(AF419:AF431)</f>
        <v>286606.14</v>
      </c>
      <c r="AG432" s="99"/>
      <c r="AH432" s="93">
        <f t="shared" ref="AH432:AH446" si="239">AF432-AC432</f>
        <v>-11123.818401988887</v>
      </c>
      <c r="AI432" s="89">
        <f>AH432/AC432</f>
        <v>-3.7362106459470683E-2</v>
      </c>
      <c r="AJ432" s="91">
        <f>IF($AL$406=0,0,AL432/$AL$406)</f>
        <v>0.38078327898848063</v>
      </c>
      <c r="AK432" s="88"/>
      <c r="AL432" s="90">
        <f>SUM(AL419:AL431)</f>
        <v>261114.08000000002</v>
      </c>
      <c r="AM432" s="100"/>
      <c r="AN432" s="93">
        <f t="shared" ref="AN432:AN446" si="240">AF432-AL432</f>
        <v>25492.059999999998</v>
      </c>
      <c r="AO432" s="447">
        <f>IF(AL432=0,0,AN432/AL432)</f>
        <v>9.7628055905679217E-2</v>
      </c>
      <c r="AP432" s="79"/>
      <c r="AQ432" s="531"/>
      <c r="AR432" s="531"/>
      <c r="AS432" s="531"/>
      <c r="AT432" s="531"/>
      <c r="AU432" s="531"/>
      <c r="AV432" s="79"/>
      <c r="AW432" s="79"/>
      <c r="AX432" s="79"/>
      <c r="AY432" s="79"/>
      <c r="AZ432" s="79"/>
      <c r="BA432" s="79"/>
      <c r="BB432" s="79"/>
      <c r="BC432" s="79"/>
      <c r="BD432" s="79"/>
      <c r="BE432" s="79"/>
      <c r="BF432" s="79"/>
      <c r="BG432" s="79"/>
      <c r="BH432" s="79"/>
      <c r="BI432" s="79"/>
    </row>
    <row r="433" spans="1:62" ht="15.75" customHeight="1">
      <c r="A433" s="564" t="s">
        <v>121</v>
      </c>
      <c r="B433" s="2"/>
      <c r="C433" s="1259" t="s">
        <v>3311</v>
      </c>
      <c r="V433" s="294" t="s">
        <v>121</v>
      </c>
      <c r="W433" s="462" t="s">
        <v>211</v>
      </c>
      <c r="X433" s="463"/>
      <c r="Y433" s="463"/>
      <c r="Z433" s="464">
        <f t="shared" ref="Z433:Z447" si="241">+SUMIF($C:$C,$V433,F:F)</f>
        <v>10644.25</v>
      </c>
      <c r="AA433" s="463"/>
      <c r="AB433" s="463"/>
      <c r="AC433" s="464">
        <f t="shared" ref="AC433:AC447" si="242">+SUMIF($C:$C,$V433,I:I)</f>
        <v>10644.25</v>
      </c>
      <c r="AD433" s="465"/>
      <c r="AE433" s="466"/>
      <c r="AF433" s="242">
        <f t="shared" ref="AF433:AF446" si="243">+SUMIF($C:$C,$V433,L:L)</f>
        <v>26481.510000000002</v>
      </c>
      <c r="AG433" s="465"/>
      <c r="AH433" s="1087">
        <f t="shared" si="239"/>
        <v>15837.260000000002</v>
      </c>
      <c r="AI433" s="468">
        <f>IF(AC433=0,0,AH433/AC433)</f>
        <v>1.4878699767480097</v>
      </c>
      <c r="AJ433" s="465"/>
      <c r="AK433" s="463"/>
      <c r="AL433" s="464">
        <f t="shared" ref="AL433:AL446" si="244">+SUMIF($C:$C,$V433,Q:Q)</f>
        <v>10809.64</v>
      </c>
      <c r="AM433" s="469"/>
      <c r="AN433" s="467">
        <f t="shared" si="240"/>
        <v>15671.870000000003</v>
      </c>
      <c r="AO433" s="207">
        <f t="shared" ref="AO433:AO446" si="245">IF(AL433=0,0,AN433/AL433)</f>
        <v>1.449804988880296</v>
      </c>
      <c r="AP433" s="79"/>
      <c r="AQ433" s="531"/>
      <c r="AR433" s="531"/>
      <c r="AS433" s="531"/>
      <c r="AT433" s="531"/>
      <c r="AU433" s="531"/>
      <c r="AV433" s="79"/>
      <c r="AW433" s="79"/>
      <c r="AX433" s="79"/>
      <c r="AY433" s="79"/>
      <c r="AZ433" s="79"/>
      <c r="BA433" s="79"/>
      <c r="BB433" s="79"/>
      <c r="BC433" s="79"/>
      <c r="BD433" s="79"/>
      <c r="BE433" s="79"/>
      <c r="BF433" s="79"/>
      <c r="BG433" s="79"/>
      <c r="BH433" s="79"/>
      <c r="BI433" s="79"/>
    </row>
    <row r="434" spans="1:62" ht="15.75" customHeight="1">
      <c r="A434" s="564" t="s">
        <v>122</v>
      </c>
      <c r="B434" s="2"/>
      <c r="C434" s="1259" t="s">
        <v>3311</v>
      </c>
      <c r="V434" s="299" t="s">
        <v>122</v>
      </c>
      <c r="W434" s="454" t="s">
        <v>222</v>
      </c>
      <c r="X434" s="449"/>
      <c r="Y434" s="449"/>
      <c r="Z434" s="87">
        <f t="shared" si="241"/>
        <v>4693.4716422992187</v>
      </c>
      <c r="AA434" s="449"/>
      <c r="AB434" s="449"/>
      <c r="AC434" s="87">
        <f t="shared" si="242"/>
        <v>4693.4716422992187</v>
      </c>
      <c r="AD434" s="456"/>
      <c r="AE434" s="455"/>
      <c r="AF434" s="87">
        <f t="shared" si="243"/>
        <v>5674.51</v>
      </c>
      <c r="AG434" s="450"/>
      <c r="AH434" s="451">
        <f t="shared" si="239"/>
        <v>981.03835770078149</v>
      </c>
      <c r="AI434" s="452">
        <f t="shared" ref="AI434:AI446" si="246">IF(AC434=0,0,AH434/AC434)</f>
        <v>0.2090218994527033</v>
      </c>
      <c r="AJ434" s="456"/>
      <c r="AK434" s="449"/>
      <c r="AL434" s="87">
        <f t="shared" si="244"/>
        <v>5057.96</v>
      </c>
      <c r="AM434" s="453"/>
      <c r="AN434" s="451">
        <f t="shared" si="240"/>
        <v>616.55000000000018</v>
      </c>
      <c r="AO434" s="208">
        <f t="shared" si="245"/>
        <v>0.12189697032005002</v>
      </c>
      <c r="AP434" s="79"/>
      <c r="AQ434" s="531"/>
      <c r="AR434" s="531"/>
      <c r="AS434" s="531"/>
      <c r="AT434" s="531"/>
      <c r="AU434" s="531"/>
      <c r="AV434" s="79"/>
      <c r="AW434" s="79"/>
      <c r="AX434" s="79"/>
      <c r="AY434" s="79"/>
      <c r="AZ434" s="79"/>
      <c r="BA434" s="79"/>
      <c r="BB434" s="79"/>
      <c r="BC434" s="79"/>
      <c r="BD434" s="79"/>
      <c r="BE434" s="79"/>
      <c r="BF434" s="79"/>
      <c r="BG434" s="79"/>
      <c r="BH434" s="79"/>
      <c r="BI434" s="79"/>
    </row>
    <row r="435" spans="1:62" ht="15.75" customHeight="1">
      <c r="A435" s="564" t="s">
        <v>123</v>
      </c>
      <c r="B435" s="2"/>
      <c r="C435" s="1259" t="s">
        <v>3311</v>
      </c>
      <c r="U435" s="1184">
        <f>S435/AC428</f>
        <v>0</v>
      </c>
      <c r="V435" s="300" t="s">
        <v>123</v>
      </c>
      <c r="W435" s="457" t="s">
        <v>223</v>
      </c>
      <c r="X435" s="439"/>
      <c r="Y435" s="439"/>
      <c r="Z435" s="440">
        <f t="shared" si="241"/>
        <v>24238.994444444445</v>
      </c>
      <c r="AA435" s="439"/>
      <c r="AB435" s="439"/>
      <c r="AC435" s="440">
        <f t="shared" si="242"/>
        <v>24238.994444444445</v>
      </c>
      <c r="AD435" s="459"/>
      <c r="AE435" s="458"/>
      <c r="AF435" s="440">
        <f t="shared" si="243"/>
        <v>20875.199999999997</v>
      </c>
      <c r="AG435" s="441"/>
      <c r="AH435" s="442">
        <f t="shared" si="239"/>
        <v>-3363.7944444444474</v>
      </c>
      <c r="AI435" s="460">
        <f t="shared" si="246"/>
        <v>-0.13877615476806324</v>
      </c>
      <c r="AJ435" s="459"/>
      <c r="AK435" s="439"/>
      <c r="AL435" s="440">
        <f t="shared" si="244"/>
        <v>24875.559999999998</v>
      </c>
      <c r="AM435" s="444"/>
      <c r="AN435" s="442">
        <f t="shared" si="240"/>
        <v>-4000.3600000000006</v>
      </c>
      <c r="AO435" s="445">
        <f t="shared" si="245"/>
        <v>-0.16081487210740184</v>
      </c>
      <c r="AP435" s="79"/>
      <c r="AQ435" s="531"/>
      <c r="AR435" s="531"/>
      <c r="AS435" s="531"/>
      <c r="AT435" s="531"/>
      <c r="AU435" s="531"/>
      <c r="AV435" s="79"/>
      <c r="AW435" s="79"/>
      <c r="AX435" s="79"/>
      <c r="AY435" s="79"/>
      <c r="AZ435" s="79"/>
      <c r="BA435" s="79"/>
      <c r="BB435" s="79"/>
      <c r="BC435" s="79"/>
      <c r="BD435" s="79"/>
      <c r="BE435" s="79"/>
      <c r="BF435" s="79"/>
      <c r="BG435" s="79"/>
      <c r="BH435" s="79"/>
      <c r="BI435" s="79"/>
      <c r="BJ435" s="79"/>
    </row>
    <row r="436" spans="1:62" ht="15.75" customHeight="1">
      <c r="A436" s="564" t="s">
        <v>124</v>
      </c>
      <c r="B436" s="2"/>
      <c r="C436" s="1259" t="s">
        <v>3311</v>
      </c>
      <c r="U436" s="1184">
        <f>S436/AC429</f>
        <v>0</v>
      </c>
      <c r="V436" s="299" t="s">
        <v>124</v>
      </c>
      <c r="W436" s="454" t="s">
        <v>224</v>
      </c>
      <c r="X436" s="449"/>
      <c r="Y436" s="449"/>
      <c r="Z436" s="87">
        <f t="shared" si="241"/>
        <v>20034.212666666666</v>
      </c>
      <c r="AA436" s="449"/>
      <c r="AB436" s="449"/>
      <c r="AC436" s="87">
        <f t="shared" si="242"/>
        <v>20034.212666666666</v>
      </c>
      <c r="AD436" s="456"/>
      <c r="AE436" s="455"/>
      <c r="AF436" s="248">
        <f t="shared" si="243"/>
        <v>19298.55</v>
      </c>
      <c r="AG436" s="450"/>
      <c r="AH436" s="451">
        <f t="shared" si="239"/>
        <v>-735.66266666666706</v>
      </c>
      <c r="AI436" s="452">
        <f t="shared" si="246"/>
        <v>-3.6720318332782685E-2</v>
      </c>
      <c r="AJ436" s="456"/>
      <c r="AK436" s="449"/>
      <c r="AL436" s="87">
        <f t="shared" si="244"/>
        <v>17024.350000000002</v>
      </c>
      <c r="AM436" s="453"/>
      <c r="AN436" s="451">
        <f t="shared" si="240"/>
        <v>2274.1999999999971</v>
      </c>
      <c r="AO436" s="208">
        <f t="shared" si="245"/>
        <v>0.13358512953504814</v>
      </c>
      <c r="AP436" s="79"/>
      <c r="AQ436" s="531"/>
      <c r="AR436" s="531"/>
      <c r="AS436" s="531"/>
      <c r="AT436" s="531"/>
      <c r="AU436" s="531"/>
      <c r="AV436" s="79"/>
      <c r="AW436" s="79"/>
      <c r="AX436" s="79"/>
      <c r="AY436" s="79"/>
      <c r="AZ436" s="79"/>
      <c r="BA436" s="79"/>
      <c r="BB436" s="79"/>
      <c r="BC436" s="79"/>
      <c r="BD436" s="79"/>
      <c r="BE436" s="79"/>
      <c r="BF436" s="79"/>
      <c r="BG436" s="79"/>
      <c r="BH436" s="79"/>
      <c r="BI436" s="79"/>
      <c r="BJ436" s="79"/>
    </row>
    <row r="437" spans="1:62" ht="15.75" customHeight="1">
      <c r="A437" s="564" t="s">
        <v>125</v>
      </c>
      <c r="B437" s="2"/>
      <c r="C437" s="1259" t="s">
        <v>3311</v>
      </c>
      <c r="U437" s="1184">
        <f>S437/AC430</f>
        <v>0</v>
      </c>
      <c r="V437" s="299" t="s">
        <v>125</v>
      </c>
      <c r="W437" s="454" t="s">
        <v>225</v>
      </c>
      <c r="X437" s="449"/>
      <c r="Y437" s="449"/>
      <c r="Z437" s="87">
        <f t="shared" si="241"/>
        <v>2475.4431250000002</v>
      </c>
      <c r="AA437" s="449"/>
      <c r="AB437" s="449"/>
      <c r="AC437" s="87">
        <f t="shared" si="242"/>
        <v>2475.4431250000002</v>
      </c>
      <c r="AD437" s="456"/>
      <c r="AE437" s="455"/>
      <c r="AF437" s="87">
        <f t="shared" si="243"/>
        <v>4538.55</v>
      </c>
      <c r="AG437" s="450"/>
      <c r="AH437" s="451">
        <f t="shared" si="239"/>
        <v>2063.1068749999999</v>
      </c>
      <c r="AI437" s="452">
        <f t="shared" si="246"/>
        <v>0.83342931783173158</v>
      </c>
      <c r="AJ437" s="456"/>
      <c r="AK437" s="449"/>
      <c r="AL437" s="87">
        <f t="shared" si="244"/>
        <v>2142.3500000000004</v>
      </c>
      <c r="AM437" s="453"/>
      <c r="AN437" s="451">
        <f t="shared" si="240"/>
        <v>2396.1999999999998</v>
      </c>
      <c r="AO437" s="208">
        <f t="shared" si="245"/>
        <v>1.1184913762923889</v>
      </c>
      <c r="AP437" s="79"/>
      <c r="AQ437" s="531"/>
      <c r="AR437" s="531"/>
      <c r="AS437" s="531"/>
      <c r="AT437" s="531"/>
      <c r="AU437" s="531"/>
      <c r="AV437" s="79"/>
      <c r="AW437" s="79"/>
      <c r="AX437" s="79"/>
      <c r="AY437" s="79"/>
      <c r="AZ437" s="79"/>
      <c r="BA437" s="79"/>
      <c r="BB437" s="79"/>
      <c r="BC437" s="79"/>
      <c r="BD437" s="79"/>
      <c r="BE437" s="79"/>
      <c r="BF437" s="79"/>
      <c r="BG437" s="79"/>
      <c r="BH437" s="79"/>
      <c r="BI437" s="79"/>
      <c r="BJ437" s="79"/>
    </row>
    <row r="438" spans="1:62" ht="15.75" customHeight="1">
      <c r="A438" s="564" t="s">
        <v>126</v>
      </c>
      <c r="B438" s="2"/>
      <c r="C438" s="1259" t="s">
        <v>3311</v>
      </c>
      <c r="V438" s="299" t="s">
        <v>126</v>
      </c>
      <c r="W438" s="454" t="s">
        <v>226</v>
      </c>
      <c r="X438" s="449"/>
      <c r="Y438" s="449"/>
      <c r="Z438" s="87">
        <f t="shared" si="241"/>
        <v>26609.873755555556</v>
      </c>
      <c r="AA438" s="449"/>
      <c r="AB438" s="449"/>
      <c r="AC438" s="87">
        <f t="shared" si="242"/>
        <v>26609.873755555556</v>
      </c>
      <c r="AD438" s="456"/>
      <c r="AE438" s="455"/>
      <c r="AF438" s="248">
        <f t="shared" si="243"/>
        <v>17831.55</v>
      </c>
      <c r="AG438" s="450"/>
      <c r="AH438" s="451">
        <f t="shared" si="239"/>
        <v>-8778.323755555557</v>
      </c>
      <c r="AI438" s="452">
        <f t="shared" si="246"/>
        <v>-0.3298897182374958</v>
      </c>
      <c r="AJ438" s="456"/>
      <c r="AK438" s="449"/>
      <c r="AL438" s="87">
        <f t="shared" si="244"/>
        <v>17483.2</v>
      </c>
      <c r="AM438" s="453"/>
      <c r="AN438" s="451">
        <f t="shared" si="240"/>
        <v>348.34999999999854</v>
      </c>
      <c r="AO438" s="208">
        <f t="shared" si="245"/>
        <v>1.9924842134162998E-2</v>
      </c>
      <c r="AP438" s="79"/>
      <c r="AQ438" s="531"/>
      <c r="AR438" s="531"/>
      <c r="AS438" s="531"/>
      <c r="AT438" s="531"/>
      <c r="AU438" s="531"/>
      <c r="AV438" s="79"/>
      <c r="AW438" s="79"/>
      <c r="AX438" s="79"/>
      <c r="AY438" s="79"/>
      <c r="AZ438" s="79"/>
      <c r="BA438" s="79"/>
      <c r="BB438" s="79"/>
      <c r="BC438" s="79"/>
      <c r="BD438" s="79"/>
      <c r="BE438" s="79"/>
      <c r="BF438" s="79"/>
      <c r="BG438" s="79"/>
      <c r="BH438" s="79"/>
      <c r="BI438" s="79"/>
      <c r="BJ438" s="79"/>
    </row>
    <row r="439" spans="1:62" s="564" customFormat="1" ht="15.75" customHeight="1">
      <c r="B439" s="159"/>
      <c r="C439" s="1259" t="s">
        <v>3311</v>
      </c>
      <c r="D439"/>
      <c r="E439"/>
      <c r="F439"/>
      <c r="G439"/>
      <c r="H439"/>
      <c r="I439"/>
      <c r="J439"/>
      <c r="K439"/>
      <c r="L439"/>
      <c r="M439"/>
      <c r="N439"/>
      <c r="O439"/>
      <c r="P439"/>
      <c r="Q439"/>
      <c r="R439"/>
      <c r="S439"/>
      <c r="V439" s="680" t="s">
        <v>1989</v>
      </c>
      <c r="W439" s="681"/>
      <c r="X439" s="682"/>
      <c r="Y439" s="682"/>
      <c r="Z439" s="683">
        <f t="shared" si="241"/>
        <v>0</v>
      </c>
      <c r="AA439" s="682"/>
      <c r="AB439" s="682"/>
      <c r="AC439" s="683">
        <f t="shared" si="242"/>
        <v>0</v>
      </c>
      <c r="AD439" s="684"/>
      <c r="AE439" s="685"/>
      <c r="AF439" s="683">
        <f t="shared" si="243"/>
        <v>0</v>
      </c>
      <c r="AG439" s="686"/>
      <c r="AH439" s="687">
        <f t="shared" ref="AH439" si="247">AF439-AC439</f>
        <v>0</v>
      </c>
      <c r="AI439" s="688">
        <f t="shared" ref="AI439" si="248">IF(AC439=0,0,AH439/AC439)</f>
        <v>0</v>
      </c>
      <c r="AJ439" s="684"/>
      <c r="AK439" s="682"/>
      <c r="AL439" s="683">
        <f t="shared" si="244"/>
        <v>0</v>
      </c>
      <c r="AM439" s="689"/>
      <c r="AN439" s="687">
        <f t="shared" ref="AN439" si="249">AF439-AL439</f>
        <v>0</v>
      </c>
      <c r="AO439" s="690">
        <f t="shared" ref="AO439" si="250">IF(AL439=0,0,AN439/AL439)</f>
        <v>0</v>
      </c>
      <c r="AP439" s="79"/>
      <c r="AQ439" s="531"/>
      <c r="AR439" s="531"/>
      <c r="AS439" s="531"/>
      <c r="AT439" s="531"/>
      <c r="AU439" s="531"/>
      <c r="AV439" s="79"/>
      <c r="AW439" s="79"/>
      <c r="AX439" s="79"/>
      <c r="AY439" s="79"/>
      <c r="AZ439" s="79"/>
      <c r="BA439" s="79"/>
      <c r="BB439" s="79"/>
      <c r="BC439" s="79"/>
      <c r="BD439" s="79"/>
      <c r="BE439" s="79"/>
      <c r="BF439" s="79"/>
      <c r="BG439" s="79"/>
      <c r="BH439" s="79"/>
      <c r="BI439" s="79"/>
      <c r="BJ439" s="79"/>
    </row>
    <row r="440" spans="1:62" ht="15.75" customHeight="1">
      <c r="A440" s="564" t="s">
        <v>127</v>
      </c>
      <c r="B440" s="2"/>
      <c r="C440" s="1259" t="s">
        <v>3311</v>
      </c>
      <c r="V440" s="299" t="s">
        <v>127</v>
      </c>
      <c r="W440" s="454" t="s">
        <v>227</v>
      </c>
      <c r="X440" s="449"/>
      <c r="Y440" s="455"/>
      <c r="Z440" s="87">
        <f t="shared" si="241"/>
        <v>1872.8201804068096</v>
      </c>
      <c r="AA440" s="449"/>
      <c r="AB440" s="455"/>
      <c r="AC440" s="87">
        <f t="shared" si="242"/>
        <v>1872.8201804068096</v>
      </c>
      <c r="AD440" s="456"/>
      <c r="AE440" s="455"/>
      <c r="AF440" s="248">
        <f t="shared" si="243"/>
        <v>4950.8399999999992</v>
      </c>
      <c r="AG440" s="450"/>
      <c r="AH440" s="451">
        <f t="shared" si="239"/>
        <v>3078.0198195931898</v>
      </c>
      <c r="AI440" s="452">
        <f t="shared" si="246"/>
        <v>1.6435212797229628</v>
      </c>
      <c r="AJ440" s="456"/>
      <c r="AK440" s="449"/>
      <c r="AL440" s="87">
        <f t="shared" si="244"/>
        <v>1555.18</v>
      </c>
      <c r="AM440" s="453"/>
      <c r="AN440" s="451">
        <f t="shared" si="240"/>
        <v>3395.6599999999989</v>
      </c>
      <c r="AO440" s="208">
        <f t="shared" si="245"/>
        <v>2.183451433274604</v>
      </c>
      <c r="AP440" s="79"/>
      <c r="AQ440" s="531"/>
      <c r="AR440" s="531"/>
      <c r="AS440" s="531"/>
      <c r="AT440" s="531"/>
      <c r="AU440" s="531"/>
      <c r="AV440" s="79"/>
      <c r="AW440" s="79"/>
      <c r="AX440" s="79"/>
      <c r="AY440" s="79"/>
      <c r="AZ440" s="79"/>
      <c r="BA440" s="79"/>
      <c r="BB440" s="79"/>
      <c r="BC440" s="79"/>
      <c r="BD440" s="79"/>
      <c r="BE440" s="79"/>
      <c r="BF440" s="79"/>
      <c r="BG440" s="79"/>
      <c r="BH440" s="79"/>
      <c r="BI440" s="79"/>
      <c r="BJ440" s="79"/>
    </row>
    <row r="441" spans="1:62" ht="15.75" customHeight="1">
      <c r="A441" s="564" t="s">
        <v>128</v>
      </c>
      <c r="B441" s="2"/>
      <c r="C441" s="1259" t="s">
        <v>3311</v>
      </c>
      <c r="U441" s="79"/>
      <c r="V441" s="299" t="s">
        <v>128</v>
      </c>
      <c r="W441" s="454" t="s">
        <v>228</v>
      </c>
      <c r="X441" s="449"/>
      <c r="Y441" s="449"/>
      <c r="Z441" s="87">
        <f t="shared" si="241"/>
        <v>995.16741157977481</v>
      </c>
      <c r="AA441" s="449"/>
      <c r="AB441" s="449"/>
      <c r="AC441" s="87">
        <f t="shared" si="242"/>
        <v>995.16741157977481</v>
      </c>
      <c r="AD441" s="456"/>
      <c r="AE441" s="455"/>
      <c r="AF441" s="87">
        <f t="shared" si="243"/>
        <v>5498.29</v>
      </c>
      <c r="AG441" s="450"/>
      <c r="AH441" s="451">
        <f t="shared" si="239"/>
        <v>4503.1225884202249</v>
      </c>
      <c r="AI441" s="97">
        <f t="shared" si="246"/>
        <v>4.5249900027089511</v>
      </c>
      <c r="AJ441" s="456"/>
      <c r="AK441" s="449"/>
      <c r="AL441" s="87">
        <f t="shared" si="244"/>
        <v>423.83</v>
      </c>
      <c r="AM441" s="453"/>
      <c r="AN441" s="451">
        <f t="shared" si="240"/>
        <v>5074.46</v>
      </c>
      <c r="AO441" s="208">
        <f t="shared" si="245"/>
        <v>11.972866479484699</v>
      </c>
      <c r="AP441" s="79"/>
      <c r="AQ441" s="531"/>
      <c r="AR441" s="531"/>
      <c r="AS441" s="531"/>
      <c r="AT441" s="531"/>
      <c r="AU441" s="531"/>
      <c r="AV441" s="79"/>
      <c r="AW441" s="79"/>
      <c r="AX441" s="79"/>
      <c r="AY441" s="79"/>
      <c r="AZ441" s="79"/>
      <c r="BA441" s="79"/>
      <c r="BB441" s="79"/>
      <c r="BC441" s="79"/>
      <c r="BD441" s="79"/>
      <c r="BE441" s="79"/>
      <c r="BF441" s="79"/>
      <c r="BG441" s="79"/>
      <c r="BH441" s="79"/>
      <c r="BI441" s="79"/>
      <c r="BJ441" s="79"/>
    </row>
    <row r="442" spans="1:62" ht="15.75" customHeight="1">
      <c r="A442" s="564" t="s">
        <v>129</v>
      </c>
      <c r="B442" s="2"/>
      <c r="C442" s="1259" t="s">
        <v>3311</v>
      </c>
      <c r="T442" s="79"/>
      <c r="U442" s="79"/>
      <c r="V442" s="299" t="s">
        <v>129</v>
      </c>
      <c r="W442" s="454" t="s">
        <v>229</v>
      </c>
      <c r="X442" s="449"/>
      <c r="Y442" s="449"/>
      <c r="Z442" s="87">
        <f t="shared" si="241"/>
        <v>2040.2009999999998</v>
      </c>
      <c r="AA442" s="449"/>
      <c r="AB442" s="449"/>
      <c r="AC442" s="87">
        <f t="shared" si="242"/>
        <v>2040.2009999999998</v>
      </c>
      <c r="AD442" s="456"/>
      <c r="AE442" s="455"/>
      <c r="AF442" s="248">
        <f t="shared" si="243"/>
        <v>3359.5299999999997</v>
      </c>
      <c r="AG442" s="450"/>
      <c r="AH442" s="451">
        <f t="shared" si="239"/>
        <v>1319.329</v>
      </c>
      <c r="AI442" s="452">
        <f t="shared" si="246"/>
        <v>0.64666618632183792</v>
      </c>
      <c r="AJ442" s="456"/>
      <c r="AK442" s="449"/>
      <c r="AL442" s="87">
        <f t="shared" si="244"/>
        <v>2648.2200000000003</v>
      </c>
      <c r="AM442" s="453"/>
      <c r="AN442" s="451">
        <f t="shared" si="240"/>
        <v>711.30999999999949</v>
      </c>
      <c r="AO442" s="208">
        <f t="shared" si="245"/>
        <v>0.26859928555784618</v>
      </c>
      <c r="AP442" s="79"/>
      <c r="AQ442" s="531"/>
      <c r="AR442" s="531"/>
      <c r="AS442" s="531"/>
      <c r="AT442" s="531"/>
      <c r="AU442" s="531"/>
      <c r="AV442" s="79"/>
      <c r="AW442" s="79"/>
      <c r="AX442" s="79"/>
      <c r="AY442" s="79"/>
      <c r="AZ442" s="79"/>
      <c r="BA442" s="79"/>
      <c r="BB442" s="79"/>
      <c r="BC442" s="79"/>
      <c r="BD442" s="79"/>
      <c r="BE442" s="79"/>
      <c r="BF442" s="79"/>
      <c r="BG442" s="79"/>
      <c r="BH442" s="79"/>
      <c r="BI442" s="79"/>
      <c r="BJ442" s="79"/>
    </row>
    <row r="443" spans="1:62" ht="15.75" customHeight="1">
      <c r="A443" s="564" t="s">
        <v>130</v>
      </c>
      <c r="B443" s="2"/>
      <c r="C443" s="1259" t="s">
        <v>3311</v>
      </c>
      <c r="T443" s="79"/>
      <c r="U443" s="79"/>
      <c r="V443" s="299" t="s">
        <v>130</v>
      </c>
      <c r="W443" s="454" t="s">
        <v>230</v>
      </c>
      <c r="X443" s="449"/>
      <c r="Y443" s="449"/>
      <c r="Z443" s="87">
        <f t="shared" si="241"/>
        <v>942.07664583333337</v>
      </c>
      <c r="AA443" s="449"/>
      <c r="AB443" s="449"/>
      <c r="AC443" s="87">
        <f t="shared" si="242"/>
        <v>942.07664583333337</v>
      </c>
      <c r="AD443" s="456"/>
      <c r="AE443" s="455"/>
      <c r="AF443" s="87">
        <f t="shared" si="243"/>
        <v>603.35</v>
      </c>
      <c r="AG443" s="450"/>
      <c r="AH443" s="451">
        <f t="shared" si="239"/>
        <v>-338.72664583333335</v>
      </c>
      <c r="AI443" s="97">
        <f t="shared" si="246"/>
        <v>-0.35955317152959004</v>
      </c>
      <c r="AJ443" s="456"/>
      <c r="AK443" s="449"/>
      <c r="AL443" s="87">
        <f t="shared" si="244"/>
        <v>673.23</v>
      </c>
      <c r="AM443" s="453"/>
      <c r="AN443" s="451">
        <f t="shared" si="240"/>
        <v>-69.88</v>
      </c>
      <c r="AO443" s="208">
        <f t="shared" si="245"/>
        <v>-0.10379810763037892</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
        <v>131</v>
      </c>
      <c r="B444" s="2"/>
      <c r="C444" s="1259" t="s">
        <v>3311</v>
      </c>
      <c r="T444" s="79"/>
      <c r="U444" s="79"/>
      <c r="V444" s="299" t="s">
        <v>131</v>
      </c>
      <c r="W444" s="454" t="s">
        <v>231</v>
      </c>
      <c r="X444" s="449"/>
      <c r="Y444" s="449"/>
      <c r="Z444" s="87">
        <f t="shared" si="241"/>
        <v>502.86585416666657</v>
      </c>
      <c r="AA444" s="449"/>
      <c r="AB444" s="449"/>
      <c r="AC444" s="87">
        <f t="shared" si="242"/>
        <v>502.86585416666657</v>
      </c>
      <c r="AD444" s="456"/>
      <c r="AE444" s="455"/>
      <c r="AF444" s="87">
        <f t="shared" si="243"/>
        <v>57.569999999999965</v>
      </c>
      <c r="AG444" s="450"/>
      <c r="AH444" s="451">
        <f t="shared" si="239"/>
        <v>-445.29585416666657</v>
      </c>
      <c r="AI444" s="452">
        <f t="shared" si="246"/>
        <v>-0.88551618782030217</v>
      </c>
      <c r="AJ444" s="456"/>
      <c r="AK444" s="449"/>
      <c r="AL444" s="87">
        <f t="shared" si="244"/>
        <v>320.27</v>
      </c>
      <c r="AM444" s="453"/>
      <c r="AN444" s="451">
        <f t="shared" si="240"/>
        <v>-262.70000000000005</v>
      </c>
      <c r="AO444" s="208">
        <f t="shared" si="245"/>
        <v>-0.82024541792862293</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
        <v>132</v>
      </c>
      <c r="B445" s="2"/>
      <c r="C445" s="1259" t="s">
        <v>3311</v>
      </c>
      <c r="T445" s="79"/>
      <c r="U445" s="79"/>
      <c r="V445" s="299" t="s">
        <v>132</v>
      </c>
      <c r="W445" s="454" t="s">
        <v>232</v>
      </c>
      <c r="X445" s="449"/>
      <c r="Y445" s="455"/>
      <c r="Z445" s="87">
        <f t="shared" si="241"/>
        <v>2425.729979166666</v>
      </c>
      <c r="AA445" s="449"/>
      <c r="AB445" s="455"/>
      <c r="AC445" s="87">
        <f t="shared" si="242"/>
        <v>2425.729979166666</v>
      </c>
      <c r="AD445" s="456"/>
      <c r="AE445" s="455"/>
      <c r="AF445" s="248">
        <f t="shared" si="243"/>
        <v>836.27</v>
      </c>
      <c r="AG445" s="450"/>
      <c r="AH445" s="451">
        <f t="shared" si="239"/>
        <v>-1589.459979166666</v>
      </c>
      <c r="AI445" s="97">
        <f t="shared" si="246"/>
        <v>-0.65525016915225998</v>
      </c>
      <c r="AJ445" s="456"/>
      <c r="AK445" s="449"/>
      <c r="AL445" s="87">
        <f t="shared" si="244"/>
        <v>3745.05</v>
      </c>
      <c r="AM445" s="453"/>
      <c r="AN445" s="451">
        <f t="shared" si="240"/>
        <v>-2908.78</v>
      </c>
      <c r="AO445" s="208">
        <f t="shared" si="245"/>
        <v>-0.77669991054859078</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
        <v>133</v>
      </c>
      <c r="B446" s="2"/>
      <c r="C446" s="1259" t="s">
        <v>3311</v>
      </c>
      <c r="T446" s="79"/>
      <c r="U446" s="79"/>
      <c r="V446" s="299" t="s">
        <v>133</v>
      </c>
      <c r="W446" s="454" t="s">
        <v>233</v>
      </c>
      <c r="X446" s="449"/>
      <c r="Y446" s="455"/>
      <c r="Z446" s="87">
        <f t="shared" si="241"/>
        <v>3603.9258333333332</v>
      </c>
      <c r="AA446" s="449"/>
      <c r="AB446" s="455"/>
      <c r="AC446" s="87">
        <f t="shared" si="242"/>
        <v>3603.9258333333332</v>
      </c>
      <c r="AD446" s="456"/>
      <c r="AE446" s="455"/>
      <c r="AF446" s="87">
        <f t="shared" si="243"/>
        <v>2060.1</v>
      </c>
      <c r="AG446" s="450"/>
      <c r="AH446" s="451">
        <f t="shared" si="239"/>
        <v>-1543.8258333333333</v>
      </c>
      <c r="AI446" s="452">
        <f t="shared" si="246"/>
        <v>-0.42837336413924537</v>
      </c>
      <c r="AJ446" s="456"/>
      <c r="AK446" s="449"/>
      <c r="AL446" s="87">
        <f t="shared" si="244"/>
        <v>3621.0399999999995</v>
      </c>
      <c r="AM446" s="453"/>
      <c r="AN446" s="451">
        <f t="shared" si="240"/>
        <v>-1560.9399999999996</v>
      </c>
      <c r="AO446" s="208">
        <f t="shared" si="245"/>
        <v>-0.43107505026180321</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64" customFormat="1" ht="15.75" customHeight="1">
      <c r="A447" s="564" t="s">
        <v>134</v>
      </c>
      <c r="B447" s="159"/>
      <c r="C447" s="1259" t="s">
        <v>3311</v>
      </c>
      <c r="D447"/>
      <c r="E447"/>
      <c r="F447"/>
      <c r="G447"/>
      <c r="H447"/>
      <c r="I447"/>
      <c r="J447"/>
      <c r="K447"/>
      <c r="L447"/>
      <c r="M447"/>
      <c r="N447"/>
      <c r="O447"/>
      <c r="P447"/>
      <c r="Q447"/>
      <c r="R447"/>
      <c r="S447"/>
      <c r="T447" s="79"/>
      <c r="U447" s="79"/>
      <c r="V447" s="299" t="s">
        <v>134</v>
      </c>
      <c r="W447" s="454" t="s">
        <v>234</v>
      </c>
      <c r="X447" s="449"/>
      <c r="Y447" s="455"/>
      <c r="Z447" s="87">
        <f t="shared" si="241"/>
        <v>9583.8504690154659</v>
      </c>
      <c r="AA447" s="449"/>
      <c r="AB447" s="455"/>
      <c r="AC447" s="87">
        <f t="shared" si="242"/>
        <v>9583.8504690154659</v>
      </c>
      <c r="AD447" s="456"/>
      <c r="AE447" s="455"/>
      <c r="AF447" s="1005">
        <f>SUMIFS(BV_Data_An_Cour!$O:$O,BV_Data_An_Cour!$V:$V,$V447)</f>
        <v>9457.7000000000007</v>
      </c>
      <c r="AG447" s="450"/>
      <c r="AH447" s="451">
        <f t="shared" ref="AH447:AH450" si="251">AF447-AC447</f>
        <v>-126.15046901546521</v>
      </c>
      <c r="AI447" s="452">
        <f t="shared" ref="AI447:AI450" si="252">IF(AC447=0,0,AH447/AC447)</f>
        <v>-1.3162816909895344E-2</v>
      </c>
      <c r="AJ447" s="456"/>
      <c r="AK447" s="449"/>
      <c r="AL447" s="248">
        <f>SUMIFS(BV_Data_An_Prec!$O:$O,BV_Data_An_Prec!$V:$V,$V447)</f>
        <v>6895.21</v>
      </c>
      <c r="AM447" s="453"/>
      <c r="AN447" s="451">
        <f t="shared" ref="AN447:AN450" si="253">AF447-AL447</f>
        <v>2562.4900000000007</v>
      </c>
      <c r="AO447" s="208">
        <f t="shared" ref="AO447:AO450" si="254">IF(AL447=0,0,AN447/AL447)</f>
        <v>0.3716333512684894</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64" customFormat="1" ht="15.75" hidden="1" customHeight="1">
      <c r="A448" s="564" t="s">
        <v>42</v>
      </c>
      <c r="B448" s="159"/>
      <c r="C448" s="1259" t="s">
        <v>3311</v>
      </c>
      <c r="D448"/>
      <c r="E448"/>
      <c r="F448"/>
      <c r="G448"/>
      <c r="H448"/>
      <c r="I448"/>
      <c r="J448"/>
      <c r="K448"/>
      <c r="L448"/>
      <c r="M448"/>
      <c r="N448"/>
      <c r="O448"/>
      <c r="P448"/>
      <c r="Q448"/>
      <c r="R448"/>
      <c r="S448"/>
      <c r="T448" s="79"/>
      <c r="U448" s="79"/>
      <c r="V448" s="299" t="s">
        <v>42</v>
      </c>
      <c r="W448" s="454"/>
      <c r="X448" s="449"/>
      <c r="Y448" s="455"/>
      <c r="Z448" s="87">
        <f>IFERROR(SUMIF($C:$C,$V448,F:F),0)</f>
        <v>0</v>
      </c>
      <c r="AA448" s="449"/>
      <c r="AB448" s="449"/>
      <c r="AC448" s="87">
        <f>IFERROR(SUMIF($C:$C,$V448,I:I),0)</f>
        <v>0</v>
      </c>
      <c r="AD448" s="456"/>
      <c r="AE448" s="455"/>
      <c r="AF448" s="87">
        <f>IFERROR(SUMIF($C:$C,$V448,L:L),0)</f>
        <v>0</v>
      </c>
      <c r="AG448" s="450"/>
      <c r="AH448" s="451">
        <f t="shared" si="251"/>
        <v>0</v>
      </c>
      <c r="AI448" s="452">
        <f t="shared" si="252"/>
        <v>0</v>
      </c>
      <c r="AJ448" s="456"/>
      <c r="AK448" s="449"/>
      <c r="AL448" s="87">
        <f>IFERROR(SUMIF($C:$C,$V448,Q:Q),0)</f>
        <v>0</v>
      </c>
      <c r="AM448" s="453"/>
      <c r="AN448" s="451">
        <f t="shared" si="253"/>
        <v>0</v>
      </c>
      <c r="AO448" s="208">
        <f t="shared" si="254"/>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64" customFormat="1" ht="15.75" hidden="1" customHeight="1">
      <c r="A449" s="564" t="s">
        <v>42</v>
      </c>
      <c r="B449" s="159"/>
      <c r="C449" s="1259" t="s">
        <v>3311</v>
      </c>
      <c r="D449"/>
      <c r="E449"/>
      <c r="F449"/>
      <c r="G449"/>
      <c r="H449"/>
      <c r="I449"/>
      <c r="J449"/>
      <c r="K449"/>
      <c r="L449"/>
      <c r="M449"/>
      <c r="N449"/>
      <c r="O449"/>
      <c r="P449"/>
      <c r="Q449"/>
      <c r="R449"/>
      <c r="S449"/>
      <c r="T449" s="79"/>
      <c r="U449" s="79"/>
      <c r="V449" s="299" t="s">
        <v>42</v>
      </c>
      <c r="W449" s="454"/>
      <c r="X449" s="449"/>
      <c r="Y449" s="455"/>
      <c r="Z449" s="87">
        <f>IFERROR(SUMIF($C:$C,$V449,F:F),0)</f>
        <v>0</v>
      </c>
      <c r="AA449" s="449"/>
      <c r="AB449" s="449"/>
      <c r="AC449" s="87">
        <f>IFERROR(SUMIF($C:$C,$V449,I:I),0)</f>
        <v>0</v>
      </c>
      <c r="AD449" s="456"/>
      <c r="AE449" s="455"/>
      <c r="AF449" s="87">
        <f>IFERROR(SUMIF($C:$C,$V449,L:L),0)</f>
        <v>0</v>
      </c>
      <c r="AG449" s="450"/>
      <c r="AH449" s="451">
        <f t="shared" si="251"/>
        <v>0</v>
      </c>
      <c r="AI449" s="452">
        <f t="shared" si="252"/>
        <v>0</v>
      </c>
      <c r="AJ449" s="456"/>
      <c r="AK449" s="449"/>
      <c r="AL449" s="87">
        <f>IFERROR(SUMIF($C:$C,$V449,Q:Q),0)</f>
        <v>0</v>
      </c>
      <c r="AM449" s="453"/>
      <c r="AN449" s="451">
        <f t="shared" si="253"/>
        <v>0</v>
      </c>
      <c r="AO449" s="208">
        <f t="shared" si="254"/>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
        <v>42</v>
      </c>
      <c r="B450" s="2"/>
      <c r="C450" s="1259" t="s">
        <v>3311</v>
      </c>
      <c r="T450" s="79"/>
      <c r="U450" s="79"/>
      <c r="V450" s="299" t="s">
        <v>42</v>
      </c>
      <c r="W450" s="454"/>
      <c r="X450" s="449"/>
      <c r="Y450" s="455"/>
      <c r="Z450" s="87">
        <f>IFERROR(SUMIF($C:$C,$V450,F:F),0)</f>
        <v>0</v>
      </c>
      <c r="AA450" s="449"/>
      <c r="AB450" s="449"/>
      <c r="AC450" s="87">
        <f>IFERROR(SUMIF($C:$C,$V450,I:I),0)</f>
        <v>0</v>
      </c>
      <c r="AD450" s="456"/>
      <c r="AE450" s="455"/>
      <c r="AF450" s="87">
        <f>IFERROR(SUMIF($C:$C,$V450,L:L),0)</f>
        <v>0</v>
      </c>
      <c r="AG450" s="450"/>
      <c r="AH450" s="451">
        <f t="shared" si="251"/>
        <v>0</v>
      </c>
      <c r="AI450" s="452">
        <f t="shared" si="252"/>
        <v>0</v>
      </c>
      <c r="AJ450" s="456"/>
      <c r="AK450" s="449"/>
      <c r="AL450" s="87">
        <f>IFERROR(SUMIF($C:$C,$V450,Q:Q),0)</f>
        <v>0</v>
      </c>
      <c r="AM450" s="453"/>
      <c r="AN450" s="451">
        <f t="shared" si="253"/>
        <v>0</v>
      </c>
      <c r="AO450" s="208">
        <f t="shared" si="254"/>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
        <v>135</v>
      </c>
      <c r="B451" s="2"/>
      <c r="C451" s="1259" t="s">
        <v>3311</v>
      </c>
      <c r="T451" s="79"/>
      <c r="U451" s="79"/>
      <c r="V451" s="461" t="s">
        <v>135</v>
      </c>
      <c r="W451" s="103"/>
      <c r="X451" s="89">
        <f>Z451/+Z406</f>
        <v>0.14442908882328087</v>
      </c>
      <c r="Y451" s="88"/>
      <c r="Z451" s="90">
        <f>+SUM(Z433:Z450)</f>
        <v>110662.88300746793</v>
      </c>
      <c r="AA451" s="89">
        <f>AC451/+AC406</f>
        <v>0.14442908882328087</v>
      </c>
      <c r="AB451" s="88"/>
      <c r="AC451" s="90">
        <f>+SUM(AC433:AC450)</f>
        <v>110662.88300746793</v>
      </c>
      <c r="AD451" s="91">
        <f>AF451/AF406</f>
        <v>0.16204745887488106</v>
      </c>
      <c r="AE451" s="88"/>
      <c r="AF451" s="90">
        <f>+SUM(AF433:AF450)</f>
        <v>121523.52000000002</v>
      </c>
      <c r="AG451" s="99"/>
      <c r="AH451" s="549">
        <f>+SUM(AH433:AH450)</f>
        <v>10860.636992532061</v>
      </c>
      <c r="AI451" s="89">
        <f>AH451/AC451</f>
        <v>9.8141641509548835E-2</v>
      </c>
      <c r="AJ451" s="91">
        <f>IF($AL$406=0,0,AL451/$AL$406)</f>
        <v>0.14185649327718963</v>
      </c>
      <c r="AK451" s="89"/>
      <c r="AL451" s="90">
        <f>+SUM(AL433:AL450)</f>
        <v>97275.09</v>
      </c>
      <c r="AM451" s="100"/>
      <c r="AN451" s="93">
        <f>+SUM(AN433:AN450)</f>
        <v>24248.43</v>
      </c>
      <c r="AO451" s="630">
        <f>IF(AL451=0,0,AN451/AL451)</f>
        <v>0.24927687036835433</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
        <v>235</v>
      </c>
      <c r="B452" s="2"/>
      <c r="C452" s="1259" t="s">
        <v>3311</v>
      </c>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+INDEX('Budget original'!$A$2:$AO$500,MATCH($A452,'Budget original'!$A$2:$A$500,0),MATCH(F$2,'Budget original'!$A$2:$AO$2,0))</f>
        <v>26000</v>
      </c>
      <c r="AA452" s="449"/>
      <c r="AB452" s="455"/>
      <c r="AC452" s="87">
        <f>+INDEX('Budget révisé'!$A$2:$AO$500,MATCH($A452,'Budget révisé'!$A$2:$A$500,0),MATCH(I$2,'Budget révisé'!$A$2:$AO$2,0))</f>
        <v>26000</v>
      </c>
      <c r="AD452" s="456"/>
      <c r="AE452" s="455"/>
      <c r="AF452" s="87">
        <f>SUMIFS(BV_Data_An_Cour!$O:$O,BV_Data_An_Cour!$V:$V,$V452)</f>
        <v>26000</v>
      </c>
      <c r="AG452" s="450"/>
      <c r="AH452" s="451">
        <f t="shared" ref="AH452:AH460" si="255">AF452-AC452</f>
        <v>0</v>
      </c>
      <c r="AI452" s="452">
        <f>IF(AC452=0,0,AH452/AC452)</f>
        <v>0</v>
      </c>
      <c r="AJ452" s="456"/>
      <c r="AK452" s="449"/>
      <c r="AL452" s="87">
        <f>SUMIFS(BV_Data_An_Prec!$O:$O,BV_Data_An_Prec!$V:$V,$V452)</f>
        <v>26000</v>
      </c>
      <c r="AM452" s="453"/>
      <c r="AN452" s="451">
        <f t="shared" ref="AN452:AN460" si="256">AF452-AL452</f>
        <v>0</v>
      </c>
      <c r="AO452" s="208">
        <f t="shared" ref="AO452:AO460" si="257">IF(AL452=0,0,AN452/AL452)</f>
        <v>0</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
        <v>237</v>
      </c>
      <c r="B453" s="2"/>
      <c r="C453" s="1259" t="s">
        <v>3311</v>
      </c>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+INDEX('Budget original'!$A$2:$AO$500,MATCH($A453,'Budget original'!$A$2:$A$500,0),MATCH(F$2,'Budget original'!$A$2:$AO$2,0))</f>
        <v>4930.2499999999991</v>
      </c>
      <c r="AA453" s="449"/>
      <c r="AB453" s="455"/>
      <c r="AC453" s="87">
        <f>+INDEX('Budget révisé'!$A$2:$AO$500,MATCH($A453,'Budget révisé'!$A$2:$A$500,0),MATCH(I$2,'Budget révisé'!$A$2:$AO$2,0))</f>
        <v>4930.2499999999991</v>
      </c>
      <c r="AD453" s="456"/>
      <c r="AE453" s="455"/>
      <c r="AF453" s="87">
        <f>SUMIFS(BV_Data_An_Cour!$O:$O,BV_Data_An_Cour!$V:$V,$V453)</f>
        <v>4930</v>
      </c>
      <c r="AG453" s="450"/>
      <c r="AH453" s="451">
        <f t="shared" si="255"/>
        <v>-0.24999999999909051</v>
      </c>
      <c r="AI453" s="452">
        <f t="shared" ref="AI453:AI460" si="258">IF(AC453=0,0,AH453/AC453)</f>
        <v>-5.0707367780354051E-5</v>
      </c>
      <c r="AJ453" s="456"/>
      <c r="AK453" s="449"/>
      <c r="AL453" s="87">
        <f>SUMIFS(BV_Data_An_Prec!$O:$O,BV_Data_An_Prec!$V:$V,$V453)</f>
        <v>4810</v>
      </c>
      <c r="AM453" s="453"/>
      <c r="AN453" s="451">
        <f t="shared" si="256"/>
        <v>120</v>
      </c>
      <c r="AO453" s="208">
        <f t="shared" si="257"/>
        <v>2.4948024948024949E-2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
        <v>239</v>
      </c>
      <c r="B454" s="2"/>
      <c r="C454" s="1259" t="s">
        <v>3311</v>
      </c>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+INDEX('Budget original'!$A$2:$AO$500,MATCH($A454,'Budget original'!$A$2:$A$500,0),MATCH(F$2,'Budget original'!$A$2:$AO$2,0))</f>
        <v>3279.9999999999995</v>
      </c>
      <c r="AA454" s="439"/>
      <c r="AB454" s="458"/>
      <c r="AC454" s="440">
        <f>+INDEX('Budget révisé'!$A$2:$AO$500,MATCH($A454,'Budget révisé'!$A$2:$A$500,0),MATCH(I$2,'Budget révisé'!$A$2:$AO$2,0))</f>
        <v>3279.9999999999995</v>
      </c>
      <c r="AD454" s="459"/>
      <c r="AE454" s="458"/>
      <c r="AF454" s="440">
        <f>SUMIFS(BV_Data_An_Cour!$O:$O,BV_Data_An_Cour!$V:$V,$V454)</f>
        <v>3279.9999999999995</v>
      </c>
      <c r="AG454" s="441"/>
      <c r="AH454" s="442">
        <f t="shared" si="255"/>
        <v>0</v>
      </c>
      <c r="AI454" s="460">
        <f t="shared" si="258"/>
        <v>0</v>
      </c>
      <c r="AJ454" s="459"/>
      <c r="AK454" s="439"/>
      <c r="AL454" s="440">
        <f>SUMIFS(BV_Data_An_Prec!$O:$O,BV_Data_An_Prec!$V:$V,$V454)</f>
        <v>3200</v>
      </c>
      <c r="AM454" s="444"/>
      <c r="AN454" s="442">
        <f t="shared" si="256"/>
        <v>79.999999999999545</v>
      </c>
      <c r="AO454" s="445">
        <f t="shared" si="257"/>
        <v>2.4999999999999859E-2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
        <v>241</v>
      </c>
      <c r="B455" s="2"/>
      <c r="C455" s="1259" t="s">
        <v>3311</v>
      </c>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+INDEX('Budget original'!$A$2:$AO$500,MATCH($A455,'Budget original'!$A$2:$A$500,0),MATCH(F$2,'Budget original'!$A$2:$AO$2,0))</f>
        <v>0</v>
      </c>
      <c r="AA455" s="449"/>
      <c r="AB455" s="455"/>
      <c r="AC455" s="87">
        <f>+INDEX('Budget révisé'!$A$2:$AO$500,MATCH($A455,'Budget révisé'!$A$2:$A$500,0),MATCH(I$2,'Budget révisé'!$A$2:$AO$2,0))</f>
        <v>0</v>
      </c>
      <c r="AD455" s="456"/>
      <c r="AE455" s="455"/>
      <c r="AF455" s="87">
        <f>SUMIFS(BV_Data_An_Cour!$O:$O,BV_Data_An_Cour!$V:$V,$V455)</f>
        <v>0</v>
      </c>
      <c r="AG455" s="450"/>
      <c r="AH455" s="451">
        <f t="shared" si="255"/>
        <v>0</v>
      </c>
      <c r="AI455" s="452">
        <f t="shared" si="258"/>
        <v>0</v>
      </c>
      <c r="AJ455" s="456"/>
      <c r="AK455" s="449"/>
      <c r="AL455" s="87">
        <f>SUMIFS(BV_Data_An_Prec!$O:$O,BV_Data_An_Prec!$V:$V,$V455)</f>
        <v>0</v>
      </c>
      <c r="AM455" s="453"/>
      <c r="AN455" s="451">
        <f t="shared" si="256"/>
        <v>0</v>
      </c>
      <c r="AO455" s="208">
        <f t="shared" si="257"/>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
        <v>242</v>
      </c>
      <c r="B456" s="2"/>
      <c r="C456" s="1259" t="s">
        <v>3311</v>
      </c>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+INDEX('Budget original'!$A$2:$AO$500,MATCH($A456,'Budget original'!$A$2:$A$500,0),MATCH(F$2,'Budget original'!$A$2:$AO$2,0))</f>
        <v>4270.5833333333321</v>
      </c>
      <c r="AA456" s="439"/>
      <c r="AB456" s="458"/>
      <c r="AC456" s="440">
        <f>+INDEX('Budget révisé'!$A$2:$AO$500,MATCH($A456,'Budget révisé'!$A$2:$A$500,0),MATCH(I$2,'Budget révisé'!$A$2:$AO$2,0))</f>
        <v>4270.5833333333321</v>
      </c>
      <c r="AD456" s="459"/>
      <c r="AE456" s="458"/>
      <c r="AF456" s="440">
        <f>SUMIF(BV_Data_An_Cour!$V:$V,Print_Mois!$V456,BV_Data_An_Cour!$O:$O)</f>
        <v>4271</v>
      </c>
      <c r="AG456" s="441"/>
      <c r="AH456" s="442">
        <f t="shared" si="255"/>
        <v>0.41666666666787933</v>
      </c>
      <c r="AI456" s="460">
        <f t="shared" si="258"/>
        <v>9.7566686830732595E-5</v>
      </c>
      <c r="AJ456" s="459"/>
      <c r="AK456" s="439"/>
      <c r="AL456" s="440">
        <f>SUMIF(BV_Data_An_Prec!$V:$V,Print_Mois!$V456,BV_Data_An_Prec!$O:$O)</f>
        <v>3708.11</v>
      </c>
      <c r="AM456" s="444"/>
      <c r="AN456" s="442">
        <f t="shared" si="256"/>
        <v>562.88999999999987</v>
      </c>
      <c r="AO456" s="445">
        <f t="shared" si="257"/>
        <v>0.15179970389227931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
        <v>244</v>
      </c>
      <c r="B457" s="2"/>
      <c r="C457" s="1259" t="s">
        <v>3311</v>
      </c>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+INDEX('Budget original'!$A$2:$AO$500,MATCH($A457,'Budget original'!$A$2:$A$500,0),MATCH(F$2,'Budget original'!$A$2:$AO$2,0))</f>
        <v>2838.4863750000004</v>
      </c>
      <c r="AA457" s="470"/>
      <c r="AB457" s="471"/>
      <c r="AC457" s="87">
        <f>+INDEX('Budget révisé'!$A$2:$AO$500,MATCH($A457,'Budget révisé'!$A$2:$A$500,0),MATCH(I$2,'Budget révisé'!$A$2:$AO$2,0))</f>
        <v>2838.4863750000004</v>
      </c>
      <c r="AD457" s="456"/>
      <c r="AE457" s="455"/>
      <c r="AF457" s="1078">
        <f>SUMIFS(BV_Data_An_Cour!$O:$O,BV_Data_An_Cour!$V:$V,$V457)</f>
        <v>3735.32</v>
      </c>
      <c r="AG457" s="450"/>
      <c r="AH457" s="451">
        <f t="shared" si="255"/>
        <v>896.83362499999976</v>
      </c>
      <c r="AI457" s="452">
        <f t="shared" si="258"/>
        <v>0.31595488105874725</v>
      </c>
      <c r="AJ457" s="456"/>
      <c r="AK457" s="449"/>
      <c r="AL457" s="87">
        <f>SUMIFS(BV_Data_An_Prec!$O:$O,BV_Data_An_Prec!$V:$V,$V457)</f>
        <v>3411.05</v>
      </c>
      <c r="AM457" s="453"/>
      <c r="AN457" s="451">
        <f t="shared" si="256"/>
        <v>324.27</v>
      </c>
      <c r="AO457" s="208">
        <f t="shared" si="257"/>
        <v>9.5064569560692438E-2</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
        <v>246</v>
      </c>
      <c r="B458" s="2"/>
      <c r="C458" s="1259" t="s">
        <v>3311</v>
      </c>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+INDEX('Budget original'!$A$2:$AO$500,MATCH($A458,'Budget original'!$A$2:$A$500,0),MATCH(F$2,'Budget original'!$A$2:$AO$2,0))</f>
        <v>6122.833333333333</v>
      </c>
      <c r="AA458" s="449"/>
      <c r="AB458" s="455"/>
      <c r="AC458" s="87">
        <f>+INDEX('Budget révisé'!$A$2:$AO$500,MATCH($A458,'Budget révisé'!$A$2:$A$500,0),MATCH(I$2,'Budget révisé'!$A$2:$AO$2,0))</f>
        <v>6122.833333333333</v>
      </c>
      <c r="AD458" s="456"/>
      <c r="AE458" s="455"/>
      <c r="AF458" s="87">
        <f>SUMIFS(BV_Data_An_Cour!$O:$O,BV_Data_An_Cour!$V:$V,$V458)</f>
        <v>6123.33</v>
      </c>
      <c r="AG458" s="450"/>
      <c r="AH458" s="451">
        <f t="shared" si="255"/>
        <v>0.49666666666689707</v>
      </c>
      <c r="AI458" s="452">
        <f t="shared" si="258"/>
        <v>8.1117129869106967E-5</v>
      </c>
      <c r="AJ458" s="456"/>
      <c r="AK458" s="449"/>
      <c r="AL458" s="87">
        <f>SUMIFS(BV_Data_An_Prec!$O:$O,BV_Data_An_Prec!$V:$V,$V458)</f>
        <v>7136.19</v>
      </c>
      <c r="AM458" s="453"/>
      <c r="AN458" s="451">
        <f t="shared" si="256"/>
        <v>-1012.8599999999997</v>
      </c>
      <c r="AO458" s="208">
        <f t="shared" si="257"/>
        <v>-0.14193288015033229</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
        <v>248</v>
      </c>
      <c r="B459" s="2"/>
      <c r="C459" s="1259" t="s">
        <v>3311</v>
      </c>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+INDEX('Budget original'!$A$2:$AO$500,MATCH($A459,'Budget original'!$A$2:$A$500,0),MATCH(F$2,'Budget original'!$A$2:$AO$2,0))</f>
        <v>1188.8599166666665</v>
      </c>
      <c r="AA459" s="439"/>
      <c r="AB459" s="458"/>
      <c r="AC459" s="440">
        <f>+INDEX('Budget révisé'!$A$2:$AO$500,MATCH($A459,'Budget révisé'!$A$2:$A$500,0),MATCH(I$2,'Budget révisé'!$A$2:$AO$2,0))</f>
        <v>1188.8599166666665</v>
      </c>
      <c r="AD459" s="459"/>
      <c r="AE459" s="458"/>
      <c r="AF459" s="1005">
        <f>SUMIFS(BV_Data_An_Cour!$O:$O,BV_Data_An_Cour!$V:$V,$V459)</f>
        <v>1216.69</v>
      </c>
      <c r="AG459" s="441"/>
      <c r="AH459" s="442">
        <f t="shared" si="255"/>
        <v>27.830083333333505</v>
      </c>
      <c r="AI459" s="460">
        <f t="shared" si="258"/>
        <v>2.3409051767313074E-2</v>
      </c>
      <c r="AJ459" s="459"/>
      <c r="AK459" s="439"/>
      <c r="AL459" s="440">
        <f>SUMIFS(BV_Data_An_Prec!$O:$O,BV_Data_An_Prec!$V:$V,$V459)</f>
        <v>856.63</v>
      </c>
      <c r="AM459" s="444"/>
      <c r="AN459" s="442">
        <f t="shared" si="256"/>
        <v>360.06000000000006</v>
      </c>
      <c r="AO459" s="445">
        <f t="shared" si="257"/>
        <v>0.42032149235959521</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
        <v>250</v>
      </c>
      <c r="B460" s="2"/>
      <c r="C460" s="1259" t="s">
        <v>3311</v>
      </c>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+INDEX('Budget original'!$A$2:$AO$500,MATCH($A460,'Budget original'!$A$2:$A$500,0),MATCH(F$2,'Budget original'!$A$2:$AO$2,0))</f>
        <v>230.625</v>
      </c>
      <c r="AA460" s="449"/>
      <c r="AB460" s="455"/>
      <c r="AC460" s="87">
        <f>+INDEX('Budget révisé'!$A$2:$AO$500,MATCH($A460,'Budget révisé'!$A$2:$A$500,0),MATCH(I$2,'Budget révisé'!$A$2:$AO$2,0))</f>
        <v>230.625</v>
      </c>
      <c r="AD460" s="456"/>
      <c r="AE460" s="455"/>
      <c r="AF460" s="87">
        <f>SUMIFS(BV_Data_An_Cour!$O:$O,BV_Data_An_Cour!$V:$V,$V460)</f>
        <v>0</v>
      </c>
      <c r="AG460" s="450"/>
      <c r="AH460" s="451">
        <f t="shared" si="255"/>
        <v>-230.625</v>
      </c>
      <c r="AI460" s="472">
        <f t="shared" si="258"/>
        <v>-1</v>
      </c>
      <c r="AJ460" s="449"/>
      <c r="AK460" s="449"/>
      <c r="AL460" s="87">
        <f>SUMIFS(BV_Data_An_Prec!$O:$O,BV_Data_An_Prec!$V:$V,$V460)</f>
        <v>0</v>
      </c>
      <c r="AM460" s="453"/>
      <c r="AN460" s="451">
        <f t="shared" si="256"/>
        <v>0</v>
      </c>
      <c r="AO460" s="208">
        <f t="shared" si="257"/>
        <v>0</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64" customFormat="1" ht="15.75" customHeight="1">
      <c r="A461" s="564" t="s">
        <v>252</v>
      </c>
      <c r="B461" s="159"/>
      <c r="C461" s="1259" t="s">
        <v>3311</v>
      </c>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SUMIFS(BV_Data_An_Cour!$O:$O,BV_Data_An_Cour!$V:$V,$V461)</f>
        <v>0</v>
      </c>
      <c r="AG461" s="450"/>
      <c r="AH461" s="451">
        <v>0</v>
      </c>
      <c r="AI461" s="97">
        <v>0</v>
      </c>
      <c r="AJ461" s="449"/>
      <c r="AK461" s="449"/>
      <c r="AL461" s="87">
        <v>0</v>
      </c>
      <c r="AM461" s="453"/>
      <c r="AN461" s="451">
        <v>0</v>
      </c>
      <c r="AO461" s="208">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64" customFormat="1" ht="15.75" hidden="1" customHeight="1">
      <c r="A462" s="564" t="s">
        <v>42</v>
      </c>
      <c r="B462" s="159"/>
      <c r="C462" s="1259" t="s">
        <v>3311</v>
      </c>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f>IFERROR(SUMIF($C:$C,$V462,F:F),0)</f>
        <v>0</v>
      </c>
      <c r="AA462" s="449"/>
      <c r="AB462" s="449"/>
      <c r="AC462" s="87">
        <f>IFERROR(SUMIF($C:$C,$V462,I:I),0)</f>
        <v>0</v>
      </c>
      <c r="AD462" s="456"/>
      <c r="AE462" s="455"/>
      <c r="AF462" s="87">
        <f>IFERROR(SUMIF($C:$C,$V462,L:L),0)</f>
        <v>0</v>
      </c>
      <c r="AG462" s="450"/>
      <c r="AH462" s="451">
        <f t="shared" ref="AH462:AH464" si="259">AF462-AC462</f>
        <v>0</v>
      </c>
      <c r="AI462" s="452">
        <f t="shared" ref="AI462:AI464" si="260">IF(AC462=0,0,AH462/AC462)</f>
        <v>0</v>
      </c>
      <c r="AJ462" s="456"/>
      <c r="AK462" s="449"/>
      <c r="AL462" s="87">
        <f>IFERROR(SUMIF($C:$C,$V462,Q:Q),0)</f>
        <v>0</v>
      </c>
      <c r="AM462" s="453"/>
      <c r="AN462" s="451">
        <v>0</v>
      </c>
      <c r="AO462" s="208">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64" customFormat="1" ht="15.75" hidden="1" customHeight="1">
      <c r="A463" s="564" t="s">
        <v>42</v>
      </c>
      <c r="B463" s="159"/>
      <c r="C463" s="1259" t="s">
        <v>3311</v>
      </c>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f>IFERROR(SUMIF($C:$C,$V463,F:F),0)</f>
        <v>0</v>
      </c>
      <c r="AA463" s="449"/>
      <c r="AB463" s="449"/>
      <c r="AC463" s="87">
        <f>IFERROR(SUMIF($C:$C,$V463,I:I),0)</f>
        <v>0</v>
      </c>
      <c r="AD463" s="456"/>
      <c r="AE463" s="455"/>
      <c r="AF463" s="87">
        <f>IFERROR(SUMIF($C:$C,$V463,L:L),0)</f>
        <v>0</v>
      </c>
      <c r="AG463" s="450"/>
      <c r="AH463" s="451">
        <f t="shared" si="259"/>
        <v>0</v>
      </c>
      <c r="AI463" s="452">
        <f t="shared" si="260"/>
        <v>0</v>
      </c>
      <c r="AJ463" s="456"/>
      <c r="AK463" s="449"/>
      <c r="AL463" s="87">
        <f>IFERROR(SUMIF($C:$C,$V463,Q:Q),0)</f>
        <v>0</v>
      </c>
      <c r="AM463" s="453"/>
      <c r="AN463" s="451">
        <v>0</v>
      </c>
      <c r="AO463" s="208">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
        <v>42</v>
      </c>
      <c r="B464" s="2"/>
      <c r="C464" s="1259" t="s">
        <v>3311</v>
      </c>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f>IFERROR(SUMIF($C:$C,$V464,F:F),0)</f>
        <v>0</v>
      </c>
      <c r="AA464" s="449"/>
      <c r="AB464" s="449"/>
      <c r="AC464" s="87">
        <f>IFERROR(SUMIF($C:$C,$V464,I:I),0)</f>
        <v>0</v>
      </c>
      <c r="AD464" s="456"/>
      <c r="AE464" s="455"/>
      <c r="AF464" s="87">
        <f>IFERROR(SUMIF($C:$C,$V464,L:L),0)</f>
        <v>0</v>
      </c>
      <c r="AG464" s="450"/>
      <c r="AH464" s="451">
        <f t="shared" si="259"/>
        <v>0</v>
      </c>
      <c r="AI464" s="452">
        <f t="shared" si="260"/>
        <v>0</v>
      </c>
      <c r="AJ464" s="456"/>
      <c r="AK464" s="449"/>
      <c r="AL464" s="87">
        <f>IFERROR(SUMIF($C:$C,$V464,Q:Q),0)</f>
        <v>0</v>
      </c>
      <c r="AM464" s="453"/>
      <c r="AN464" s="451">
        <v>0</v>
      </c>
      <c r="AO464" s="208">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
        <v>254</v>
      </c>
      <c r="B465" s="2"/>
      <c r="C465" s="1259" t="s">
        <v>3311</v>
      </c>
      <c r="D465" s="79"/>
      <c r="E465" s="79"/>
      <c r="F465" s="79"/>
      <c r="G465" s="79"/>
      <c r="H465" s="79"/>
      <c r="I465" s="79"/>
      <c r="J465" s="79"/>
      <c r="K465" s="79"/>
      <c r="L465" s="79"/>
      <c r="M465" s="79"/>
      <c r="N465" s="79"/>
      <c r="O465" s="79"/>
      <c r="P465" s="79"/>
      <c r="Q465" s="79"/>
      <c r="R465" s="79"/>
      <c r="S465" s="79"/>
      <c r="T465" s="79"/>
      <c r="U465" s="79"/>
      <c r="V465" s="461" t="s">
        <v>254</v>
      </c>
      <c r="W465" s="88"/>
      <c r="X465" s="89">
        <f>Z465/+Z406</f>
        <v>6.3770630738572767E-2</v>
      </c>
      <c r="Y465" s="88"/>
      <c r="Z465" s="90">
        <f>SUM(Z452:Z464)</f>
        <v>48861.637958333333</v>
      </c>
      <c r="AA465" s="89">
        <f>AC465/+AC406</f>
        <v>6.3770630738572767E-2</v>
      </c>
      <c r="AB465" s="88"/>
      <c r="AC465" s="90">
        <f>SUM(AC452:AC464)</f>
        <v>48861.637958333333</v>
      </c>
      <c r="AD465" s="91">
        <f>AF465/AF406</f>
        <v>6.6081684995131992E-2</v>
      </c>
      <c r="AE465" s="88"/>
      <c r="AF465" s="90">
        <f>SUM(AF452:AF464)</f>
        <v>49556.340000000004</v>
      </c>
      <c r="AG465" s="99"/>
      <c r="AH465" s="1182">
        <f>SUM(AH452:AH464)</f>
        <v>694.70204166666895</v>
      </c>
      <c r="AI465" s="1183">
        <f>IF(AC465=0,0,AH465/AC465)</f>
        <v>1.4217739533395805E-2</v>
      </c>
      <c r="AJ465" s="91">
        <f>IF($AL$406=0,0,AL465/$AL$406)</f>
        <v>7.1634699342167096E-2</v>
      </c>
      <c r="AK465" s="89"/>
      <c r="AL465" s="90">
        <f>SUM(AL452:AL464)</f>
        <v>49121.98</v>
      </c>
      <c r="AM465" s="100"/>
      <c r="AN465" s="93">
        <f>SUM(AN452:AN464)</f>
        <v>434.35999999999979</v>
      </c>
      <c r="AO465" s="630">
        <f>IF(AL465=0,0,AN465/AL465)</f>
        <v>8.8424774408523386E-3</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
        <v>3248</v>
      </c>
      <c r="B466" s="2"/>
      <c r="C466" s="1259" t="s">
        <v>3311</v>
      </c>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1">AF466-AC466</f>
        <v>0</v>
      </c>
      <c r="AI466" s="452"/>
      <c r="AJ466" s="456"/>
      <c r="AK466" s="449"/>
      <c r="AL466" s="105"/>
      <c r="AM466" s="473"/>
      <c r="AN466" s="451">
        <f t="shared" ref="AN466:AN472" si="262">AF466-AL466</f>
        <v>0</v>
      </c>
      <c r="AO466" s="474">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
        <v>136</v>
      </c>
      <c r="B467" s="2"/>
      <c r="C467" s="1259" t="s">
        <v>3311</v>
      </c>
      <c r="D467" s="79"/>
      <c r="E467" s="79"/>
      <c r="F467" s="79"/>
      <c r="G467" s="79"/>
      <c r="H467" s="79"/>
      <c r="I467" s="79"/>
      <c r="J467" s="79"/>
      <c r="K467" s="79"/>
      <c r="L467" s="79"/>
      <c r="M467" s="79"/>
      <c r="N467" s="79"/>
      <c r="O467" s="79"/>
      <c r="P467" s="79"/>
      <c r="Q467" s="79"/>
      <c r="R467" s="79"/>
      <c r="S467" s="79"/>
      <c r="T467" s="79"/>
      <c r="U467" s="79"/>
      <c r="V467" s="461" t="s">
        <v>136</v>
      </c>
      <c r="W467" s="88"/>
      <c r="X467" s="89">
        <f>Z467/+Z406</f>
        <v>0.83708164677290275</v>
      </c>
      <c r="Y467" s="88"/>
      <c r="Z467" s="90">
        <f>Z418+Z432+Z451+Z465</f>
        <v>641379.58010572498</v>
      </c>
      <c r="AA467" s="89">
        <f>AC467/+AC406</f>
        <v>0.83708164677290275</v>
      </c>
      <c r="AB467" s="88"/>
      <c r="AC467" s="90">
        <f>AC418+AC432+AC451+AC465</f>
        <v>641379.58010572498</v>
      </c>
      <c r="AD467" s="91">
        <f>AF467/AF406</f>
        <v>0.83981395271682258</v>
      </c>
      <c r="AE467" s="88"/>
      <c r="AF467" s="90">
        <f>AF418+AF432+AF451+AF465</f>
        <v>629797.89</v>
      </c>
      <c r="AG467" s="99"/>
      <c r="AH467" s="93">
        <f t="shared" si="261"/>
        <v>-11581.690105724963</v>
      </c>
      <c r="AI467" s="89">
        <f>AH467/AC467</f>
        <v>-1.8057466225874914E-2</v>
      </c>
      <c r="AJ467" s="91">
        <f>IF($AL$406=0,0,AL467/$AL$406)</f>
        <v>0.82503630990587584</v>
      </c>
      <c r="AK467" s="89"/>
      <c r="AL467" s="90">
        <f>AL418+AL432+AL451+AL465</f>
        <v>565751.19999999995</v>
      </c>
      <c r="AM467" s="100"/>
      <c r="AN467" s="93">
        <f t="shared" si="262"/>
        <v>64046.690000000061</v>
      </c>
      <c r="AO467" s="447">
        <f>IF(AL467=0,0,AN467/AL467)</f>
        <v>0.11320645895227455</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
        <v>255</v>
      </c>
      <c r="B468" s="2"/>
      <c r="C468" s="1259" t="s">
        <v>3311</v>
      </c>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+INDEX('Budget original'!$A$2:$AO$500,MATCH($A468,'Budget original'!$A$2:$A$500,0),MATCH(F$2,'Budget original'!$A$2:$AO$2,0))</f>
        <v>14968.87</v>
      </c>
      <c r="AA468" s="243"/>
      <c r="AB468" s="244"/>
      <c r="AC468" s="242">
        <f>+INDEX('Budget révisé'!$A$2:$AO$500,MATCH($A468,'Budget révisé'!$A$2:$A$500,0),MATCH(I$2,'Budget révisé'!$A$2:$AO$2,0))</f>
        <v>14968.87</v>
      </c>
      <c r="AD468" s="246"/>
      <c r="AE468" s="244"/>
      <c r="AF468" s="87">
        <f>-SUMIFS(BV_Data_An_Cour!$O:$O,BV_Data_An_Cour!$V:$V,$V468)</f>
        <v>16441.59</v>
      </c>
      <c r="AG468" s="245"/>
      <c r="AH468" s="476">
        <f t="shared" si="261"/>
        <v>1472.7199999999993</v>
      </c>
      <c r="AI468" s="477">
        <f t="shared" ref="AI468:AI472" si="263">IF(AH468=0,0,AH468/AC468)</f>
        <v>9.8385516074359608E-2</v>
      </c>
      <c r="AJ468" s="246"/>
      <c r="AK468" s="243"/>
      <c r="AL468" s="478">
        <f>-SUMIFS(BV_Data_An_Prec!$O:$O,BV_Data_An_Prec!$V:$V,$V468)</f>
        <v>6192.67</v>
      </c>
      <c r="AM468" s="247"/>
      <c r="AN468" s="476">
        <f t="shared" si="262"/>
        <v>10248.92</v>
      </c>
      <c r="AO468" s="255">
        <f>IF(AL468=0,0,AN468/AL468)</f>
        <v>1.6550082597651741</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17.399999999999999">
      <c r="A469" s="564" t="s">
        <v>140</v>
      </c>
      <c r="B469" s="2"/>
      <c r="C469" s="1259" t="s">
        <v>3311</v>
      </c>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5" si="264">+SUMIF($C:$C,$V469,F:F)</f>
        <v>100420.52877108431</v>
      </c>
      <c r="AA469" s="249"/>
      <c r="AB469" s="476"/>
      <c r="AC469" s="248">
        <f t="shared" ref="AC469:AC475" si="265">+SUMIF($C:$C,$V469,I:I)</f>
        <v>100420.52877108431</v>
      </c>
      <c r="AD469" s="254"/>
      <c r="AE469" s="1181"/>
      <c r="AF469" s="248">
        <f t="shared" ref="AF469:AF475" si="266">+SUMIF($C:$C,$V469,L:L)</f>
        <v>53351</v>
      </c>
      <c r="AG469" s="250"/>
      <c r="AH469" s="476">
        <f t="shared" si="261"/>
        <v>-47069.528771084311</v>
      </c>
      <c r="AI469" s="251">
        <f>IF(AC469=0,0,AH469/AC469)</f>
        <v>-0.46872416772851921</v>
      </c>
      <c r="AJ469" s="252"/>
      <c r="AK469" s="249"/>
      <c r="AL469" s="253">
        <f t="shared" ref="AL469:AL475" si="267">+SUMIF($C:$C,$V469,Q:Q)</f>
        <v>102678</v>
      </c>
      <c r="AM469" s="254"/>
      <c r="AN469" s="476">
        <f t="shared" si="262"/>
        <v>-49327</v>
      </c>
      <c r="AO469" s="255">
        <f>IF(AL469=0,0,AN469/AL469)</f>
        <v>-0.48040476051344982</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
        <v>137</v>
      </c>
      <c r="B470" s="2"/>
      <c r="C470" s="1259" t="s">
        <v>3311</v>
      </c>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4"/>
        <v>0</v>
      </c>
      <c r="AA470" s="249"/>
      <c r="AB470" s="241"/>
      <c r="AC470" s="248">
        <f t="shared" si="265"/>
        <v>0</v>
      </c>
      <c r="AD470" s="252"/>
      <c r="AF470" s="248">
        <f t="shared" si="266"/>
        <v>0</v>
      </c>
      <c r="AG470" s="250"/>
      <c r="AH470" s="476">
        <f t="shared" si="261"/>
        <v>0</v>
      </c>
      <c r="AI470" s="251">
        <f t="shared" si="263"/>
        <v>0</v>
      </c>
      <c r="AJ470" s="252"/>
      <c r="AK470" s="249"/>
      <c r="AL470" s="253">
        <f t="shared" si="267"/>
        <v>0</v>
      </c>
      <c r="AM470" s="254"/>
      <c r="AN470" s="476">
        <f t="shared" si="262"/>
        <v>0</v>
      </c>
      <c r="AO470" s="255">
        <f t="shared" ref="AO470:AO472" si="268">IF(AL470=0,0,AN470/AL470)</f>
        <v>0</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
        <v>138</v>
      </c>
      <c r="B471" s="2"/>
      <c r="C471" s="1259" t="s">
        <v>3311</v>
      </c>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4"/>
        <v>0</v>
      </c>
      <c r="AA471" s="249"/>
      <c r="AB471" s="241"/>
      <c r="AC471" s="248">
        <f t="shared" si="265"/>
        <v>0</v>
      </c>
      <c r="AD471" s="252"/>
      <c r="AE471" s="241"/>
      <c r="AF471" s="248">
        <f t="shared" si="266"/>
        <v>0</v>
      </c>
      <c r="AG471" s="250"/>
      <c r="AH471" s="476">
        <f t="shared" si="261"/>
        <v>0</v>
      </c>
      <c r="AI471" s="251">
        <f t="shared" si="263"/>
        <v>0</v>
      </c>
      <c r="AJ471" s="252"/>
      <c r="AK471" s="249"/>
      <c r="AL471" s="253">
        <f t="shared" si="267"/>
        <v>0</v>
      </c>
      <c r="AM471" s="254"/>
      <c r="AN471" s="476">
        <f t="shared" si="262"/>
        <v>0</v>
      </c>
      <c r="AO471" s="255">
        <f t="shared" si="268"/>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
        <v>139</v>
      </c>
      <c r="B472" s="2"/>
      <c r="C472" s="1259" t="s">
        <v>3311</v>
      </c>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4"/>
        <v>0</v>
      </c>
      <c r="AA472" s="249"/>
      <c r="AB472" s="241"/>
      <c r="AC472" s="248">
        <f t="shared" si="265"/>
        <v>0</v>
      </c>
      <c r="AD472" s="252"/>
      <c r="AE472" s="241"/>
      <c r="AF472" s="248">
        <f t="shared" si="266"/>
        <v>0</v>
      </c>
      <c r="AG472" s="250"/>
      <c r="AH472" s="476">
        <f t="shared" si="261"/>
        <v>0</v>
      </c>
      <c r="AI472" s="251">
        <f t="shared" si="263"/>
        <v>0</v>
      </c>
      <c r="AJ472" s="252"/>
      <c r="AK472" s="249"/>
      <c r="AL472" s="253">
        <f t="shared" si="267"/>
        <v>0</v>
      </c>
      <c r="AM472" s="254"/>
      <c r="AN472" s="476">
        <f t="shared" si="262"/>
        <v>0</v>
      </c>
      <c r="AO472" s="255">
        <f t="shared" si="268"/>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
        <v>152</v>
      </c>
      <c r="B473" s="2"/>
      <c r="C473" s="1259" t="s">
        <v>3311</v>
      </c>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4"/>
        <v>0</v>
      </c>
      <c r="AA473" s="249"/>
      <c r="AB473" s="241"/>
      <c r="AC473" s="248">
        <f t="shared" si="265"/>
        <v>0</v>
      </c>
      <c r="AD473" s="252"/>
      <c r="AE473" s="241"/>
      <c r="AF473" s="248">
        <f t="shared" si="266"/>
        <v>0</v>
      </c>
      <c r="AG473" s="250"/>
      <c r="AH473" s="476">
        <f t="shared" ref="AH473:AH478" si="269">AF473-AC473</f>
        <v>0</v>
      </c>
      <c r="AI473" s="251">
        <f t="shared" ref="AI473:AI475" si="270">IF(AH473=0,0,AH473/AC473)</f>
        <v>0</v>
      </c>
      <c r="AJ473" s="252"/>
      <c r="AK473" s="249"/>
      <c r="AL473" s="253">
        <f t="shared" si="267"/>
        <v>0</v>
      </c>
      <c r="AM473" s="254"/>
      <c r="AN473" s="476">
        <f t="shared" ref="AN473:AN475" si="271">AF473-AL473</f>
        <v>0</v>
      </c>
      <c r="AO473" s="255">
        <f t="shared" ref="AO473:AO475" si="272">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
        <v>153</v>
      </c>
      <c r="B474" s="2"/>
      <c r="C474" s="1259" t="s">
        <v>3311</v>
      </c>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4"/>
        <v>0</v>
      </c>
      <c r="AA474" s="249"/>
      <c r="AB474" s="241"/>
      <c r="AC474" s="248">
        <f t="shared" si="265"/>
        <v>0</v>
      </c>
      <c r="AD474" s="252"/>
      <c r="AE474" s="241"/>
      <c r="AF474" s="248">
        <f t="shared" si="266"/>
        <v>0</v>
      </c>
      <c r="AG474" s="250"/>
      <c r="AH474" s="476">
        <f t="shared" si="269"/>
        <v>0</v>
      </c>
      <c r="AI474" s="251">
        <f t="shared" si="270"/>
        <v>0</v>
      </c>
      <c r="AJ474" s="252"/>
      <c r="AK474" s="249"/>
      <c r="AL474" s="253">
        <f t="shared" si="267"/>
        <v>0</v>
      </c>
      <c r="AM474" s="254"/>
      <c r="AN474" s="476">
        <f t="shared" si="271"/>
        <v>0</v>
      </c>
      <c r="AO474" s="255">
        <f t="shared" si="272"/>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
        <v>154</v>
      </c>
      <c r="B475" s="2"/>
      <c r="C475" s="1259" t="s">
        <v>3311</v>
      </c>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4"/>
        <v>0</v>
      </c>
      <c r="AA475" s="249"/>
      <c r="AB475" s="241"/>
      <c r="AC475" s="248">
        <f t="shared" si="265"/>
        <v>0</v>
      </c>
      <c r="AD475" s="252"/>
      <c r="AE475" s="241"/>
      <c r="AF475" s="248">
        <f t="shared" si="266"/>
        <v>0</v>
      </c>
      <c r="AG475" s="250"/>
      <c r="AH475" s="476">
        <f t="shared" si="269"/>
        <v>0</v>
      </c>
      <c r="AI475" s="251">
        <f t="shared" si="270"/>
        <v>0</v>
      </c>
      <c r="AJ475" s="252"/>
      <c r="AK475" s="249"/>
      <c r="AL475" s="253">
        <f t="shared" si="267"/>
        <v>0</v>
      </c>
      <c r="AM475" s="254"/>
      <c r="AN475" s="476">
        <f t="shared" si="271"/>
        <v>0</v>
      </c>
      <c r="AO475" s="255">
        <f t="shared" si="272"/>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64" customFormat="1" ht="15.75" hidden="1" customHeight="1">
      <c r="A476" s="564" t="s">
        <v>42</v>
      </c>
      <c r="B476" s="159"/>
      <c r="C476" s="1259" t="s">
        <v>3311</v>
      </c>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87">
        <f>IFERROR(SUMIF($C:$C,$V476,F:F),0)</f>
        <v>0</v>
      </c>
      <c r="AA476" s="449"/>
      <c r="AB476" s="449"/>
      <c r="AC476" s="87">
        <f>IFERROR(SUMIF($C:$C,$V476,I:I),0)</f>
        <v>0</v>
      </c>
      <c r="AD476" s="456"/>
      <c r="AE476" s="455"/>
      <c r="AF476" s="87">
        <f>IFERROR(SUMIF($C:$C,$V476,L:L),0)</f>
        <v>0</v>
      </c>
      <c r="AG476" s="450"/>
      <c r="AH476" s="451">
        <f t="shared" si="269"/>
        <v>0</v>
      </c>
      <c r="AI476" s="452">
        <f t="shared" ref="AI476:AI478" si="273">IF(AC476=0,0,AH476/AC476)</f>
        <v>0</v>
      </c>
      <c r="AJ476" s="456"/>
      <c r="AK476" s="449"/>
      <c r="AL476" s="87">
        <f>IFERROR(SUMIF($C:$C,$V476,Q:Q),0)</f>
        <v>0</v>
      </c>
      <c r="AM476" s="254"/>
      <c r="AN476" s="476">
        <f t="shared" ref="AN476:AN479" si="274">AF476-AL476</f>
        <v>0</v>
      </c>
      <c r="AO476" s="255">
        <f t="shared" ref="AO476:AO479" si="275">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64" customFormat="1" ht="15.75" hidden="1" customHeight="1">
      <c r="A477" s="564" t="s">
        <v>42</v>
      </c>
      <c r="B477" s="159"/>
      <c r="C477" s="1259" t="s">
        <v>3311</v>
      </c>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87">
        <f>IFERROR(SUMIF($C:$C,$V477,F:F),0)</f>
        <v>0</v>
      </c>
      <c r="AA477" s="449"/>
      <c r="AB477" s="449"/>
      <c r="AC477" s="87">
        <f>IFERROR(SUMIF($C:$C,$V477,I:I),0)</f>
        <v>0</v>
      </c>
      <c r="AD477" s="456"/>
      <c r="AE477" s="455"/>
      <c r="AF477" s="87">
        <f>IFERROR(SUMIF($C:$C,$V477,L:L),0)</f>
        <v>0</v>
      </c>
      <c r="AG477" s="450"/>
      <c r="AH477" s="451">
        <f t="shared" si="269"/>
        <v>0</v>
      </c>
      <c r="AI477" s="452">
        <f t="shared" si="273"/>
        <v>0</v>
      </c>
      <c r="AJ477" s="456"/>
      <c r="AK477" s="449"/>
      <c r="AL477" s="87">
        <f>IFERROR(SUMIF($C:$C,$V477,Q:Q),0)</f>
        <v>0</v>
      </c>
      <c r="AM477" s="254"/>
      <c r="AN477" s="476">
        <f t="shared" si="274"/>
        <v>0</v>
      </c>
      <c r="AO477" s="255">
        <f t="shared" si="275"/>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64" customFormat="1" ht="15.75" hidden="1" customHeight="1">
      <c r="A478" s="564" t="s">
        <v>42</v>
      </c>
      <c r="B478" s="159"/>
      <c r="C478" s="1259" t="s">
        <v>3311</v>
      </c>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87">
        <f>IFERROR(SUMIF($C:$C,$V478,F:F),0)</f>
        <v>0</v>
      </c>
      <c r="AA478" s="449"/>
      <c r="AB478" s="449"/>
      <c r="AC478" s="87">
        <f>IFERROR(SUMIF($C:$C,$V478,I:I),0)</f>
        <v>0</v>
      </c>
      <c r="AD478" s="456"/>
      <c r="AE478" s="455"/>
      <c r="AF478" s="87">
        <f>IFERROR(SUMIF($C:$C,$V478,L:L),0)</f>
        <v>0</v>
      </c>
      <c r="AG478" s="450"/>
      <c r="AH478" s="451">
        <f t="shared" si="269"/>
        <v>0</v>
      </c>
      <c r="AI478" s="452">
        <f t="shared" si="273"/>
        <v>0</v>
      </c>
      <c r="AJ478" s="456"/>
      <c r="AK478" s="449"/>
      <c r="AL478" s="87">
        <f>IFERROR(SUMIF($C:$C,$V478,Q:Q),0)</f>
        <v>0</v>
      </c>
      <c r="AM478" s="254"/>
      <c r="AN478" s="476">
        <f t="shared" si="274"/>
        <v>0</v>
      </c>
      <c r="AO478" s="255">
        <f t="shared" si="275"/>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
        <v>141</v>
      </c>
      <c r="B479" s="2"/>
      <c r="C479" s="1259" t="s">
        <v>3311</v>
      </c>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+SUMIF($C:$C,$V479,F:F)</f>
        <v>50884.290621497938</v>
      </c>
      <c r="AA479" s="249"/>
      <c r="AB479" s="241"/>
      <c r="AC479" s="248">
        <f>+SUMIF($C:$C,$V479,I:I)</f>
        <v>50884.290621497938</v>
      </c>
      <c r="AD479" s="1186">
        <f>AF479/399</f>
        <v>71.473684210526315</v>
      </c>
      <c r="AE479" s="1189">
        <f>(AF479/399)/(J13+J15+J96)</f>
        <v>0.91632928475033737</v>
      </c>
      <c r="AF479" s="248">
        <f>+SUMIF($C:$C,$V479,L:L)</f>
        <v>28518</v>
      </c>
      <c r="AG479" s="250"/>
      <c r="AH479" s="476">
        <f t="shared" ref="AH479:AH480" si="276">AF479-AC479</f>
        <v>-22366.290621497938</v>
      </c>
      <c r="AI479" s="251">
        <f>IF(AH479=0,0,AH479/AC479)</f>
        <v>-0.43955197858351347</v>
      </c>
      <c r="AJ479" s="252"/>
      <c r="AK479" s="249"/>
      <c r="AL479" s="253">
        <f>+SUMIF($C:$C,$V479,Q:Q)</f>
        <v>38988</v>
      </c>
      <c r="AM479" s="254"/>
      <c r="AN479" s="476">
        <f t="shared" si="274"/>
        <v>-10470</v>
      </c>
      <c r="AO479" s="255">
        <f t="shared" si="275"/>
        <v>-0.26854416743613418</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
        <v>256</v>
      </c>
      <c r="B480" s="2"/>
      <c r="C480" s="1259" t="s">
        <v>3311</v>
      </c>
      <c r="D480" s="79"/>
      <c r="E480" s="79"/>
      <c r="F480" s="79"/>
      <c r="G480" s="79"/>
      <c r="H480" s="79"/>
      <c r="I480" s="79"/>
      <c r="J480" s="79"/>
      <c r="K480" s="79"/>
      <c r="L480" s="79"/>
      <c r="M480" s="79"/>
      <c r="N480" s="79"/>
      <c r="O480" s="79"/>
      <c r="P480" s="79"/>
      <c r="Q480" s="79"/>
      <c r="R480" s="79"/>
      <c r="S480" s="79"/>
      <c r="T480" s="79"/>
      <c r="U480" s="79"/>
      <c r="V480" s="461" t="s">
        <v>256</v>
      </c>
      <c r="W480" s="88"/>
      <c r="X480" s="89">
        <f>Z480/+Z406</f>
        <v>0.21700823981456613</v>
      </c>
      <c r="Y480" s="103"/>
      <c r="Z480" s="90">
        <f>SUM(Z468:Z479)</f>
        <v>166273.68939258225</v>
      </c>
      <c r="AA480" s="89">
        <f>AC480/+AC406</f>
        <v>0.21700823981456613</v>
      </c>
      <c r="AB480" s="103"/>
      <c r="AC480" s="90">
        <f>SUM(AC468:AC479)</f>
        <v>166273.68939258225</v>
      </c>
      <c r="AD480" s="89">
        <f>AF480/+AF406</f>
        <v>0.13109381039975052</v>
      </c>
      <c r="AE480" s="103"/>
      <c r="AF480" s="90">
        <f>SUM(AF468:AF479)</f>
        <v>98310.59</v>
      </c>
      <c r="AG480" s="99"/>
      <c r="AH480" s="93">
        <f t="shared" si="276"/>
        <v>-67963.099392582255</v>
      </c>
      <c r="AI480" s="89">
        <f>AH480/AC480</f>
        <v>-0.40874235509454093</v>
      </c>
      <c r="AJ480" s="109"/>
      <c r="AK480" s="110"/>
      <c r="AL480" s="90">
        <f>SUM(AL468:AL479)</f>
        <v>147858.66999999998</v>
      </c>
      <c r="AM480" s="111"/>
      <c r="AN480" s="93">
        <f t="shared" ref="AN480:AN482" si="277">AF480-AL480</f>
        <v>-49548.079999999987</v>
      </c>
      <c r="AO480" s="630">
        <f>IF(AL480=0,0,AN480/AL480)</f>
        <v>-0.33510432631376974</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
        <v>3248</v>
      </c>
      <c r="B481" s="2"/>
      <c r="C481" s="1259" t="s">
        <v>3311</v>
      </c>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7"/>
        <v>0</v>
      </c>
      <c r="AO481" s="480">
        <f t="shared" ref="AO481" si="278">IF(AL481=0,0,AN481/AL481)</f>
        <v>0</v>
      </c>
      <c r="AP481" s="79"/>
      <c r="AQ481" s="213"/>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
        <v>257</v>
      </c>
      <c r="B482" s="2"/>
      <c r="C482" s="1259" t="s">
        <v>3311</v>
      </c>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4.832714958213688E-2</v>
      </c>
      <c r="Z482" s="485">
        <f>Z406-Z467+Z480</f>
        <v>291103.21514690842</v>
      </c>
      <c r="AA482" s="483" t="s">
        <v>258</v>
      </c>
      <c r="AB482" s="484">
        <f>AC482/AC405</f>
        <v>4.832714958213688E-2</v>
      </c>
      <c r="AC482" s="485">
        <f>AC406-AC467+AC480</f>
        <v>291103.21514690842</v>
      </c>
      <c r="AD482" s="483" t="s">
        <v>258</v>
      </c>
      <c r="AE482" s="484">
        <f>AF482/AF405</f>
        <v>4.6264851926297243E-2</v>
      </c>
      <c r="AF482" s="211">
        <f>AF406-AF467+AF480</f>
        <v>218438.18999999997</v>
      </c>
      <c r="AG482" s="486"/>
      <c r="AH482" s="486">
        <f>AF482-AC482</f>
        <v>-72665.025146908447</v>
      </c>
      <c r="AI482" s="540">
        <f>AH482/AC482</f>
        <v>-0.24961945236584643</v>
      </c>
      <c r="AJ482" s="487" t="s">
        <v>258</v>
      </c>
      <c r="AK482" s="484">
        <f>IF($AL$405=0,0,AL482/$AL$405)</f>
        <v>4.5390026653246179E-2</v>
      </c>
      <c r="AL482" s="211">
        <f>AL406-AL467+AL480</f>
        <v>267836.32000000012</v>
      </c>
      <c r="AM482" s="212"/>
      <c r="AN482" s="211">
        <f t="shared" si="277"/>
        <v>-49398.13000000015</v>
      </c>
      <c r="AO482" s="488">
        <f>IF(AL482=0,0,AN482/AL482)</f>
        <v>-0.18443402298836889</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
        <v>3248</v>
      </c>
      <c r="B483" s="2"/>
      <c r="C483" s="1259" t="s">
        <v>3311</v>
      </c>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
        <v>1990</v>
      </c>
      <c r="B484" s="2"/>
      <c r="C484" s="1259" t="s">
        <v>3311</v>
      </c>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Mai 2022</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
        <v>3248</v>
      </c>
      <c r="B485" s="2"/>
      <c r="C485" s="1259" t="s">
        <v>3311</v>
      </c>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
        <v>3248</v>
      </c>
      <c r="B486" s="2"/>
      <c r="C486" s="1259" t="s">
        <v>3311</v>
      </c>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
        <v>3248</v>
      </c>
      <c r="B487" s="2"/>
      <c r="C487" s="1259" t="s">
        <v>3311</v>
      </c>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
        <v>257</v>
      </c>
      <c r="B488" s="2"/>
      <c r="C488" s="1259" t="s">
        <v>3311</v>
      </c>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4.832714958213688E-2</v>
      </c>
      <c r="Z488" s="493">
        <f>Z482</f>
        <v>291103.21514690842</v>
      </c>
      <c r="AA488" s="491" t="s">
        <v>258</v>
      </c>
      <c r="AB488" s="492">
        <f>AC488/AC405</f>
        <v>4.832714958213688E-2</v>
      </c>
      <c r="AC488" s="493">
        <f>AC482</f>
        <v>291103.21514690842</v>
      </c>
      <c r="AD488" s="491" t="s">
        <v>258</v>
      </c>
      <c r="AE488" s="492">
        <f>AF488/AF405</f>
        <v>4.6264851926297243E-2</v>
      </c>
      <c r="AF488" s="493">
        <f>AF482</f>
        <v>218438.18999999997</v>
      </c>
      <c r="AG488" s="494"/>
      <c r="AH488" s="486">
        <f>AF488-AC488</f>
        <v>-72665.025146908447</v>
      </c>
      <c r="AI488" s="540">
        <f>AH488/AC488</f>
        <v>-0.24961945236584643</v>
      </c>
      <c r="AJ488" s="491" t="s">
        <v>258</v>
      </c>
      <c r="AK488" s="492">
        <f>IF($AL$405=0,0,AL488/$AL$405)</f>
        <v>4.5390026653246179E-2</v>
      </c>
      <c r="AL488" s="495">
        <f>AL482</f>
        <v>267836.32000000012</v>
      </c>
      <c r="AM488" s="496"/>
      <c r="AN488" s="497">
        <f>AF488-AL488</f>
        <v>-49398.13000000015</v>
      </c>
      <c r="AO488" s="498">
        <f>IF(AL488=0,0,AN488/AL488)</f>
        <v>-0.18443402298836889</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
        <v>3248</v>
      </c>
      <c r="B489" s="2"/>
      <c r="C489" s="1259" t="s">
        <v>3311</v>
      </c>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
        <v>260</v>
      </c>
      <c r="B490" s="2"/>
      <c r="C490" s="1259" t="s">
        <v>3311</v>
      </c>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+INDEX('Budget original'!$A$2:$AO$500,MATCH($A490,'Budget original'!$A$2:$A$500,0),MATCH(F$2,'Budget original'!$A$2:$AO$2,0))</f>
        <v>7468.25</v>
      </c>
      <c r="AA490" s="449"/>
      <c r="AB490" s="455"/>
      <c r="AC490" s="87">
        <f>+INDEX('Budget révisé'!$A$2:$AO$500,MATCH($A490,'Budget révisé'!$A$2:$A$500,0),MATCH(I$2,'Budget révisé'!$A$2:$AO$2,0))</f>
        <v>7468.25</v>
      </c>
      <c r="AD490" s="449"/>
      <c r="AE490" s="455"/>
      <c r="AF490" s="87">
        <f>SUMIFS(BV_Data_An_Cour!$O:$O,BV_Data_An_Cour!$V:$V,$V490)</f>
        <v>4314.5</v>
      </c>
      <c r="AG490" s="449"/>
      <c r="AH490" s="451">
        <f t="shared" ref="AH490:AH491" si="279">AF490-AC490</f>
        <v>-3153.75</v>
      </c>
      <c r="AI490" s="97">
        <f>IF(AC490=0,0,AH490/AC490)</f>
        <v>-0.42228768453118198</v>
      </c>
      <c r="AJ490" s="449"/>
      <c r="AK490" s="449"/>
      <c r="AL490" s="87">
        <f>SUMIFS(BV_Data_An_Prec!$O:$O,BV_Data_An_Prec!$V:$V,$V490)</f>
        <v>-14301</v>
      </c>
      <c r="AM490" s="453"/>
      <c r="AN490" s="451">
        <f t="shared" ref="AN490:AN491" si="280">AF490-AL490</f>
        <v>18615.5</v>
      </c>
      <c r="AO490" s="208">
        <f>IF(AL490=0,0,AN490/AL490)</f>
        <v>-1.3016921893573876</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
        <v>261</v>
      </c>
      <c r="B491" s="2"/>
      <c r="C491" s="1259" t="s">
        <v>3311</v>
      </c>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+INDEX('Budget original'!$A$2:$AO$500,MATCH($A491,'Budget original'!$A$2:$A$500,0),MATCH(F$2,'Budget original'!$A$2:$AO$2,0))</f>
        <v>0</v>
      </c>
      <c r="AA491" s="433"/>
      <c r="AB491" s="433"/>
      <c r="AC491" s="87">
        <f>+INDEX('Budget révisé'!$A$2:$AO$500,MATCH($A491,'Budget révisé'!$A$2:$A$500,0),MATCH(I$2,'Budget révisé'!$A$2:$AO$2,0))</f>
        <v>0</v>
      </c>
      <c r="AD491" s="433"/>
      <c r="AE491" s="172"/>
      <c r="AF491" s="248">
        <f>SUMIFS(BV_Data_An_Cour!$O:$O,BV_Data_An_Cour!$V:$V,$V491)</f>
        <v>0</v>
      </c>
      <c r="AG491" s="433"/>
      <c r="AH491" s="451">
        <f t="shared" si="279"/>
        <v>0</v>
      </c>
      <c r="AI491" s="97">
        <f t="shared" ref="AI491" si="281">IF(AC491=0,0,AH491/AC491)</f>
        <v>0</v>
      </c>
      <c r="AJ491" s="433"/>
      <c r="AK491" s="433"/>
      <c r="AL491" s="87">
        <f>SUMIFS(BV_Data_An_Prec!$O:$O,BV_Data_An_Prec!$V:$V,$V491)</f>
        <v>268.04000000000002</v>
      </c>
      <c r="AM491" s="502"/>
      <c r="AN491" s="451">
        <f t="shared" si="280"/>
        <v>-268.04000000000002</v>
      </c>
      <c r="AO491" s="208">
        <f t="shared" ref="AO491" si="282">IF(AL491=0,0,AN491/AL491)</f>
        <v>-1</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
        <v>262</v>
      </c>
      <c r="B492" s="2"/>
      <c r="C492" s="1259" t="s">
        <v>3311</v>
      </c>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+INDEX('Budget original'!$A$2:$AO$500,MATCH($A492,'Budget original'!$A$2:$A$500,0),MATCH(F$2,'Budget original'!$A$2:$AO$2,0))</f>
        <v>435.12</v>
      </c>
      <c r="AA492" s="433"/>
      <c r="AB492" s="433"/>
      <c r="AC492" s="87">
        <f>+INDEX('Budget révisé'!$A$2:$AO$500,MATCH($A492,'Budget révisé'!$A$2:$A$500,0),MATCH(I$2,'Budget révisé'!$A$2:$AO$2,0))</f>
        <v>435.12</v>
      </c>
      <c r="AD492" s="433"/>
      <c r="AE492" s="172"/>
      <c r="AF492" s="87">
        <f>SUMIFS(BV_Data_An_Cour!$O:$O,BV_Data_An_Cour!$V:$V,$V492)</f>
        <v>426.79</v>
      </c>
      <c r="AG492" s="433"/>
      <c r="AH492" s="451">
        <f t="shared" ref="AH492:AH496" si="283">AF492-AC492</f>
        <v>-8.3299999999999841</v>
      </c>
      <c r="AI492" s="97">
        <f t="shared" ref="AI492:AI496" si="284">IF(AC492=0,0,AH492/AC492)</f>
        <v>-1.9144144144144108E-2</v>
      </c>
      <c r="AJ492" s="433"/>
      <c r="AK492" s="433"/>
      <c r="AL492" s="87">
        <f>SUMIFS(BV_Data_An_Prec!$O:$O,BV_Data_An_Prec!$V:$V,$V492)</f>
        <v>570.58999999999992</v>
      </c>
      <c r="AM492" s="502"/>
      <c r="AN492" s="451">
        <f t="shared" ref="AN492:AN496" si="285">AF492-AL492</f>
        <v>-143.7999999999999</v>
      </c>
      <c r="AO492" s="208">
        <f t="shared" ref="AO492:AO496" si="286">IF(AL492=0,0,AN492/AL492)</f>
        <v>-0.25201983911389952</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64" customFormat="1" ht="15.75" customHeight="1" thickBot="1">
      <c r="A493" s="564" t="s">
        <v>263</v>
      </c>
      <c r="B493" s="159"/>
      <c r="C493" s="1259" t="s">
        <v>3311</v>
      </c>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+INDEX('Budget original'!$A$2:$AO$500,MATCH($A493,'Budget original'!$A$2:$A$500,0),MATCH(F$2,'Budget original'!$A$2:$AO$2,0))</f>
        <v>0</v>
      </c>
      <c r="AA493" s="433"/>
      <c r="AB493" s="433"/>
      <c r="AC493" s="87">
        <f>+INDEX('Budget révisé'!$A$2:$AO$500,MATCH($A493,'Budget révisé'!$A$2:$A$500,0),MATCH(I$2,'Budget révisé'!$A$2:$AO$2,0))</f>
        <v>0</v>
      </c>
      <c r="AD493" s="433"/>
      <c r="AE493" s="172"/>
      <c r="AF493" s="87">
        <f>SUMIFS(BV_Data_An_Cour!$O:$O,BV_Data_An_Cour!$V:$V,$V493)</f>
        <v>0</v>
      </c>
      <c r="AG493" s="433"/>
      <c r="AH493" s="451">
        <f t="shared" si="283"/>
        <v>0</v>
      </c>
      <c r="AI493" s="97">
        <f t="shared" si="284"/>
        <v>0</v>
      </c>
      <c r="AJ493" s="433"/>
      <c r="AK493" s="433"/>
      <c r="AL493" s="87">
        <f>SUMIFS(BV_Data_An_Prec!$O:$O,BV_Data_An_Prec!$V:$V,$V493)</f>
        <v>0</v>
      </c>
      <c r="AM493" s="502"/>
      <c r="AN493" s="451">
        <f t="shared" si="285"/>
        <v>0</v>
      </c>
      <c r="AO493" s="208">
        <f t="shared" si="28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64" customFormat="1" ht="15.75" hidden="1" customHeight="1">
      <c r="A494" s="564" t="s">
        <v>42</v>
      </c>
      <c r="B494" s="159"/>
      <c r="C494" s="1259" t="s">
        <v>3311</v>
      </c>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IFERROR(SUMIF($C:$C,$V494,F:F),0)</f>
        <v>0</v>
      </c>
      <c r="AA494" s="449"/>
      <c r="AB494" s="449"/>
      <c r="AC494" s="87">
        <f>IFERROR(SUMIF($C:$C,$V494,I:I),0)</f>
        <v>0</v>
      </c>
      <c r="AD494" s="456"/>
      <c r="AE494" s="455"/>
      <c r="AF494" s="87">
        <f>IFERROR(SUMIF($C:$C,$V494,L:L),0)</f>
        <v>0</v>
      </c>
      <c r="AG494" s="450"/>
      <c r="AH494" s="451">
        <f t="shared" si="283"/>
        <v>0</v>
      </c>
      <c r="AI494" s="452">
        <f t="shared" si="284"/>
        <v>0</v>
      </c>
      <c r="AJ494" s="456"/>
      <c r="AK494" s="449"/>
      <c r="AL494" s="87">
        <f>IFERROR(SUMIF($C:$C,$V494,Q:Q),0)</f>
        <v>0</v>
      </c>
      <c r="AM494" s="502"/>
      <c r="AN494" s="451">
        <f t="shared" si="285"/>
        <v>0</v>
      </c>
      <c r="AO494" s="208">
        <f t="shared" si="28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64" customFormat="1" ht="15.75" hidden="1" customHeight="1">
      <c r="A495" s="564" t="s">
        <v>42</v>
      </c>
      <c r="B495" s="159"/>
      <c r="C495" s="1259" t="s">
        <v>3311</v>
      </c>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IFERROR(SUMIF($C:$C,$V495,F:F),0)</f>
        <v>0</v>
      </c>
      <c r="AA495" s="449"/>
      <c r="AB495" s="449"/>
      <c r="AC495" s="87">
        <f>IFERROR(SUMIF($C:$C,$V495,I:I),0)</f>
        <v>0</v>
      </c>
      <c r="AD495" s="456"/>
      <c r="AE495" s="455"/>
      <c r="AF495" s="87">
        <f>IFERROR(SUMIF($C:$C,$V495,L:L),0)</f>
        <v>0</v>
      </c>
      <c r="AG495" s="450"/>
      <c r="AH495" s="451">
        <f t="shared" si="283"/>
        <v>0</v>
      </c>
      <c r="AI495" s="452">
        <f t="shared" si="284"/>
        <v>0</v>
      </c>
      <c r="AJ495" s="456"/>
      <c r="AK495" s="449"/>
      <c r="AL495" s="87">
        <f>IFERROR(SUMIF($C:$C,$V495,Q:Q),0)</f>
        <v>0</v>
      </c>
      <c r="AM495" s="502"/>
      <c r="AN495" s="451">
        <f t="shared" si="285"/>
        <v>0</v>
      </c>
      <c r="AO495" s="208">
        <f t="shared" si="28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
        <v>42</v>
      </c>
      <c r="B496" s="2"/>
      <c r="C496" s="1259" t="s">
        <v>3311</v>
      </c>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IFERROR(SUMIF($C:$C,$V496,F:F),0)</f>
        <v>0</v>
      </c>
      <c r="AA496" s="449"/>
      <c r="AB496" s="449"/>
      <c r="AC496" s="87">
        <f>IFERROR(SUMIF($C:$C,$V496,I:I),0)</f>
        <v>0</v>
      </c>
      <c r="AD496" s="456"/>
      <c r="AE496" s="455"/>
      <c r="AF496" s="87">
        <f>IFERROR(SUMIF($C:$C,$V496,L:L),0)</f>
        <v>0</v>
      </c>
      <c r="AG496" s="450"/>
      <c r="AH496" s="451">
        <f t="shared" si="283"/>
        <v>0</v>
      </c>
      <c r="AI496" s="452">
        <f t="shared" si="284"/>
        <v>0</v>
      </c>
      <c r="AJ496" s="456"/>
      <c r="AK496" s="449"/>
      <c r="AL496" s="87">
        <f>IFERROR(SUMIF($C:$C,$V496,Q:Q),0)</f>
        <v>0</v>
      </c>
      <c r="AM496" s="502"/>
      <c r="AN496" s="451">
        <f t="shared" si="285"/>
        <v>0</v>
      </c>
      <c r="AO496" s="208">
        <f t="shared" si="28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
        <v>264</v>
      </c>
      <c r="B497" s="2"/>
      <c r="C497" s="1259" t="s">
        <v>3311</v>
      </c>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4.7015081132462701E-2</v>
      </c>
      <c r="Z497" s="485">
        <f>Z488-Z490-Z491-Z492-Z496</f>
        <v>283199.84514690842</v>
      </c>
      <c r="AA497" s="483" t="s">
        <v>258</v>
      </c>
      <c r="AB497" s="484">
        <f>AC497/AC405</f>
        <v>4.7015081132462701E-2</v>
      </c>
      <c r="AC497" s="485">
        <f>AC488-AC490-AC491-AC492-AC496</f>
        <v>283199.84514690842</v>
      </c>
      <c r="AD497" s="483" t="s">
        <v>258</v>
      </c>
      <c r="AE497" s="484">
        <f>AF497/AF405</f>
        <v>4.5260654446957045E-2</v>
      </c>
      <c r="AF497" s="211">
        <f>AF488-AF490-AF491-AF492-AF496</f>
        <v>213696.89999999997</v>
      </c>
      <c r="AG497" s="486"/>
      <c r="AH497" s="486">
        <f>AF497-AC497</f>
        <v>-69502.94514690846</v>
      </c>
      <c r="AI497" s="540">
        <f>AH497/AC497</f>
        <v>-0.24542013824497033</v>
      </c>
      <c r="AJ497" s="487" t="s">
        <v>258</v>
      </c>
      <c r="AK497" s="484">
        <f>IF($AL$405=0,0,AL497/$AL$405)</f>
        <v>4.767148472105364E-2</v>
      </c>
      <c r="AL497" s="211">
        <f>AL488-AL490-AL491-AL492-AL496</f>
        <v>281298.69000000012</v>
      </c>
      <c r="AM497" s="212"/>
      <c r="AN497" s="211">
        <f>AF497-AL497</f>
        <v>-67601.790000000154</v>
      </c>
      <c r="AO497" s="503">
        <f>IF(AL497=0,0,AN497/AL497)</f>
        <v>-0.24032031574693832</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
        <v>3248</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thickBot="1">
      <c r="B499" s="2"/>
      <c r="T499" s="79"/>
      <c r="U499" s="79"/>
      <c r="V499" s="79"/>
      <c r="W499" s="79"/>
      <c r="X499" s="79"/>
      <c r="Y499" s="79"/>
      <c r="Z499" s="101">
        <f>Z497</f>
        <v>283199.84514690842</v>
      </c>
      <c r="AA499" s="79"/>
      <c r="AB499" s="79"/>
      <c r="AC499" s="101">
        <f>Z499</f>
        <v>283199.84514690842</v>
      </c>
      <c r="AD499" s="79"/>
      <c r="AE499" s="79"/>
      <c r="AF499" s="1070">
        <f>AF497</f>
        <v>213696.89999999997</v>
      </c>
      <c r="AG499" s="79"/>
      <c r="AH499" s="79"/>
      <c r="AI499" s="79"/>
      <c r="AJ499" s="79"/>
      <c r="AK499" s="79"/>
      <c r="AL499" s="79">
        <v>281299</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thickBot="1">
      <c r="B500" s="2"/>
      <c r="C500" s="79"/>
      <c r="D500" s="1332" t="s">
        <v>3347</v>
      </c>
      <c r="E500" s="1333"/>
      <c r="F500" s="1334"/>
      <c r="G500" s="1335"/>
      <c r="H500" s="1319"/>
      <c r="I500" s="1320"/>
      <c r="J500" s="1324" t="s">
        <v>3340</v>
      </c>
      <c r="K500" s="1321"/>
      <c r="O500" s="1324" t="s">
        <v>3341</v>
      </c>
      <c r="P500" s="79"/>
      <c r="Q500" s="101"/>
      <c r="R500" s="101"/>
      <c r="S500" s="101"/>
      <c r="W500" s="79"/>
      <c r="X500" s="79"/>
      <c r="Y500" s="79"/>
      <c r="Z500" s="101">
        <f>Z497-Z499</f>
        <v>0</v>
      </c>
      <c r="AA500" s="79"/>
      <c r="AB500" s="79"/>
      <c r="AC500" s="101">
        <f>AC497-AC499</f>
        <v>0</v>
      </c>
      <c r="AD500" s="79"/>
      <c r="AE500" s="79"/>
      <c r="AF500" s="1102">
        <f>AF497-AF499</f>
        <v>0</v>
      </c>
      <c r="AG500" s="79"/>
      <c r="AH500" s="79"/>
      <c r="AI500" s="79"/>
      <c r="AJ500" s="79"/>
      <c r="AK500" s="79"/>
      <c r="AL500" s="127">
        <f>AL497-AL499</f>
        <v>-0.30999999988125637</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1319"/>
      <c r="D501" s="1319" t="s">
        <v>3352</v>
      </c>
      <c r="E501" s="1319"/>
      <c r="F501" s="1320"/>
      <c r="G501" s="1319"/>
      <c r="H501" s="1319"/>
      <c r="I501" s="1320"/>
      <c r="J501" s="1319"/>
      <c r="K501" s="1319"/>
      <c r="L501" s="1329"/>
      <c r="M501" s="1329"/>
      <c r="N501" s="1329"/>
      <c r="O501" s="1319"/>
      <c r="P501" s="1319"/>
      <c r="Q501" s="1320"/>
      <c r="R501" s="1320"/>
      <c r="W501" s="79"/>
      <c r="X501" s="79"/>
      <c r="Y501" s="79"/>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1319"/>
      <c r="D502" s="1321">
        <v>4423</v>
      </c>
      <c r="E502" s="1319" t="e">
        <f>VLOOKUP(D502,BV_Data_An_Cour!L:M,2,FALSE)</f>
        <v>#N/A</v>
      </c>
      <c r="F502" s="1320"/>
      <c r="G502" s="1319"/>
      <c r="H502" s="1319"/>
      <c r="I502" s="1320"/>
      <c r="J502" s="1322" t="e">
        <f>-VLOOKUP(D502,BV_Data_An_Cour!L:P,4,FALSE)</f>
        <v>#N/A</v>
      </c>
      <c r="K502" s="1319"/>
      <c r="L502" s="1329"/>
      <c r="M502" s="1329"/>
      <c r="N502" s="1329"/>
      <c r="O502" s="1322" t="e">
        <f>-VLOOKUP(D502,BV_Data_An_Cour!L:P,5,FALSE)</f>
        <v>#N/A</v>
      </c>
      <c r="P502" s="1319"/>
      <c r="Q502" s="1320"/>
      <c r="R502" s="1320"/>
      <c r="W502" s="79"/>
      <c r="X502" s="79"/>
      <c r="Y502" s="79"/>
      <c r="Z502" s="79"/>
      <c r="AA502" s="79"/>
      <c r="AB502" s="79"/>
      <c r="AC502" s="79"/>
      <c r="AD502" s="79"/>
      <c r="AE502" s="1346"/>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1319"/>
      <c r="D503" s="1321">
        <v>5423</v>
      </c>
      <c r="E503" s="1319" t="e">
        <f>VLOOKUP(D503,BV_Data_An_Cour!L:M,2,FALSE)</f>
        <v>#N/A</v>
      </c>
      <c r="F503" s="1320"/>
      <c r="G503" s="1319"/>
      <c r="H503" s="1319"/>
      <c r="I503" s="1320"/>
      <c r="J503" s="1322" t="e">
        <f>-VLOOKUP(D503,BV_Data_An_Cour!L:P,4,FALSE)</f>
        <v>#N/A</v>
      </c>
      <c r="K503" s="1325" t="e">
        <f>-J503/J502</f>
        <v>#N/A</v>
      </c>
      <c r="L503" s="1329"/>
      <c r="M503" s="1329"/>
      <c r="N503" s="1329"/>
      <c r="O503" s="1322" t="e">
        <f>-VLOOKUP(D503,BV_Data_An_Cour!L:P,5,FALSE)</f>
        <v>#N/A</v>
      </c>
      <c r="P503" s="1325" t="e">
        <f>-O503/O502</f>
        <v>#N/A</v>
      </c>
      <c r="Q503" s="1320"/>
      <c r="R503" s="1320"/>
      <c r="W503" s="79"/>
      <c r="X503" s="79"/>
      <c r="Y503" s="79"/>
      <c r="Z503" s="79"/>
      <c r="AA503" s="79"/>
      <c r="AB503" s="79"/>
      <c r="AC503" s="79"/>
      <c r="AD503" s="79"/>
      <c r="AE503" s="79"/>
      <c r="AF503" s="96"/>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s="564" customFormat="1" ht="15.75" customHeight="1" thickBot="1">
      <c r="B504" s="159"/>
      <c r="C504" s="1319"/>
      <c r="D504" s="1321"/>
      <c r="E504" s="1319" t="s">
        <v>3354</v>
      </c>
      <c r="F504" s="1320"/>
      <c r="G504" s="1319"/>
      <c r="H504" s="1319"/>
      <c r="I504" s="1320"/>
      <c r="J504" s="1323" t="e">
        <f>SUM(J502:J503)</f>
        <v>#N/A</v>
      </c>
      <c r="K504" s="1326" t="e">
        <f>+J504/J502</f>
        <v>#N/A</v>
      </c>
      <c r="L504" s="1329"/>
      <c r="M504" s="1329"/>
      <c r="N504" s="1329"/>
      <c r="O504" s="1323" t="e">
        <f>SUM(O502:O503)</f>
        <v>#N/A</v>
      </c>
      <c r="P504" s="1326" t="e">
        <f>+O504/O502</f>
        <v>#N/A</v>
      </c>
      <c r="Q504" s="1320"/>
      <c r="R504" s="1320"/>
      <c r="S504"/>
      <c r="T504"/>
      <c r="U504"/>
      <c r="V504"/>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s="564" customFormat="1" ht="15.75" customHeight="1" thickTop="1">
      <c r="B505" s="159"/>
      <c r="C505" s="1319"/>
      <c r="D505" s="1321"/>
      <c r="E505" s="1319"/>
      <c r="F505" s="1320"/>
      <c r="G505" s="1319"/>
      <c r="H505" s="1319"/>
      <c r="I505" s="1320"/>
      <c r="J505" s="1321"/>
      <c r="K505" s="1319"/>
      <c r="L505" s="1329"/>
      <c r="M505" s="1329"/>
      <c r="N505" s="1329"/>
      <c r="O505" s="1321"/>
      <c r="P505" s="1319"/>
      <c r="Q505" s="1320"/>
      <c r="R505" s="1320"/>
      <c r="S505"/>
      <c r="T505"/>
      <c r="U505"/>
      <c r="V505"/>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thickBot="1">
      <c r="B506" s="2"/>
      <c r="C506" s="1319"/>
      <c r="D506" s="1321">
        <v>4425</v>
      </c>
      <c r="E506" s="1330" t="e">
        <f>VLOOKUP(D506,BV_Data_An_Cour!L:M,2,FALSE)</f>
        <v>#N/A</v>
      </c>
      <c r="F506" s="1320"/>
      <c r="G506" s="1319"/>
      <c r="H506" s="1319"/>
      <c r="I506" s="1320"/>
      <c r="J506" s="1328" t="e">
        <f>-VLOOKUP(D506,BV_Data_An_Cour!L:P,4,FALSE)</f>
        <v>#N/A</v>
      </c>
      <c r="K506" s="1319"/>
      <c r="L506" s="1329"/>
      <c r="M506" s="1329"/>
      <c r="N506" s="1329"/>
      <c r="O506" s="1328" t="e">
        <f>-VLOOKUP(D506,BV_Data_An_Cour!L:P,5,FALSE)</f>
        <v>#N/A</v>
      </c>
      <c r="P506" s="1319"/>
      <c r="Q506" s="1320"/>
      <c r="R506" s="1320"/>
      <c r="W506" s="79"/>
      <c r="X506" s="79"/>
      <c r="Y506" s="79"/>
      <c r="Z506" s="79"/>
      <c r="AA506" s="79"/>
      <c r="AB506" s="79"/>
      <c r="AC506" s="79"/>
      <c r="AD506" s="79"/>
      <c r="AE506" s="79"/>
      <c r="AF506" s="101"/>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thickTop="1">
      <c r="B507" s="2"/>
      <c r="C507" s="1319"/>
      <c r="D507" s="1321"/>
      <c r="E507" s="1319"/>
      <c r="F507" s="1320"/>
      <c r="G507" s="1319"/>
      <c r="H507" s="1319"/>
      <c r="I507" s="1320"/>
      <c r="J507" s="1319"/>
      <c r="K507" s="1319"/>
      <c r="L507" s="1329"/>
      <c r="M507" s="1329"/>
      <c r="N507" s="1329"/>
      <c r="O507" s="1319"/>
      <c r="P507" s="1319"/>
      <c r="Q507" s="1320"/>
      <c r="R507" s="1320"/>
      <c r="W507" s="79"/>
      <c r="X507" s="79"/>
      <c r="Y507" s="79"/>
      <c r="Z507" s="79"/>
      <c r="AA507" s="79"/>
      <c r="AB507" s="79"/>
      <c r="AC507" s="79"/>
      <c r="AD507" s="79"/>
      <c r="AE507" s="79"/>
      <c r="AF507" s="101"/>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1319"/>
      <c r="D508" s="1321"/>
      <c r="E508" s="1319"/>
      <c r="F508" s="1320"/>
      <c r="G508" s="1319"/>
      <c r="H508" s="1319"/>
      <c r="I508" s="1320"/>
      <c r="J508" s="1319"/>
      <c r="K508" s="1319"/>
      <c r="L508" s="1329"/>
      <c r="M508" s="1329"/>
      <c r="N508" s="1329"/>
      <c r="O508" s="1319"/>
      <c r="P508" s="1319"/>
      <c r="Q508" s="1320"/>
      <c r="R508" s="1320"/>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1319"/>
      <c r="D509" s="1321">
        <v>4727</v>
      </c>
      <c r="E509" s="1319" t="e">
        <f>VLOOKUP(D509,BV_Data_An_Cour!L:M,2,FALSE)</f>
        <v>#N/A</v>
      </c>
      <c r="F509" s="1320"/>
      <c r="G509" s="1319"/>
      <c r="H509" s="1319"/>
      <c r="I509" s="1320"/>
      <c r="J509" s="1322" t="e">
        <f>-VLOOKUP(D509,BV_Data_An_Cour!L:P,4,FALSE)</f>
        <v>#N/A</v>
      </c>
      <c r="K509" s="1319"/>
      <c r="L509" s="1329"/>
      <c r="M509" s="1329"/>
      <c r="N509" s="1329"/>
      <c r="O509" s="1322" t="e">
        <f>-VLOOKUP(D509,BV_Data_An_Cour!L:P,5,FALSE)</f>
        <v>#N/A</v>
      </c>
      <c r="P509" s="1319"/>
      <c r="Q509" s="1320"/>
      <c r="R509" s="1320"/>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1319"/>
      <c r="D510" s="1321">
        <v>5727</v>
      </c>
      <c r="E510" s="1319" t="e">
        <f>VLOOKUP(D510,BV_Data_An_Cour!L:M,2,FALSE)</f>
        <v>#N/A</v>
      </c>
      <c r="F510" s="1320"/>
      <c r="G510" s="1319"/>
      <c r="H510" s="1319"/>
      <c r="I510" s="1320"/>
      <c r="J510" s="1322" t="e">
        <f>-VLOOKUP(D510,BV_Data_An_Cour!L:P,4,FALSE)</f>
        <v>#N/A</v>
      </c>
      <c r="K510" s="1325" t="e">
        <f>-J510/J509</f>
        <v>#N/A</v>
      </c>
      <c r="L510" s="1329"/>
      <c r="M510" s="1329"/>
      <c r="N510" s="1329"/>
      <c r="O510" s="1322" t="e">
        <f>-VLOOKUP(D510,BV_Data_An_Cour!L:P,5,FALSE)</f>
        <v>#N/A</v>
      </c>
      <c r="P510" s="1325" t="e">
        <f>-O510/O509</f>
        <v>#N/A</v>
      </c>
      <c r="Q510" s="1320"/>
      <c r="R510" s="1320"/>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s="564" customFormat="1" ht="15.75" customHeight="1" thickBot="1">
      <c r="B511" s="159"/>
      <c r="C511" s="1319"/>
      <c r="D511" s="1319"/>
      <c r="E511" s="1319" t="s">
        <v>3355</v>
      </c>
      <c r="F511" s="1320"/>
      <c r="G511" s="1319"/>
      <c r="H511" s="1319"/>
      <c r="I511" s="1320"/>
      <c r="J511" s="1323" t="e">
        <f>SUM(J509:J510)</f>
        <v>#N/A</v>
      </c>
      <c r="K511" s="1326" t="e">
        <f>+J511/J509</f>
        <v>#N/A</v>
      </c>
      <c r="L511" s="1329"/>
      <c r="M511" s="1329"/>
      <c r="N511" s="1329"/>
      <c r="O511" s="1323" t="e">
        <f>SUM(O509:O510)</f>
        <v>#N/A</v>
      </c>
      <c r="P511" s="1326" t="e">
        <f>+O511/O509</f>
        <v>#N/A</v>
      </c>
      <c r="Q511" s="1320"/>
      <c r="R511" s="1320"/>
      <c r="S511"/>
      <c r="T511"/>
      <c r="U511"/>
      <c r="V511"/>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thickTop="1">
      <c r="B512" s="2"/>
      <c r="C512" s="1319"/>
      <c r="D512" s="1321"/>
      <c r="E512" s="1319"/>
      <c r="F512" s="1320"/>
      <c r="G512" s="1319"/>
      <c r="H512" s="1319"/>
      <c r="I512" s="1320"/>
      <c r="J512" s="1321"/>
      <c r="K512" s="1319"/>
      <c r="L512" s="1329"/>
      <c r="M512" s="1329"/>
      <c r="N512" s="1329"/>
      <c r="O512" s="1321"/>
      <c r="P512" s="1319"/>
      <c r="Q512" s="1320"/>
      <c r="R512" s="1320"/>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thickBot="1">
      <c r="B513" s="2"/>
      <c r="C513" s="1319"/>
      <c r="D513" s="1321">
        <v>4729</v>
      </c>
      <c r="E513" s="1330" t="e">
        <f>VLOOKUP(D513,BV_Data_An_Cour!L:M,2,FALSE)</f>
        <v>#N/A</v>
      </c>
      <c r="F513" s="1320"/>
      <c r="G513" s="1319"/>
      <c r="H513" s="1319"/>
      <c r="I513" s="1320"/>
      <c r="J513" s="1328" t="e">
        <f>-VLOOKUP(D513,BV_Data_An_Cour!L:P,4,FALSE)</f>
        <v>#N/A</v>
      </c>
      <c r="K513" s="1319"/>
      <c r="L513" s="1329"/>
      <c r="M513" s="1329"/>
      <c r="N513" s="1329"/>
      <c r="O513" s="1328" t="e">
        <f>-VLOOKUP(D513,BV_Data_An_Cour!L:P,5,FALSE)</f>
        <v>#N/A</v>
      </c>
      <c r="P513" s="1319"/>
      <c r="Q513" s="1320"/>
      <c r="R513" s="1320"/>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thickTop="1">
      <c r="B514" s="2"/>
      <c r="C514" s="1319"/>
      <c r="D514" s="1329"/>
      <c r="E514" s="1329"/>
      <c r="F514" s="1329"/>
      <c r="G514" s="1329"/>
      <c r="H514" s="1329"/>
      <c r="I514" s="1329"/>
      <c r="J514" s="1329"/>
      <c r="K514" s="1329"/>
      <c r="L514" s="1329"/>
      <c r="M514" s="1329"/>
      <c r="N514" s="1329"/>
      <c r="O514" s="1329"/>
      <c r="P514" s="1329"/>
      <c r="Q514" s="1320"/>
      <c r="R514" s="1320"/>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D515" s="1319" t="s">
        <v>3345</v>
      </c>
      <c r="E515" s="1319"/>
      <c r="F515" s="1320"/>
      <c r="G515" s="1319"/>
      <c r="H515" s="1319"/>
      <c r="I515" s="1320"/>
      <c r="J515" s="1319"/>
      <c r="K515" s="1319"/>
      <c r="L515" s="1329"/>
      <c r="M515" s="1329"/>
      <c r="N515" s="1329"/>
      <c r="O515" s="1319"/>
      <c r="P515" s="1319"/>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D516" s="1321"/>
      <c r="E516" s="1319" t="s">
        <v>3342</v>
      </c>
      <c r="F516" s="1320"/>
      <c r="G516" s="1319"/>
      <c r="H516" s="1319"/>
      <c r="I516" s="1320"/>
      <c r="J516" s="1322" t="e">
        <f>+J502</f>
        <v>#N/A</v>
      </c>
      <c r="K516" s="1319"/>
      <c r="L516" s="1329"/>
      <c r="M516" s="1329"/>
      <c r="N516" s="1329"/>
      <c r="O516" s="1322" t="e">
        <f>+O502</f>
        <v>#N/A</v>
      </c>
      <c r="P516" s="1319"/>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D517" s="1321"/>
      <c r="E517" s="1319" t="s">
        <v>3343</v>
      </c>
      <c r="F517" s="1320"/>
      <c r="G517" s="1319"/>
      <c r="H517" s="1319"/>
      <c r="I517" s="1320"/>
      <c r="J517" s="1322" t="e">
        <f>+J503</f>
        <v>#N/A</v>
      </c>
      <c r="K517" s="1325" t="e">
        <f>-J517/J516</f>
        <v>#N/A</v>
      </c>
      <c r="L517" s="1329"/>
      <c r="M517" s="1329"/>
      <c r="N517" s="1329"/>
      <c r="O517" s="1322" t="e">
        <f>+O503</f>
        <v>#N/A</v>
      </c>
      <c r="P517" s="1325" t="e">
        <f>-O517/O516</f>
        <v>#N/A</v>
      </c>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thickBot="1">
      <c r="B518" s="2"/>
      <c r="D518" s="1321"/>
      <c r="E518" s="1319"/>
      <c r="F518" s="1320"/>
      <c r="G518" s="1319"/>
      <c r="H518" s="1319"/>
      <c r="I518" s="1320"/>
      <c r="J518" s="1323" t="e">
        <f>SUM(J516:J517)</f>
        <v>#N/A</v>
      </c>
      <c r="K518" s="1326" t="e">
        <f>+J518/J516</f>
        <v>#N/A</v>
      </c>
      <c r="L518" s="1329"/>
      <c r="M518" s="1329"/>
      <c r="N518" s="1329"/>
      <c r="O518" s="1323" t="e">
        <f>SUM(O516:O517)</f>
        <v>#N/A</v>
      </c>
      <c r="P518" s="1326" t="e">
        <f>+O518/O516</f>
        <v>#N/A</v>
      </c>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thickTop="1">
      <c r="B519" s="2"/>
      <c r="D519" s="1321"/>
      <c r="E519" s="1319"/>
      <c r="F519" s="1320"/>
      <c r="G519" s="1319"/>
      <c r="H519" s="1329"/>
      <c r="I519" s="1327"/>
      <c r="J519" s="1329"/>
      <c r="K519" s="1319"/>
      <c r="L519" s="1329"/>
      <c r="M519" s="1329"/>
      <c r="N519" s="1327"/>
      <c r="O519" s="1329"/>
      <c r="P519" s="1319"/>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s="564" customFormat="1" ht="15.75" customHeight="1" thickBot="1">
      <c r="B520" s="159"/>
      <c r="C520"/>
      <c r="D520" s="1321"/>
      <c r="E520" s="1319" t="s">
        <v>3344</v>
      </c>
      <c r="F520" s="1320"/>
      <c r="G520" s="1319"/>
      <c r="H520" s="1319"/>
      <c r="I520" s="1320"/>
      <c r="J520" s="1331" t="e">
        <f>+J506+J513</f>
        <v>#N/A</v>
      </c>
      <c r="K520" s="1319"/>
      <c r="L520" s="1329"/>
      <c r="M520" s="1329"/>
      <c r="N520" s="1329"/>
      <c r="O520" s="1331" t="e">
        <f>+O506+O513</f>
        <v>#N/A</v>
      </c>
      <c r="P520" s="1319"/>
      <c r="Q520"/>
      <c r="R520"/>
      <c r="S520"/>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thickTop="1">
      <c r="B521" s="2"/>
      <c r="C521" s="564"/>
      <c r="D521" s="1321"/>
      <c r="E521" s="1319"/>
      <c r="F521" s="1320"/>
      <c r="G521" s="1319"/>
      <c r="H521" s="1319"/>
      <c r="I521" s="1320"/>
      <c r="J521" s="1336"/>
      <c r="K521" s="1319"/>
      <c r="L521" s="1329"/>
      <c r="M521" s="1329"/>
      <c r="N521" s="1329"/>
      <c r="O521" s="1336"/>
      <c r="P521" s="1319"/>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thickBot="1">
      <c r="B522" s="2"/>
      <c r="D522" s="1321"/>
      <c r="E522" s="1330"/>
      <c r="F522" s="1320"/>
      <c r="G522" s="1319"/>
      <c r="H522" s="1319"/>
      <c r="I522" s="1320"/>
      <c r="J522" s="79"/>
      <c r="K522" s="1319"/>
      <c r="L522" s="1329"/>
      <c r="M522" s="1329"/>
      <c r="N522" s="1329"/>
      <c r="O522" s="79"/>
      <c r="P522" s="1319"/>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thickBot="1">
      <c r="B523" s="2"/>
      <c r="D523" s="1332" t="s">
        <v>3346</v>
      </c>
      <c r="E523" s="1333"/>
      <c r="F523" s="1334"/>
      <c r="G523" s="1335"/>
      <c r="J523" s="1324" t="s">
        <v>3340</v>
      </c>
      <c r="O523" s="1324" t="s">
        <v>3341</v>
      </c>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319"/>
      <c r="D524" s="1319" t="s">
        <v>3352</v>
      </c>
      <c r="E524" s="1319"/>
      <c r="F524" s="1320"/>
      <c r="G524" s="1319"/>
      <c r="H524" s="1319"/>
      <c r="I524" s="1320"/>
      <c r="J524" s="1319"/>
      <c r="K524" s="1319"/>
      <c r="L524" s="1329"/>
      <c r="M524" s="1329"/>
      <c r="N524" s="1329"/>
      <c r="O524" s="1319"/>
      <c r="P524" s="1319"/>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19"/>
      <c r="D525" s="1321">
        <v>4405</v>
      </c>
      <c r="E525" s="1319" t="str">
        <f>VLOOKUP(D525,BV_Data_An_Cour!L:M,2,FALSE)</f>
        <v>M.O. MECANIQUE-VENTE INTERNE</v>
      </c>
      <c r="F525" s="1320"/>
      <c r="G525" s="1319"/>
      <c r="H525" s="1319"/>
      <c r="I525" s="1320"/>
      <c r="J525" s="1322">
        <f>-VLOOKUP(D525,BV_Data_An_Cour!L:P,4,FALSE)</f>
        <v>41930.720000000001</v>
      </c>
      <c r="K525" s="1319"/>
      <c r="L525" s="1329"/>
      <c r="M525" s="1329"/>
      <c r="N525" s="1329"/>
      <c r="O525" s="1322">
        <f>-VLOOKUP(D525,BV_Data_An_Cour!L:P,5,FALSE)</f>
        <v>203405.29</v>
      </c>
      <c r="P525" s="1319"/>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319"/>
      <c r="D526" s="1321">
        <v>5405</v>
      </c>
      <c r="E526" s="1319" t="str">
        <f>VLOOKUP(D526,BV_Data_An_Cour!L:M,2,FALSE)</f>
        <v>C D V VENTES M OINTERNE</v>
      </c>
      <c r="F526" s="1320"/>
      <c r="G526" s="1319"/>
      <c r="H526" s="1319"/>
      <c r="I526" s="1320"/>
      <c r="J526" s="1322">
        <f>-VLOOKUP(D526,BV_Data_An_Cour!L:P,4,FALSE)</f>
        <v>-12116.8</v>
      </c>
      <c r="K526" s="1325">
        <f>-J526/J525</f>
        <v>0.28897190413138624</v>
      </c>
      <c r="L526" s="1329"/>
      <c r="M526" s="1329"/>
      <c r="N526" s="1329"/>
      <c r="O526" s="1322">
        <f>-VLOOKUP(D526,BV_Data_An_Cour!L:P,5,FALSE)</f>
        <v>-59996.639999999999</v>
      </c>
      <c r="P526" s="1325">
        <f>-O526/O525</f>
        <v>0.29496106025561086</v>
      </c>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thickBot="1">
      <c r="B527" s="2"/>
      <c r="C527" s="1319"/>
      <c r="D527" s="1321"/>
      <c r="E527" s="1319" t="s">
        <v>3348</v>
      </c>
      <c r="F527" s="1320"/>
      <c r="G527" s="1319"/>
      <c r="H527" s="1319"/>
      <c r="I527" s="1320"/>
      <c r="J527" s="1323">
        <f>SUM(J525:J526)</f>
        <v>29813.920000000002</v>
      </c>
      <c r="K527" s="1326">
        <f>+J527/J525</f>
        <v>0.71102809586861382</v>
      </c>
      <c r="L527" s="1329"/>
      <c r="M527" s="1329"/>
      <c r="N527" s="1329"/>
      <c r="O527" s="1323">
        <f>SUM(O525:O526)</f>
        <v>143408.65000000002</v>
      </c>
      <c r="P527" s="1326">
        <f>+O527/O525</f>
        <v>0.70503893974438925</v>
      </c>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thickTop="1">
      <c r="B528" s="2"/>
      <c r="C528" s="1319"/>
      <c r="D528" s="1321"/>
      <c r="E528" s="1319"/>
      <c r="F528" s="1320"/>
      <c r="G528" s="1319"/>
      <c r="H528" s="1319"/>
      <c r="I528" s="1320"/>
      <c r="J528" s="1321"/>
      <c r="K528" s="1319"/>
      <c r="L528" s="1329"/>
      <c r="M528" s="1329"/>
      <c r="N528" s="1329"/>
      <c r="O528" s="1321"/>
      <c r="P528" s="1319"/>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1:62" ht="15.75" customHeight="1">
      <c r="B529" s="2"/>
      <c r="C529" s="1319"/>
      <c r="D529" s="1321"/>
      <c r="E529" s="1319"/>
      <c r="F529" s="1320"/>
      <c r="G529" s="1319"/>
      <c r="H529" s="1319"/>
      <c r="I529" s="1320"/>
      <c r="J529" s="1319"/>
      <c r="K529" s="1319"/>
      <c r="L529" s="1329"/>
      <c r="M529" s="1329"/>
      <c r="N529" s="1329"/>
      <c r="O529" s="1319"/>
      <c r="P529" s="1319"/>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1:62" ht="15.75" customHeight="1">
      <c r="B530" s="2"/>
      <c r="C530" s="1319"/>
      <c r="D530" s="1321">
        <v>4705</v>
      </c>
      <c r="E530" s="1319" t="str">
        <f>VLOOKUP(D530,BV_Data_An_Cour!L:M,2,FALSE)</f>
        <v>VTE - PIECE/ACC B.R. INTERNE VW</v>
      </c>
      <c r="F530" s="1320"/>
      <c r="G530" s="1319"/>
      <c r="H530" s="1319"/>
      <c r="I530" s="1320"/>
      <c r="J530" s="1322">
        <f>-VLOOKUP(D530,BV_Data_An_Cour!L:P,4,FALSE)</f>
        <v>49568.800000000003</v>
      </c>
      <c r="K530" s="1319"/>
      <c r="L530" s="1329"/>
      <c r="M530" s="1329"/>
      <c r="N530" s="1329"/>
      <c r="O530" s="1322">
        <f>-VLOOKUP(D530,BV_Data_An_Cour!L:P,5,FALSE)</f>
        <v>200379.06</v>
      </c>
      <c r="P530" s="1319"/>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1:62" ht="15.75" customHeight="1">
      <c r="B531" s="2"/>
      <c r="C531" s="1319"/>
      <c r="D531" s="1321">
        <v>5705</v>
      </c>
      <c r="E531" s="1319" t="str">
        <f>VLOOKUP(D531,BV_Data_An_Cour!L:M,2,FALSE)</f>
        <v>C/V - PIECE/ACC B.R. INTERNE VW</v>
      </c>
      <c r="F531" s="1320"/>
      <c r="G531" s="1319"/>
      <c r="H531" s="1319"/>
      <c r="I531" s="1320"/>
      <c r="J531" s="1322">
        <f>-VLOOKUP(D531,BV_Data_An_Cour!L:P,4,FALSE)</f>
        <v>-33819.760000000002</v>
      </c>
      <c r="K531" s="1325">
        <f>-J531/J530</f>
        <v>0.68227917561046469</v>
      </c>
      <c r="L531" s="1329"/>
      <c r="M531" s="1329"/>
      <c r="N531" s="1329"/>
      <c r="O531" s="1322">
        <f>-VLOOKUP(D531,BV_Data_An_Cour!L:P,5,FALSE)</f>
        <v>-137062.20000000001</v>
      </c>
      <c r="P531" s="1325">
        <f>-O531/O530</f>
        <v>0.68401458715296903</v>
      </c>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1:62" ht="15.75" customHeight="1" thickBot="1">
      <c r="B532" s="2"/>
      <c r="C532" s="1319"/>
      <c r="D532" s="1319"/>
      <c r="E532" s="1319" t="s">
        <v>3349</v>
      </c>
      <c r="F532" s="1320"/>
      <c r="G532" s="1319"/>
      <c r="H532" s="1319"/>
      <c r="I532" s="1320"/>
      <c r="J532" s="1323">
        <f>SUM(J530:J531)</f>
        <v>15749.04</v>
      </c>
      <c r="K532" s="1326">
        <f>+J532/J530</f>
        <v>0.31772082438953536</v>
      </c>
      <c r="L532" s="1329"/>
      <c r="M532" s="1329"/>
      <c r="N532" s="1329"/>
      <c r="O532" s="1323">
        <f>SUM(O530:O531)</f>
        <v>63316.859999999986</v>
      </c>
      <c r="P532" s="1326">
        <f>+O532/O530</f>
        <v>0.31598541284703097</v>
      </c>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1:62" ht="15.75" customHeight="1" thickTop="1">
      <c r="B533" s="2"/>
      <c r="C533" s="1319"/>
      <c r="D533" s="1321"/>
      <c r="E533" s="1319"/>
      <c r="F533" s="1320"/>
      <c r="G533" s="1319"/>
      <c r="H533" s="1319"/>
      <c r="I533" s="1320"/>
      <c r="J533" s="1321"/>
      <c r="K533" s="1319"/>
      <c r="L533" s="1329"/>
      <c r="M533" s="1329"/>
      <c r="N533" s="1329"/>
      <c r="O533" s="1321"/>
      <c r="P533" s="1319"/>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1:62" ht="15.75" customHeight="1">
      <c r="B534" s="2"/>
      <c r="D534" s="1319" t="s">
        <v>3345</v>
      </c>
      <c r="E534" s="1319"/>
      <c r="F534" s="1320"/>
      <c r="G534" s="1319"/>
      <c r="H534" s="1319"/>
      <c r="I534" s="1320"/>
      <c r="J534" s="1319"/>
      <c r="K534" s="1319"/>
      <c r="L534" s="1329"/>
      <c r="M534" s="1329"/>
      <c r="N534" s="1329"/>
      <c r="O534" s="1319"/>
      <c r="P534" s="1319"/>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1:62" ht="15.75" customHeight="1">
      <c r="B535" s="2"/>
      <c r="D535" s="1321"/>
      <c r="E535" s="1319" t="s">
        <v>3350</v>
      </c>
      <c r="F535" s="1320"/>
      <c r="G535" s="1319"/>
      <c r="H535" s="1319"/>
      <c r="I535" s="1320"/>
      <c r="J535" s="1322">
        <f>+J525</f>
        <v>41930.720000000001</v>
      </c>
      <c r="K535" s="1319"/>
      <c r="L535" s="1329"/>
      <c r="M535" s="1329"/>
      <c r="N535" s="1329"/>
      <c r="O535" s="1322">
        <f>+O525</f>
        <v>203405.29</v>
      </c>
      <c r="P535" s="1319"/>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1:62" ht="15.75" customHeight="1">
      <c r="B536" s="2"/>
      <c r="D536" s="1321"/>
      <c r="E536" s="1319" t="s">
        <v>3351</v>
      </c>
      <c r="F536" s="1320"/>
      <c r="G536" s="1319"/>
      <c r="H536" s="1319"/>
      <c r="I536" s="1320"/>
      <c r="J536" s="1322">
        <f>+J526</f>
        <v>-12116.8</v>
      </c>
      <c r="K536" s="1325">
        <f>-J536/J535</f>
        <v>0.28897190413138624</v>
      </c>
      <c r="L536" s="1329"/>
      <c r="M536" s="1329"/>
      <c r="N536" s="1329"/>
      <c r="O536" s="1322">
        <f>+O526</f>
        <v>-59996.639999999999</v>
      </c>
      <c r="P536" s="1325">
        <f>-O536/O535</f>
        <v>0.29496106025561086</v>
      </c>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1:62" ht="15.75" customHeight="1" thickBot="1">
      <c r="B537" s="2"/>
      <c r="D537" s="1321"/>
      <c r="E537" s="1319"/>
      <c r="F537" s="1320"/>
      <c r="G537" s="1319"/>
      <c r="H537" s="1319"/>
      <c r="I537" s="1320"/>
      <c r="J537" s="1323">
        <f>SUM(J535:J536)</f>
        <v>29813.920000000002</v>
      </c>
      <c r="K537" s="1326">
        <f>+J537/J535</f>
        <v>0.71102809586861382</v>
      </c>
      <c r="L537" s="1329"/>
      <c r="M537" s="1329"/>
      <c r="N537" s="1329"/>
      <c r="O537" s="1323">
        <f>SUM(O535:O536)</f>
        <v>143408.65000000002</v>
      </c>
      <c r="P537" s="1326">
        <f>+O537/O535</f>
        <v>0.70503893974438925</v>
      </c>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1:62" ht="15.75" customHeight="1" thickTop="1">
      <c r="A538"/>
    </row>
    <row r="539" spans="1:62" ht="15.75" customHeight="1">
      <c r="A539"/>
    </row>
    <row r="540" spans="1:62" ht="15.75" customHeight="1">
      <c r="A540"/>
    </row>
    <row r="541" spans="1:62" ht="15.75" customHeight="1">
      <c r="A541"/>
    </row>
    <row r="542" spans="1:62" ht="15.75" customHeight="1">
      <c r="A542"/>
    </row>
    <row r="543" spans="1:62" ht="15.75" customHeight="1">
      <c r="A543"/>
    </row>
    <row r="544" spans="1:62" ht="15.75" customHeight="1">
      <c r="A544"/>
    </row>
    <row r="545" spans="1:1" ht="15.75" customHeight="1">
      <c r="A545"/>
    </row>
    <row r="546" spans="1:1" ht="15.75" customHeight="1">
      <c r="A546"/>
    </row>
    <row r="547" spans="1:1" ht="15.75" customHeight="1">
      <c r="A547"/>
    </row>
    <row r="548" spans="1:1" ht="15.75" customHeight="1">
      <c r="A548"/>
    </row>
    <row r="549" spans="1:1" ht="15.75" customHeight="1">
      <c r="A549"/>
    </row>
    <row r="550" spans="1:1" ht="15.75" customHeight="1">
      <c r="A550"/>
    </row>
    <row r="551" spans="1:1" ht="15.75" customHeight="1">
      <c r="A551"/>
    </row>
    <row r="552" spans="1:1" ht="15.75" customHeight="1">
      <c r="A552"/>
    </row>
    <row r="553" spans="1:1" ht="15.75" customHeight="1">
      <c r="A553"/>
    </row>
    <row r="554" spans="1:1" ht="15.75" customHeight="1">
      <c r="A554"/>
    </row>
    <row r="555" spans="1:1" ht="15.75" customHeight="1">
      <c r="A555"/>
    </row>
    <row r="556" spans="1:1" ht="15.75" customHeight="1">
      <c r="A556"/>
    </row>
    <row r="557" spans="1:1" ht="15.75" customHeight="1">
      <c r="A557"/>
    </row>
    <row r="558" spans="1:1" ht="15.75" customHeight="1">
      <c r="A558"/>
    </row>
    <row r="559" spans="1:1" ht="15.75" customHeight="1">
      <c r="A559"/>
    </row>
    <row r="560" spans="1:1" ht="15.75" customHeight="1">
      <c r="A560"/>
    </row>
    <row r="561" spans="1:1" ht="15.75" customHeight="1">
      <c r="A561"/>
    </row>
    <row r="562" spans="1:1" ht="15.75" customHeight="1">
      <c r="A562"/>
    </row>
    <row r="563" spans="1:1" ht="15.75" customHeight="1">
      <c r="A563"/>
    </row>
    <row r="564" spans="1:1" ht="15.75" customHeight="1">
      <c r="A564"/>
    </row>
    <row r="565" spans="1:1" ht="15.75" customHeight="1">
      <c r="A565"/>
    </row>
    <row r="566" spans="1:1" ht="15.75" customHeight="1">
      <c r="A566"/>
    </row>
    <row r="567" spans="1:1" ht="15.75" customHeight="1">
      <c r="A567"/>
    </row>
    <row r="568" spans="1:1" ht="15.75" customHeight="1">
      <c r="A568"/>
    </row>
    <row r="569" spans="1:1" ht="15.75" customHeight="1">
      <c r="A569"/>
    </row>
    <row r="570" spans="1:1" ht="15.75" customHeight="1">
      <c r="A570"/>
    </row>
    <row r="571" spans="1:1" ht="15.75" customHeight="1">
      <c r="A571"/>
    </row>
    <row r="572" spans="1:1" ht="15.75" customHeight="1">
      <c r="A572"/>
    </row>
    <row r="573" spans="1:1" ht="15.75" customHeight="1">
      <c r="A573"/>
    </row>
    <row r="574" spans="1:1" ht="15.75" customHeight="1">
      <c r="A574"/>
    </row>
    <row r="575" spans="1:1" ht="15.75" customHeight="1">
      <c r="A575"/>
    </row>
    <row r="576" spans="1:1" ht="15.75" customHeight="1">
      <c r="A576"/>
    </row>
    <row r="577" spans="1:1" ht="15.75" customHeight="1">
      <c r="A577"/>
    </row>
    <row r="578" spans="1:1" ht="15.75" customHeight="1">
      <c r="A578"/>
    </row>
    <row r="579" spans="1:1" ht="15.75" customHeight="1">
      <c r="A579"/>
    </row>
    <row r="580" spans="1:1" ht="15.75" customHeight="1">
      <c r="A580"/>
    </row>
    <row r="581" spans="1:1" ht="15.75" customHeight="1">
      <c r="A581"/>
    </row>
    <row r="582" spans="1:1" ht="15.75" customHeight="1">
      <c r="A582"/>
    </row>
    <row r="583" spans="1:1" ht="15.75" customHeight="1">
      <c r="A583"/>
    </row>
    <row r="584" spans="1:1" ht="15.75" customHeight="1">
      <c r="A584"/>
    </row>
    <row r="585" spans="1:1" ht="15.75" customHeight="1">
      <c r="A585"/>
    </row>
    <row r="586" spans="1:1" ht="15.75" customHeight="1">
      <c r="A586"/>
    </row>
    <row r="587" spans="1:1" ht="15.75" customHeight="1">
      <c r="A587"/>
    </row>
    <row r="588" spans="1:1" ht="15.75" customHeight="1">
      <c r="A588"/>
    </row>
    <row r="589" spans="1:1" ht="15.75" customHeight="1">
      <c r="A589"/>
    </row>
    <row r="590" spans="1:1" ht="15.75" customHeight="1">
      <c r="A590"/>
    </row>
    <row r="591" spans="1:1" ht="15.75" customHeight="1">
      <c r="A591"/>
    </row>
    <row r="592" spans="1:1" ht="15.75" customHeight="1">
      <c r="A592"/>
    </row>
    <row r="593" spans="1:1" ht="15.75" customHeight="1">
      <c r="A593"/>
    </row>
    <row r="594" spans="1:1" ht="15.75" customHeight="1">
      <c r="A594"/>
    </row>
    <row r="595" spans="1:1" ht="15.75" customHeight="1">
      <c r="A595"/>
    </row>
    <row r="596" spans="1:1" ht="15.75" customHeight="1">
      <c r="A596"/>
    </row>
    <row r="597" spans="1:1" ht="15.75" customHeight="1">
      <c r="A597"/>
    </row>
    <row r="598" spans="1:1" ht="15.75" customHeight="1">
      <c r="A598"/>
    </row>
    <row r="599" spans="1:1" ht="15.75" customHeight="1">
      <c r="A599"/>
    </row>
    <row r="600" spans="1:1" ht="15.75" customHeight="1">
      <c r="A600"/>
    </row>
    <row r="601" spans="1:1" ht="15.75" customHeight="1">
      <c r="A601"/>
    </row>
    <row r="602" spans="1:1" ht="15.75" customHeight="1">
      <c r="A602"/>
    </row>
    <row r="603" spans="1:1" ht="15.75" customHeight="1">
      <c r="A603"/>
    </row>
    <row r="604" spans="1:1" ht="15.75" customHeight="1">
      <c r="A604"/>
    </row>
    <row r="605" spans="1:1" ht="15.75" customHeight="1">
      <c r="A605"/>
    </row>
    <row r="606" spans="1:1" ht="15.75" customHeight="1">
      <c r="A606"/>
    </row>
    <row r="607" spans="1:1" ht="15.75" customHeight="1">
      <c r="A607"/>
    </row>
    <row r="608" spans="1:1" ht="15.75" customHeight="1">
      <c r="A608"/>
    </row>
    <row r="609" spans="1:1" ht="15.75" customHeight="1">
      <c r="A609"/>
    </row>
    <row r="610" spans="1:1" ht="15.75" customHeight="1">
      <c r="A610"/>
    </row>
    <row r="611" spans="1:1" ht="15.75" customHeight="1">
      <c r="A611"/>
    </row>
    <row r="612" spans="1:1" ht="15.75" customHeight="1">
      <c r="A612"/>
    </row>
    <row r="613" spans="1:1" ht="15.75" customHeight="1">
      <c r="A613"/>
    </row>
    <row r="614" spans="1:1" ht="15.75" customHeight="1">
      <c r="A614"/>
    </row>
    <row r="615" spans="1:1" ht="15.75" customHeight="1">
      <c r="A615"/>
    </row>
    <row r="616" spans="1:1" ht="15.75" customHeight="1">
      <c r="A616"/>
    </row>
    <row r="617" spans="1:1" ht="15.75" customHeight="1">
      <c r="A617"/>
    </row>
    <row r="618" spans="1:1" ht="15.75" customHeight="1">
      <c r="A618"/>
    </row>
    <row r="619" spans="1:1" ht="15.75" customHeight="1">
      <c r="A619"/>
    </row>
    <row r="620" spans="1:1" ht="15.75" customHeight="1">
      <c r="A620"/>
    </row>
    <row r="621" spans="1:1" ht="15.75" customHeight="1">
      <c r="A621"/>
    </row>
    <row r="622" spans="1:1" ht="15.75" customHeight="1">
      <c r="A622"/>
    </row>
    <row r="623" spans="1:1" ht="15.75" customHeight="1">
      <c r="A623"/>
    </row>
    <row r="624" spans="1:1" ht="15.75" customHeight="1">
      <c r="A624"/>
    </row>
    <row r="625" spans="1:1" ht="15.75" customHeight="1">
      <c r="A625"/>
    </row>
    <row r="626" spans="1:1" ht="15.75" customHeight="1">
      <c r="A626"/>
    </row>
    <row r="627" spans="1:1" ht="15.75" customHeight="1">
      <c r="A627"/>
    </row>
    <row r="628" spans="1:1" ht="15.75" customHeight="1">
      <c r="A628"/>
    </row>
    <row r="629" spans="1:1" ht="15.75" customHeight="1">
      <c r="A629"/>
    </row>
    <row r="630" spans="1:1" ht="15.75" customHeight="1">
      <c r="A630"/>
    </row>
    <row r="631" spans="1:1" ht="15.75" customHeight="1">
      <c r="A631"/>
    </row>
    <row r="632" spans="1:1" ht="15.75" customHeight="1">
      <c r="A632"/>
    </row>
    <row r="633" spans="1:1" ht="15.75" customHeight="1">
      <c r="A633"/>
    </row>
    <row r="634" spans="1:1" ht="15.75" customHeight="1">
      <c r="A634"/>
    </row>
    <row r="635" spans="1:1" ht="15.75" customHeight="1">
      <c r="A635"/>
    </row>
    <row r="636" spans="1:1" ht="15.75" customHeight="1">
      <c r="A636"/>
    </row>
    <row r="637" spans="1:1" ht="15.75" customHeight="1">
      <c r="A637"/>
    </row>
    <row r="638" spans="1:1" ht="15.75" customHeight="1">
      <c r="A638"/>
    </row>
    <row r="639" spans="1:1" ht="15.75" customHeight="1">
      <c r="A639"/>
    </row>
    <row r="640" spans="1:1" ht="15.75" customHeight="1">
      <c r="A640"/>
    </row>
    <row r="641" spans="1:1" ht="15.75" customHeight="1">
      <c r="A641"/>
    </row>
    <row r="642" spans="1:1" ht="15.75" customHeight="1">
      <c r="A642"/>
    </row>
    <row r="643" spans="1:1" ht="15.75" customHeight="1">
      <c r="A643"/>
    </row>
    <row r="644" spans="1:1" ht="15.75" customHeight="1">
      <c r="A644"/>
    </row>
    <row r="645" spans="1:1" ht="15.75" customHeight="1">
      <c r="A645"/>
    </row>
    <row r="646" spans="1:1" ht="15.75" customHeight="1">
      <c r="A646"/>
    </row>
    <row r="647" spans="1:1" ht="15.75" customHeight="1">
      <c r="A647"/>
    </row>
    <row r="648" spans="1:1" ht="15.75" customHeight="1">
      <c r="A648"/>
    </row>
    <row r="649" spans="1:1" ht="15.75" customHeight="1">
      <c r="A649"/>
    </row>
    <row r="650" spans="1:1" ht="15.75" customHeight="1">
      <c r="A650"/>
    </row>
    <row r="651" spans="1:1" ht="15.75" customHeight="1">
      <c r="A651"/>
    </row>
    <row r="652" spans="1:1" ht="15.75" customHeight="1">
      <c r="A652"/>
    </row>
    <row r="653" spans="1:1" ht="15.75" customHeight="1">
      <c r="A653"/>
    </row>
    <row r="654" spans="1:1" ht="15.75" customHeight="1">
      <c r="A654"/>
    </row>
    <row r="655" spans="1:1" ht="15.75" customHeight="1">
      <c r="A655"/>
    </row>
    <row r="656" spans="1:1" ht="15.75" customHeight="1">
      <c r="A656"/>
    </row>
    <row r="657" spans="1:1" ht="15.75" customHeight="1">
      <c r="A657"/>
    </row>
    <row r="658" spans="1:1" ht="15.75" customHeight="1">
      <c r="A658"/>
    </row>
    <row r="659" spans="1:1" ht="15.75" customHeight="1">
      <c r="A659"/>
    </row>
    <row r="660" spans="1:1" ht="15.75" customHeight="1">
      <c r="A660"/>
    </row>
    <row r="661" spans="1:1" ht="15.75" customHeight="1">
      <c r="A661"/>
    </row>
    <row r="662" spans="1:1" ht="15.75" customHeight="1">
      <c r="A662"/>
    </row>
    <row r="663" spans="1:1" ht="15.75" customHeight="1">
      <c r="A663"/>
    </row>
    <row r="664" spans="1:1" ht="15.75" customHeight="1">
      <c r="A664"/>
    </row>
    <row r="665" spans="1:1" ht="15.75" customHeight="1">
      <c r="A665"/>
    </row>
    <row r="666" spans="1:1" ht="15.75" customHeight="1">
      <c r="A666"/>
    </row>
    <row r="667" spans="1:1" ht="15.75" customHeight="1">
      <c r="A667"/>
    </row>
    <row r="668" spans="1:1" ht="15.75" customHeight="1">
      <c r="A668"/>
    </row>
    <row r="669" spans="1:1" ht="15.75" customHeight="1">
      <c r="A669"/>
    </row>
    <row r="670" spans="1:1" ht="15.75" customHeight="1">
      <c r="A670"/>
    </row>
    <row r="671" spans="1:1" ht="15.75" customHeight="1">
      <c r="A671"/>
    </row>
    <row r="672" spans="1:1" ht="15.75" customHeight="1">
      <c r="A672"/>
    </row>
    <row r="673" spans="1:1" ht="15.75" customHeight="1">
      <c r="A673"/>
    </row>
    <row r="674" spans="1:1" ht="15.75" customHeight="1">
      <c r="A674"/>
    </row>
    <row r="675" spans="1:1" ht="15.75" customHeight="1">
      <c r="A675"/>
    </row>
    <row r="676" spans="1:1" ht="15.75" customHeight="1">
      <c r="A676"/>
    </row>
    <row r="677" spans="1:1" ht="15.75" customHeight="1">
      <c r="A677"/>
    </row>
    <row r="678" spans="1:1" ht="15.75" customHeight="1">
      <c r="A678"/>
    </row>
    <row r="679" spans="1:1" ht="15.75" customHeight="1">
      <c r="A679"/>
    </row>
    <row r="680" spans="1:1" ht="15.75" customHeight="1">
      <c r="A680"/>
    </row>
    <row r="681" spans="1:1" ht="15.75" customHeight="1">
      <c r="A681"/>
    </row>
    <row r="682" spans="1:1" ht="15.75" customHeight="1">
      <c r="A682"/>
    </row>
    <row r="683" spans="1:1" ht="15.75" customHeight="1">
      <c r="A683"/>
    </row>
    <row r="684" spans="1:1" ht="15.75" customHeight="1">
      <c r="A684"/>
    </row>
    <row r="685" spans="1:1" ht="15.75" customHeight="1">
      <c r="A685"/>
    </row>
    <row r="686" spans="1:1" ht="15.75" customHeight="1">
      <c r="A686"/>
    </row>
    <row r="687" spans="1:1" ht="15.75" customHeight="1">
      <c r="A687"/>
    </row>
    <row r="688" spans="1:1" ht="15.75" customHeight="1">
      <c r="A688"/>
    </row>
    <row r="689" spans="1:1" ht="15.75" customHeight="1">
      <c r="A689"/>
    </row>
    <row r="690" spans="1:1" ht="15.75" customHeight="1">
      <c r="A690"/>
    </row>
    <row r="691" spans="1:1" ht="15.75" customHeight="1">
      <c r="A691"/>
    </row>
    <row r="692" spans="1:1" ht="15.75" customHeight="1">
      <c r="A692"/>
    </row>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K291 H168:I168 K168 J168:J17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5 K178:L178 K181:L181 K184:L186 K183 K188:L189 H312:L315 L182 K306:K307 K311 K191:L195 L190 J101:K103 H135:H136 J135:K136 H155:H156 J155:K156 H172:I172 H175:I175 H178:I178 H181:I182 H188:I189 H191:I195 H364:H375 J364:K375 H284:L284 J18:J24 J49:L54 L173 L6:L14 J31:K48 J111:K120 J122:K133 H105:H133 L125:L129 O122:P133 Q125:Q129 H225:H228 J225:K228 H281:H283 L275:L283 J294:K302 L319:L324 J317:K347 H317:H347 J253:K274 H253:H274 H197:H218 J197:K218 J25:L26 H184:I186 I173 J28:L30 J27 L27 J177:J178 J180:J195 L176 I176:J176 L179 I179:J179">
    <cfRule type="expression" dxfId="700" priority="593" stopIfTrue="1">
      <formula>"esterreur(reference)"</formula>
    </cfRule>
  </conditionalFormatting>
  <conditionalFormatting sqref="M95:M96">
    <cfRule type="expression" dxfId="699" priority="594" stopIfTrue="1">
      <formula>"esterreur(reference)"</formula>
    </cfRule>
  </conditionalFormatting>
  <conditionalFormatting sqref="H275:H280 J275:K280">
    <cfRule type="expression" dxfId="698" priority="595" stopIfTrue="1">
      <formula>"esterreur(reference)"</formula>
    </cfRule>
  </conditionalFormatting>
  <conditionalFormatting sqref="H219:H224 J219:K224">
    <cfRule type="expression" dxfId="697" priority="596" stopIfTrue="1">
      <formula>"esterreur(reference)"</formula>
    </cfRule>
  </conditionalFormatting>
  <conditionalFormatting sqref="H141:H147 J141:K147">
    <cfRule type="expression" dxfId="696" priority="597" stopIfTrue="1">
      <formula>"esterreur(reference)"</formula>
    </cfRule>
  </conditionalFormatting>
  <conditionalFormatting sqref="H137:H139 J137:K139">
    <cfRule type="expression" dxfId="695" priority="598" stopIfTrue="1">
      <formula>"esterreur(reference)"</formula>
    </cfRule>
  </conditionalFormatting>
  <conditionalFormatting sqref="H140 J140:K140">
    <cfRule type="expression" dxfId="694" priority="599" stopIfTrue="1">
      <formula>"esterreur(reference)"</formula>
    </cfRule>
  </conditionalFormatting>
  <conditionalFormatting sqref="L82">
    <cfRule type="expression" dxfId="693" priority="540" stopIfTrue="1">
      <formula>"esterreur(reference)"</formula>
    </cfRule>
  </conditionalFormatting>
  <conditionalFormatting sqref="M311">
    <cfRule type="expression" dxfId="692" priority="601" stopIfTrue="1">
      <formula>"esterreur(reference)"</formula>
    </cfRule>
  </conditionalFormatting>
  <conditionalFormatting sqref="R311">
    <cfRule type="expression" dxfId="691" priority="602" stopIfTrue="1">
      <formula>"esterreur(reference)"</formula>
    </cfRule>
  </conditionalFormatting>
  <conditionalFormatting sqref="AG408:AI413 AH490:AI490 AH465:AI467 AH452:AI459 AH432:AI447 AH460:AH461 AI491:AI493 AH419:AI423 AH427:AI430 AI424:AI426">
    <cfRule type="cellIs" dxfId="690" priority="603" operator="greaterThan">
      <formula>0</formula>
    </cfRule>
  </conditionalFormatting>
  <conditionalFormatting sqref="AH468:AI475 AH479:AI479">
    <cfRule type="cellIs" dxfId="689" priority="604" operator="lessThan">
      <formula>0</formula>
    </cfRule>
  </conditionalFormatting>
  <conditionalFormatting sqref="AH491:AH493">
    <cfRule type="cellIs" dxfId="688" priority="607" operator="greaterThan">
      <formula>0</formula>
    </cfRule>
  </conditionalFormatting>
  <conditionalFormatting sqref="J281:K283">
    <cfRule type="expression" dxfId="687" priority="611" stopIfTrue="1">
      <formula>"esterreur(reference)"</formula>
    </cfRule>
  </conditionalFormatting>
  <conditionalFormatting sqref="K356 J356:J357 H356:I356 L355:L356 H358:L358">
    <cfRule type="expression" dxfId="686" priority="615" stopIfTrue="1">
      <formula>"esterreur(reference)"</formula>
    </cfRule>
  </conditionalFormatting>
  <conditionalFormatting sqref="H396">
    <cfRule type="expression" dxfId="685" priority="616" stopIfTrue="1">
      <formula>"esterreur(reference)"</formula>
    </cfRule>
  </conditionalFormatting>
  <conditionalFormatting sqref="I376:L376 H377:H392 J377:K392">
    <cfRule type="expression" dxfId="684" priority="617" stopIfTrue="1">
      <formula>"esterreur(reference)"</formula>
    </cfRule>
  </conditionalFormatting>
  <conditionalFormatting sqref="H397:L398 I396:L396 H395:L395 H393:H394 J393:K393">
    <cfRule type="expression" dxfId="683" priority="618" stopIfTrue="1">
      <formula>"esterreur(reference)"</formula>
    </cfRule>
  </conditionalFormatting>
  <conditionalFormatting sqref="H360:L362 H359 K359">
    <cfRule type="expression" dxfId="682" priority="619" stopIfTrue="1">
      <formula>"esterreur(reference)"</formula>
    </cfRule>
  </conditionalFormatting>
  <conditionalFormatting sqref="K394">
    <cfRule type="expression" dxfId="681" priority="620" stopIfTrue="1">
      <formula>"esterreur(reference)"</formula>
    </cfRule>
  </conditionalFormatting>
  <conditionalFormatting sqref="H316:L316">
    <cfRule type="expression" dxfId="680" priority="624" stopIfTrue="1">
      <formula>"esterreur(reference)"</formula>
    </cfRule>
  </conditionalFormatting>
  <conditionalFormatting sqref="H196:L196">
    <cfRule type="expression" dxfId="679" priority="625" stopIfTrue="1">
      <formula>"esterreur(reference)"</formula>
    </cfRule>
  </conditionalFormatting>
  <conditionalFormatting sqref="J55:K56 J71:K71">
    <cfRule type="expression" dxfId="678" priority="630" stopIfTrue="1">
      <formula>"esterreur(reference)"</formula>
    </cfRule>
  </conditionalFormatting>
  <conditionalFormatting sqref="J61:K70">
    <cfRule type="expression" dxfId="677" priority="631" stopIfTrue="1">
      <formula>"esterreur(reference)"</formula>
    </cfRule>
  </conditionalFormatting>
  <conditionalFormatting sqref="J57:K59">
    <cfRule type="expression" dxfId="676" priority="632" stopIfTrue="1">
      <formula>"esterreur(reference)"</formula>
    </cfRule>
  </conditionalFormatting>
  <conditionalFormatting sqref="J60:K60">
    <cfRule type="expression" dxfId="675" priority="633" stopIfTrue="1">
      <formula>"esterreur(reference)"</formula>
    </cfRule>
  </conditionalFormatting>
  <conditionalFormatting sqref="L19 L21:L23">
    <cfRule type="expression" dxfId="674" priority="589" stopIfTrue="1">
      <formula>"esterreur(reference)"</formula>
    </cfRule>
  </conditionalFormatting>
  <conditionalFormatting sqref="K98">
    <cfRule type="expression" dxfId="673" priority="635" stopIfTrue="1">
      <formula>"esterreur(reference)"</formula>
    </cfRule>
  </conditionalFormatting>
  <conditionalFormatting sqref="L331:L347">
    <cfRule type="expression" dxfId="672" priority="415" stopIfTrue="1">
      <formula>"esterreur(reference)"</formula>
    </cfRule>
  </conditionalFormatting>
  <conditionalFormatting sqref="L16:L17">
    <cfRule type="expression" dxfId="671" priority="591" stopIfTrue="1">
      <formula>"esterreur(reference)"</formula>
    </cfRule>
  </conditionalFormatting>
  <conditionalFormatting sqref="L20">
    <cfRule type="expression" dxfId="670" priority="586" stopIfTrue="1">
      <formula>"esterreur(reference)"</formula>
    </cfRule>
  </conditionalFormatting>
  <conditionalFormatting sqref="L325">
    <cfRule type="expression" dxfId="669" priority="420" stopIfTrue="1">
      <formula>"esterreur(reference)"</formula>
    </cfRule>
  </conditionalFormatting>
  <conditionalFormatting sqref="L326">
    <cfRule type="expression" dxfId="668" priority="419" stopIfTrue="1">
      <formula>"esterreur(reference)"</formula>
    </cfRule>
  </conditionalFormatting>
  <conditionalFormatting sqref="L327">
    <cfRule type="expression" dxfId="667" priority="418" stopIfTrue="1">
      <formula>"esterreur(reference)"</formula>
    </cfRule>
  </conditionalFormatting>
  <conditionalFormatting sqref="L328">
    <cfRule type="expression" dxfId="666" priority="417" stopIfTrue="1">
      <formula>"esterreur(reference)"</formula>
    </cfRule>
  </conditionalFormatting>
  <conditionalFormatting sqref="L42">
    <cfRule type="expression" dxfId="665" priority="570" stopIfTrue="1">
      <formula>"esterreur(reference)"</formula>
    </cfRule>
  </conditionalFormatting>
  <conditionalFormatting sqref="L43">
    <cfRule type="expression" dxfId="664" priority="569" stopIfTrue="1">
      <formula>"esterreur(reference)"</formula>
    </cfRule>
  </conditionalFormatting>
  <conditionalFormatting sqref="L44">
    <cfRule type="expression" dxfId="663" priority="568" stopIfTrue="1">
      <formula>"esterreur(reference)"</formula>
    </cfRule>
  </conditionalFormatting>
  <conditionalFormatting sqref="L45:L48">
    <cfRule type="expression" dxfId="662" priority="567" stopIfTrue="1">
      <formula>"esterreur(reference)"</formula>
    </cfRule>
  </conditionalFormatting>
  <conditionalFormatting sqref="L55">
    <cfRule type="expression" dxfId="661" priority="561" stopIfTrue="1">
      <formula>"esterreur(reference)"</formula>
    </cfRule>
  </conditionalFormatting>
  <conditionalFormatting sqref="L56">
    <cfRule type="expression" dxfId="660" priority="560" stopIfTrue="1">
      <formula>"esterreur(reference)"</formula>
    </cfRule>
  </conditionalFormatting>
  <conditionalFormatting sqref="L271">
    <cfRule type="expression" dxfId="659" priority="435" stopIfTrue="1">
      <formula>"esterreur(reference)"</formula>
    </cfRule>
  </conditionalFormatting>
  <conditionalFormatting sqref="L58">
    <cfRule type="expression" dxfId="658" priority="558" stopIfTrue="1">
      <formula>"esterreur(reference)"</formula>
    </cfRule>
  </conditionalFormatting>
  <conditionalFormatting sqref="L61">
    <cfRule type="expression" dxfId="657" priority="555" stopIfTrue="1">
      <formula>"esterreur(reference)"</formula>
    </cfRule>
  </conditionalFormatting>
  <conditionalFormatting sqref="L274">
    <cfRule type="expression" dxfId="656" priority="433" stopIfTrue="1">
      <formula>"esterreur(reference)"</formula>
    </cfRule>
  </conditionalFormatting>
  <conditionalFormatting sqref="L63">
    <cfRule type="expression" dxfId="655" priority="554" stopIfTrue="1">
      <formula>"esterreur(reference)"</formula>
    </cfRule>
  </conditionalFormatting>
  <conditionalFormatting sqref="L62">
    <cfRule type="expression" dxfId="654" priority="553" stopIfTrue="1">
      <formula>"esterreur(reference)"</formula>
    </cfRule>
  </conditionalFormatting>
  <conditionalFormatting sqref="L64">
    <cfRule type="expression" dxfId="653" priority="552" stopIfTrue="1">
      <formula>"esterreur(reference)"</formula>
    </cfRule>
  </conditionalFormatting>
  <conditionalFormatting sqref="L65">
    <cfRule type="expression" dxfId="652" priority="551" stopIfTrue="1">
      <formula>"esterreur(reference)"</formula>
    </cfRule>
  </conditionalFormatting>
  <conditionalFormatting sqref="L69 L66:L67">
    <cfRule type="expression" dxfId="651" priority="550" stopIfTrue="1">
      <formula>"esterreur(reference)"</formula>
    </cfRule>
  </conditionalFormatting>
  <conditionalFormatting sqref="L70">
    <cfRule type="expression" dxfId="650" priority="549" stopIfTrue="1">
      <formula>"esterreur(reference)"</formula>
    </cfRule>
  </conditionalFormatting>
  <conditionalFormatting sqref="L76:L77">
    <cfRule type="expression" dxfId="649" priority="545" stopIfTrue="1">
      <formula>"esterreur(reference)"</formula>
    </cfRule>
  </conditionalFormatting>
  <conditionalFormatting sqref="L78:L81">
    <cfRule type="expression" dxfId="648" priority="544" stopIfTrue="1">
      <formula>"esterreur(reference)"</formula>
    </cfRule>
  </conditionalFormatting>
  <conditionalFormatting sqref="L57">
    <cfRule type="expression" dxfId="647" priority="535" stopIfTrue="1">
      <formula>"esterreur(reference)"</formula>
    </cfRule>
  </conditionalFormatting>
  <conditionalFormatting sqref="L94:L95">
    <cfRule type="expression" dxfId="646" priority="533" stopIfTrue="1">
      <formula>"esterreur(reference)"</formula>
    </cfRule>
  </conditionalFormatting>
  <conditionalFormatting sqref="L98">
    <cfRule type="expression" dxfId="645" priority="532" stopIfTrue="1">
      <formula>"esterreur(reference)"</formula>
    </cfRule>
  </conditionalFormatting>
  <conditionalFormatting sqref="L99">
    <cfRule type="expression" dxfId="644" priority="531" stopIfTrue="1">
      <formula>"esterreur(reference)"</formula>
    </cfRule>
  </conditionalFormatting>
  <conditionalFormatting sqref="L101">
    <cfRule type="expression" dxfId="643" priority="530" stopIfTrue="1">
      <formula>"esterreur(reference)"</formula>
    </cfRule>
  </conditionalFormatting>
  <conditionalFormatting sqref="L102">
    <cfRule type="expression" dxfId="642" priority="529" stopIfTrue="1">
      <formula>"esterreur(reference)"</formula>
    </cfRule>
  </conditionalFormatting>
  <conditionalFormatting sqref="L103">
    <cfRule type="expression" dxfId="641" priority="527" stopIfTrue="1">
      <formula>"esterreur(reference)"</formula>
    </cfRule>
  </conditionalFormatting>
  <conditionalFormatting sqref="L111">
    <cfRule type="expression" dxfId="640" priority="526" stopIfTrue="1">
      <formula>"esterreur(reference)"</formula>
    </cfRule>
  </conditionalFormatting>
  <conditionalFormatting sqref="L112">
    <cfRule type="expression" dxfId="639" priority="525" stopIfTrue="1">
      <formula>"esterreur(reference)"</formula>
    </cfRule>
  </conditionalFormatting>
  <conditionalFormatting sqref="L207">
    <cfRule type="expression" dxfId="638" priority="461" stopIfTrue="1">
      <formula>"esterreur(reference)"</formula>
    </cfRule>
  </conditionalFormatting>
  <conditionalFormatting sqref="L114">
    <cfRule type="expression" dxfId="637" priority="523" stopIfTrue="1">
      <formula>"esterreur(reference)"</formula>
    </cfRule>
  </conditionalFormatting>
  <conditionalFormatting sqref="L227">
    <cfRule type="expression" dxfId="636" priority="457" stopIfTrue="1">
      <formula>"esterreur(reference)"</formula>
    </cfRule>
  </conditionalFormatting>
  <conditionalFormatting sqref="L116:L119">
    <cfRule type="expression" dxfId="635" priority="521" stopIfTrue="1">
      <formula>"esterreur(reference)"</formula>
    </cfRule>
  </conditionalFormatting>
  <conditionalFormatting sqref="L120">
    <cfRule type="expression" dxfId="634" priority="520" stopIfTrue="1">
      <formula>"esterreur(reference)"</formula>
    </cfRule>
  </conditionalFormatting>
  <conditionalFormatting sqref="L130">
    <cfRule type="expression" dxfId="633" priority="508" stopIfTrue="1">
      <formula>"esterreur(reference)"</formula>
    </cfRule>
  </conditionalFormatting>
  <conditionalFormatting sqref="L124">
    <cfRule type="expression" dxfId="632" priority="515" stopIfTrue="1">
      <formula>"esterreur(reference)"</formula>
    </cfRule>
  </conditionalFormatting>
  <conditionalFormatting sqref="L123">
    <cfRule type="expression" dxfId="631" priority="513" stopIfTrue="1">
      <formula>"esterreur(reference)"</formula>
    </cfRule>
  </conditionalFormatting>
  <conditionalFormatting sqref="L138">
    <cfRule type="expression" dxfId="630" priority="501" stopIfTrue="1">
      <formula>"esterreur(reference)"</formula>
    </cfRule>
  </conditionalFormatting>
  <conditionalFormatting sqref="L131">
    <cfRule type="expression" dxfId="629" priority="507" stopIfTrue="1">
      <formula>"esterreur(reference)"</formula>
    </cfRule>
  </conditionalFormatting>
  <conditionalFormatting sqref="L132">
    <cfRule type="expression" dxfId="628" priority="506" stopIfTrue="1">
      <formula>"esterreur(reference)"</formula>
    </cfRule>
  </conditionalFormatting>
  <conditionalFormatting sqref="L133">
    <cfRule type="expression" dxfId="627" priority="505" stopIfTrue="1">
      <formula>"esterreur(reference)"</formula>
    </cfRule>
  </conditionalFormatting>
  <conditionalFormatting sqref="L139">
    <cfRule type="expression" dxfId="626" priority="500" stopIfTrue="1">
      <formula>"esterreur(reference)"</formula>
    </cfRule>
  </conditionalFormatting>
  <conditionalFormatting sqref="L136">
    <cfRule type="expression" dxfId="625" priority="503" stopIfTrue="1">
      <formula>"esterreur(reference)"</formula>
    </cfRule>
  </conditionalFormatting>
  <conditionalFormatting sqref="L137">
    <cfRule type="expression" dxfId="624" priority="502" stopIfTrue="1">
      <formula>"esterreur(reference)"</formula>
    </cfRule>
  </conditionalFormatting>
  <conditionalFormatting sqref="L140">
    <cfRule type="expression" dxfId="623" priority="499" stopIfTrue="1">
      <formula>"esterreur(reference)"</formula>
    </cfRule>
  </conditionalFormatting>
  <conditionalFormatting sqref="L141">
    <cfRule type="expression" dxfId="622" priority="498" stopIfTrue="1">
      <formula>"esterreur(reference)"</formula>
    </cfRule>
  </conditionalFormatting>
  <conditionalFormatting sqref="L142">
    <cfRule type="expression" dxfId="621" priority="497" stopIfTrue="1">
      <formula>"esterreur(reference)"</formula>
    </cfRule>
  </conditionalFormatting>
  <conditionalFormatting sqref="L143">
    <cfRule type="expression" dxfId="620" priority="496" stopIfTrue="1">
      <formula>"esterreur(reference)"</formula>
    </cfRule>
  </conditionalFormatting>
  <conditionalFormatting sqref="L144">
    <cfRule type="expression" dxfId="619" priority="495" stopIfTrue="1">
      <formula>"esterreur(reference)"</formula>
    </cfRule>
  </conditionalFormatting>
  <conditionalFormatting sqref="L145">
    <cfRule type="expression" dxfId="618" priority="494" stopIfTrue="1">
      <formula>"esterreur(reference)"</formula>
    </cfRule>
  </conditionalFormatting>
  <conditionalFormatting sqref="L146">
    <cfRule type="expression" dxfId="617" priority="493" stopIfTrue="1">
      <formula>"esterreur(reference)"</formula>
    </cfRule>
  </conditionalFormatting>
  <conditionalFormatting sqref="L147">
    <cfRule type="expression" dxfId="616" priority="492" stopIfTrue="1">
      <formula>"esterreur(reference)"</formula>
    </cfRule>
  </conditionalFormatting>
  <conditionalFormatting sqref="L155">
    <cfRule type="expression" dxfId="615" priority="487" stopIfTrue="1">
      <formula>"esterreur(reference)"</formula>
    </cfRule>
  </conditionalFormatting>
  <conditionalFormatting sqref="L157">
    <cfRule type="expression" dxfId="614" priority="485" stopIfTrue="1">
      <formula>"esterreur(reference)"</formula>
    </cfRule>
  </conditionalFormatting>
  <conditionalFormatting sqref="L156">
    <cfRule type="expression" dxfId="613" priority="486" stopIfTrue="1">
      <formula>"esterreur(reference)"</formula>
    </cfRule>
  </conditionalFormatting>
  <conditionalFormatting sqref="L115">
    <cfRule type="expression" dxfId="612" priority="478" stopIfTrue="1">
      <formula>"esterreur(reference)"</formula>
    </cfRule>
  </conditionalFormatting>
  <conditionalFormatting sqref="L113">
    <cfRule type="expression" dxfId="611" priority="477" stopIfTrue="1">
      <formula>"esterreur(reference)"</formula>
    </cfRule>
  </conditionalFormatting>
  <conditionalFormatting sqref="L171">
    <cfRule type="expression" dxfId="610" priority="476" stopIfTrue="1">
      <formula>"esterreur(reference)"</formula>
    </cfRule>
  </conditionalFormatting>
  <conditionalFormatting sqref="L174">
    <cfRule type="expression" dxfId="609" priority="475" stopIfTrue="1">
      <formula>"esterreur(reference)"</formula>
    </cfRule>
  </conditionalFormatting>
  <conditionalFormatting sqref="L177">
    <cfRule type="expression" dxfId="608" priority="474" stopIfTrue="1">
      <formula>"esterreur(reference)"</formula>
    </cfRule>
  </conditionalFormatting>
  <conditionalFormatting sqref="L187">
    <cfRule type="expression" dxfId="607" priority="471" stopIfTrue="1">
      <formula>"esterreur(reference)"</formula>
    </cfRule>
  </conditionalFormatting>
  <conditionalFormatting sqref="L197">
    <cfRule type="expression" dxfId="606" priority="470" stopIfTrue="1">
      <formula>"esterreur(reference)"</formula>
    </cfRule>
  </conditionalFormatting>
  <conditionalFormatting sqref="L199">
    <cfRule type="expression" dxfId="605" priority="469" stopIfTrue="1">
      <formula>"esterreur(reference)"</formula>
    </cfRule>
  </conditionalFormatting>
  <conditionalFormatting sqref="L198">
    <cfRule type="expression" dxfId="604" priority="468" stopIfTrue="1">
      <formula>"esterreur(reference)"</formula>
    </cfRule>
  </conditionalFormatting>
  <conditionalFormatting sqref="L200">
    <cfRule type="expression" dxfId="603" priority="467" stopIfTrue="1">
      <formula>"esterreur(reference)"</formula>
    </cfRule>
  </conditionalFormatting>
  <conditionalFormatting sqref="L201">
    <cfRule type="expression" dxfId="602" priority="466" stopIfTrue="1">
      <formula>"esterreur(reference)"</formula>
    </cfRule>
  </conditionalFormatting>
  <conditionalFormatting sqref="L202:L204">
    <cfRule type="expression" dxfId="601" priority="465" stopIfTrue="1">
      <formula>"esterreur(reference)"</formula>
    </cfRule>
  </conditionalFormatting>
  <conditionalFormatting sqref="L206">
    <cfRule type="expression" dxfId="600" priority="462" stopIfTrue="1">
      <formula>"esterreur(reference)"</formula>
    </cfRule>
  </conditionalFormatting>
  <conditionalFormatting sqref="L205">
    <cfRule type="expression" dxfId="599" priority="463" stopIfTrue="1">
      <formula>"esterreur(reference)"</formula>
    </cfRule>
  </conditionalFormatting>
  <conditionalFormatting sqref="L208">
    <cfRule type="expression" dxfId="598" priority="460" stopIfTrue="1">
      <formula>"esterreur(reference)"</formula>
    </cfRule>
  </conditionalFormatting>
  <conditionalFormatting sqref="L211:L224">
    <cfRule type="expression" dxfId="597" priority="459" stopIfTrue="1">
      <formula>"esterreur(reference)"</formula>
    </cfRule>
  </conditionalFormatting>
  <conditionalFormatting sqref="L225:L226">
    <cfRule type="expression" dxfId="596" priority="458" stopIfTrue="1">
      <formula>"esterreur(reference)"</formula>
    </cfRule>
  </conditionalFormatting>
  <conditionalFormatting sqref="L180">
    <cfRule type="expression" dxfId="595" priority="455" stopIfTrue="1">
      <formula>"esterreur(reference)"</formula>
    </cfRule>
  </conditionalFormatting>
  <conditionalFormatting sqref="L243">
    <cfRule type="expression" dxfId="594" priority="453" stopIfTrue="1">
      <formula>"esterreur(reference)"</formula>
    </cfRule>
  </conditionalFormatting>
  <conditionalFormatting sqref="L246">
    <cfRule type="expression" dxfId="593" priority="452" stopIfTrue="1">
      <formula>"esterreur(reference)"</formula>
    </cfRule>
  </conditionalFormatting>
  <conditionalFormatting sqref="L253">
    <cfRule type="expression" dxfId="592" priority="451" stopIfTrue="1">
      <formula>"esterreur(reference)"</formula>
    </cfRule>
  </conditionalFormatting>
  <conditionalFormatting sqref="L254">
    <cfRule type="expression" dxfId="591" priority="450" stopIfTrue="1">
      <formula>"esterreur(reference)"</formula>
    </cfRule>
  </conditionalFormatting>
  <conditionalFormatting sqref="L255">
    <cfRule type="expression" dxfId="590" priority="449" stopIfTrue="1">
      <formula>"esterreur(reference)"</formula>
    </cfRule>
  </conditionalFormatting>
  <conditionalFormatting sqref="L256">
    <cfRule type="expression" dxfId="589" priority="448" stopIfTrue="1">
      <formula>"esterreur(reference)"</formula>
    </cfRule>
  </conditionalFormatting>
  <conditionalFormatting sqref="L257">
    <cfRule type="expression" dxfId="588" priority="447" stopIfTrue="1">
      <formula>"esterreur(reference)"</formula>
    </cfRule>
  </conditionalFormatting>
  <conditionalFormatting sqref="L258">
    <cfRule type="expression" dxfId="587" priority="446" stopIfTrue="1">
      <formula>"esterreur(reference)"</formula>
    </cfRule>
  </conditionalFormatting>
  <conditionalFormatting sqref="L259">
    <cfRule type="expression" dxfId="586" priority="445" stopIfTrue="1">
      <formula>"esterreur(reference)"</formula>
    </cfRule>
  </conditionalFormatting>
  <conditionalFormatting sqref="L260">
    <cfRule type="expression" dxfId="585" priority="444" stopIfTrue="1">
      <formula>"esterreur(reference)"</formula>
    </cfRule>
  </conditionalFormatting>
  <conditionalFormatting sqref="L261">
    <cfRule type="expression" dxfId="584" priority="443" stopIfTrue="1">
      <formula>"esterreur(reference)"</formula>
    </cfRule>
  </conditionalFormatting>
  <conditionalFormatting sqref="L262">
    <cfRule type="expression" dxfId="583" priority="442" stopIfTrue="1">
      <formula>"esterreur(reference)"</formula>
    </cfRule>
  </conditionalFormatting>
  <conditionalFormatting sqref="L263:L264">
    <cfRule type="expression" dxfId="582" priority="441" stopIfTrue="1">
      <formula>"esterreur(reference)"</formula>
    </cfRule>
  </conditionalFormatting>
  <conditionalFormatting sqref="L268">
    <cfRule type="expression" dxfId="581" priority="438" stopIfTrue="1">
      <formula>"esterreur(reference)"</formula>
    </cfRule>
  </conditionalFormatting>
  <conditionalFormatting sqref="L267">
    <cfRule type="expression" dxfId="580" priority="439" stopIfTrue="1">
      <formula>"esterreur(reference)"</formula>
    </cfRule>
  </conditionalFormatting>
  <conditionalFormatting sqref="L269">
    <cfRule type="expression" dxfId="579" priority="437" stopIfTrue="1">
      <formula>"esterreur(reference)"</formula>
    </cfRule>
  </conditionalFormatting>
  <conditionalFormatting sqref="L270">
    <cfRule type="expression" dxfId="578" priority="436" stopIfTrue="1">
      <formula>"esterreur(reference)"</formula>
    </cfRule>
  </conditionalFormatting>
  <conditionalFormatting sqref="L272:L273">
    <cfRule type="expression" dxfId="577" priority="434" stopIfTrue="1">
      <formula>"esterreur(reference)"</formula>
    </cfRule>
  </conditionalFormatting>
  <conditionalFormatting sqref="L311">
    <cfRule type="expression" dxfId="576" priority="424" stopIfTrue="1">
      <formula>"esterreur(reference)"</formula>
    </cfRule>
  </conditionalFormatting>
  <conditionalFormatting sqref="L317">
    <cfRule type="expression" dxfId="575" priority="423" stopIfTrue="1">
      <formula>"esterreur(reference)"</formula>
    </cfRule>
  </conditionalFormatting>
  <conditionalFormatting sqref="L318">
    <cfRule type="expression" dxfId="574" priority="422" stopIfTrue="1">
      <formula>"esterreur(reference)"</formula>
    </cfRule>
  </conditionalFormatting>
  <conditionalFormatting sqref="K5">
    <cfRule type="expression" dxfId="573" priority="413" stopIfTrue="1">
      <formula>"esterreur(reference)"</formula>
    </cfRule>
  </conditionalFormatting>
  <conditionalFormatting sqref="L5">
    <cfRule type="expression" dxfId="572" priority="411" stopIfTrue="1">
      <formula>"esterreur(reference)"</formula>
    </cfRule>
  </conditionalFormatting>
  <conditionalFormatting sqref="K182">
    <cfRule type="expression" dxfId="571" priority="402" stopIfTrue="1">
      <formula>"esterreur(reference)"</formula>
    </cfRule>
  </conditionalFormatting>
  <conditionalFormatting sqref="L93">
    <cfRule type="expression" dxfId="570" priority="383" stopIfTrue="1">
      <formula>"esterreur(reference)"</formula>
    </cfRule>
  </conditionalFormatting>
  <conditionalFormatting sqref="K171">
    <cfRule type="expression" dxfId="569" priority="381" stopIfTrue="1">
      <formula>"esterreur(reference)"</formula>
    </cfRule>
  </conditionalFormatting>
  <conditionalFormatting sqref="K174">
    <cfRule type="expression" dxfId="568" priority="380" stopIfTrue="1">
      <formula>"esterreur(reference)"</formula>
    </cfRule>
  </conditionalFormatting>
  <conditionalFormatting sqref="K177">
    <cfRule type="expression" dxfId="567" priority="379" stopIfTrue="1">
      <formula>"esterreur(reference)"</formula>
    </cfRule>
  </conditionalFormatting>
  <conditionalFormatting sqref="K180">
    <cfRule type="expression" dxfId="566" priority="377" stopIfTrue="1">
      <formula>"esterreur(reference)"</formula>
    </cfRule>
  </conditionalFormatting>
  <conditionalFormatting sqref="K240">
    <cfRule type="expression" dxfId="565" priority="373" stopIfTrue="1">
      <formula>"esterreur(reference)"</formula>
    </cfRule>
  </conditionalFormatting>
  <conditionalFormatting sqref="K243">
    <cfRule type="expression" dxfId="564" priority="372" stopIfTrue="1">
      <formula>"esterreur(reference)"</formula>
    </cfRule>
  </conditionalFormatting>
  <conditionalFormatting sqref="K246">
    <cfRule type="expression" dxfId="563" priority="370" stopIfTrue="1">
      <formula>"esterreur(reference)"</formula>
    </cfRule>
  </conditionalFormatting>
  <conditionalFormatting sqref="J306:J307">
    <cfRule type="expression" dxfId="562" priority="368" stopIfTrue="1">
      <formula>"esterreur(reference)"</formula>
    </cfRule>
  </conditionalFormatting>
  <conditionalFormatting sqref="K187">
    <cfRule type="expression" dxfId="561" priority="364" stopIfTrue="1">
      <formula>"esterreur(reference)"</formula>
    </cfRule>
  </conditionalFormatting>
  <conditionalFormatting sqref="K190">
    <cfRule type="expression" dxfId="560" priority="362" stopIfTrue="1">
      <formula>"esterreur(reference)"</formula>
    </cfRule>
  </conditionalFormatting>
  <conditionalFormatting sqref="J311">
    <cfRule type="expression" dxfId="559" priority="361" stopIfTrue="1">
      <formula>"esterreur(reference)"</formula>
    </cfRule>
  </conditionalFormatting>
  <conditionalFormatting sqref="L364:L375">
    <cfRule type="expression" dxfId="558" priority="355" stopIfTrue="1">
      <formula>"esterreur(reference)"</formula>
    </cfRule>
  </conditionalFormatting>
  <conditionalFormatting sqref="L377:L393">
    <cfRule type="expression" dxfId="557" priority="353" stopIfTrue="1">
      <formula>"esterreur(reference)"</formula>
    </cfRule>
  </conditionalFormatting>
  <conditionalFormatting sqref="K93">
    <cfRule type="expression" dxfId="556" priority="352" stopIfTrue="1">
      <formula>"esterreur(reference)"</formula>
    </cfRule>
  </conditionalFormatting>
  <conditionalFormatting sqref="L240">
    <cfRule type="expression" dxfId="555" priority="349" stopIfTrue="1">
      <formula>"esterreur(reference)"</formula>
    </cfRule>
  </conditionalFormatting>
  <conditionalFormatting sqref="K239">
    <cfRule type="expression" dxfId="554" priority="346" stopIfTrue="1">
      <formula>"esterreur(reference)"</formula>
    </cfRule>
  </conditionalFormatting>
  <conditionalFormatting sqref="L239">
    <cfRule type="expression" dxfId="553" priority="344" stopIfTrue="1">
      <formula>"esterreur(reference)"</formula>
    </cfRule>
  </conditionalFormatting>
  <conditionalFormatting sqref="F183">
    <cfRule type="expression" dxfId="552" priority="343" stopIfTrue="1">
      <formula>"esterreur(reference)"</formula>
    </cfRule>
  </conditionalFormatting>
  <conditionalFormatting sqref="J359">
    <cfRule type="expression" dxfId="551" priority="341" stopIfTrue="1">
      <formula>"esterreur(reference)"</formula>
    </cfRule>
  </conditionalFormatting>
  <conditionalFormatting sqref="L359">
    <cfRule type="expression" dxfId="550" priority="339" stopIfTrue="1">
      <formula>"esterreur(reference)"</formula>
    </cfRule>
  </conditionalFormatting>
  <conditionalFormatting sqref="S185">
    <cfRule type="expression" dxfId="549" priority="337" stopIfTrue="1">
      <formula>"esterreur(reference)"</formula>
    </cfRule>
  </conditionalFormatting>
  <conditionalFormatting sqref="K286">
    <cfRule type="expression" dxfId="548" priority="331" stopIfTrue="1">
      <formula>"esterreur(reference)"</formula>
    </cfRule>
  </conditionalFormatting>
  <conditionalFormatting sqref="AO408:AO413">
    <cfRule type="cellIs" dxfId="547" priority="283" operator="greaterThan">
      <formula>0</formula>
    </cfRule>
  </conditionalFormatting>
  <conditionalFormatting sqref="L71">
    <cfRule type="expression" dxfId="546" priority="282" stopIfTrue="1">
      <formula>"esterreur(reference)"</formula>
    </cfRule>
  </conditionalFormatting>
  <conditionalFormatting sqref="L210">
    <cfRule type="expression" dxfId="545" priority="276" stopIfTrue="1">
      <formula>"esterreur(reference)"</formula>
    </cfRule>
  </conditionalFormatting>
  <conditionalFormatting sqref="L122">
    <cfRule type="expression" dxfId="544" priority="280" stopIfTrue="1">
      <formula>"esterreur(reference)"</formula>
    </cfRule>
  </conditionalFormatting>
  <conditionalFormatting sqref="L266">
    <cfRule type="expression" dxfId="543" priority="274" stopIfTrue="1">
      <formula>"esterreur(reference)"</formula>
    </cfRule>
  </conditionalFormatting>
  <conditionalFormatting sqref="L135">
    <cfRule type="expression" dxfId="542" priority="278" stopIfTrue="1">
      <formula>"esterreur(reference)"</formula>
    </cfRule>
  </conditionalFormatting>
  <conditionalFormatting sqref="L330">
    <cfRule type="expression" dxfId="541" priority="272" stopIfTrue="1">
      <formula>"esterreur(reference)"</formula>
    </cfRule>
  </conditionalFormatting>
  <conditionalFormatting sqref="L75">
    <cfRule type="expression" dxfId="540" priority="270" stopIfTrue="1">
      <formula>"esterreur(reference)"</formula>
    </cfRule>
  </conditionalFormatting>
  <conditionalFormatting sqref="L60">
    <cfRule type="expression" dxfId="539" priority="268" stopIfTrue="1">
      <formula>"esterreur(reference)"</formula>
    </cfRule>
  </conditionalFormatting>
  <conditionalFormatting sqref="L59">
    <cfRule type="expression" dxfId="538" priority="269" stopIfTrue="1">
      <formula>"esterreur(reference)"</formula>
    </cfRule>
  </conditionalFormatting>
  <conditionalFormatting sqref="O25:Q26 Q18 O83:Q85 O41:Q41 O72:Q72 Q24 O13:O14 O16 O18:O24 O49:Q54 Q6:Q14 O31:P40 O42:P48 O28:Q30 O27 Q27">
    <cfRule type="expression" dxfId="537" priority="262" stopIfTrue="1">
      <formula>"esterreur(reference)"</formula>
    </cfRule>
  </conditionalFormatting>
  <conditionalFormatting sqref="P5">
    <cfRule type="expression" dxfId="536" priority="236" stopIfTrue="1">
      <formula>"esterreur(reference)"</formula>
    </cfRule>
  </conditionalFormatting>
  <conditionalFormatting sqref="Q32">
    <cfRule type="expression" dxfId="535" priority="257" stopIfTrue="1">
      <formula>"esterreur(reference)"</formula>
    </cfRule>
  </conditionalFormatting>
  <conditionalFormatting sqref="Q35">
    <cfRule type="expression" dxfId="534" priority="256" stopIfTrue="1">
      <formula>"esterreur(reference)"</formula>
    </cfRule>
  </conditionalFormatting>
  <conditionalFormatting sqref="O55:P56 O71:P71">
    <cfRule type="expression" dxfId="533" priority="263" stopIfTrue="1">
      <formula>"esterreur(reference)"</formula>
    </cfRule>
  </conditionalFormatting>
  <conditionalFormatting sqref="O61:P70">
    <cfRule type="expression" dxfId="532" priority="264" stopIfTrue="1">
      <formula>"esterreur(reference)"</formula>
    </cfRule>
  </conditionalFormatting>
  <conditionalFormatting sqref="O57:P59">
    <cfRule type="expression" dxfId="531" priority="265" stopIfTrue="1">
      <formula>"esterreur(reference)"</formula>
    </cfRule>
  </conditionalFormatting>
  <conditionalFormatting sqref="O60:P60">
    <cfRule type="expression" dxfId="530" priority="266" stopIfTrue="1">
      <formula>"esterreur(reference)"</formula>
    </cfRule>
  </conditionalFormatting>
  <conditionalFormatting sqref="Q19 Q21:Q23">
    <cfRule type="expression" dxfId="529" priority="260" stopIfTrue="1">
      <formula>"esterreur(reference)"</formula>
    </cfRule>
  </conditionalFormatting>
  <conditionalFormatting sqref="Q16:Q17">
    <cfRule type="expression" dxfId="528" priority="261" stopIfTrue="1">
      <formula>"esterreur(reference)"</formula>
    </cfRule>
  </conditionalFormatting>
  <conditionalFormatting sqref="Q20">
    <cfRule type="expression" dxfId="527" priority="259" stopIfTrue="1">
      <formula>"esterreur(reference)"</formula>
    </cfRule>
  </conditionalFormatting>
  <conditionalFormatting sqref="Q31 Q33:Q34">
    <cfRule type="expression" dxfId="526" priority="258" stopIfTrue="1">
      <formula>"esterreur(reference)"</formula>
    </cfRule>
  </conditionalFormatting>
  <conditionalFormatting sqref="Q42">
    <cfRule type="expression" dxfId="525" priority="254" stopIfTrue="1">
      <formula>"esterreur(reference)"</formula>
    </cfRule>
  </conditionalFormatting>
  <conditionalFormatting sqref="Q43">
    <cfRule type="expression" dxfId="524" priority="253" stopIfTrue="1">
      <formula>"esterreur(reference)"</formula>
    </cfRule>
  </conditionalFormatting>
  <conditionalFormatting sqref="Q44">
    <cfRule type="expression" dxfId="523" priority="252" stopIfTrue="1">
      <formula>"esterreur(reference)"</formula>
    </cfRule>
  </conditionalFormatting>
  <conditionalFormatting sqref="Q45:Q48">
    <cfRule type="expression" dxfId="522" priority="251" stopIfTrue="1">
      <formula>"esterreur(reference)"</formula>
    </cfRule>
  </conditionalFormatting>
  <conditionalFormatting sqref="Q55">
    <cfRule type="expression" dxfId="521" priority="250" stopIfTrue="1">
      <formula>"esterreur(reference)"</formula>
    </cfRule>
  </conditionalFormatting>
  <conditionalFormatting sqref="Q56">
    <cfRule type="expression" dxfId="520" priority="249" stopIfTrue="1">
      <formula>"esterreur(reference)"</formula>
    </cfRule>
  </conditionalFormatting>
  <conditionalFormatting sqref="Q58">
    <cfRule type="expression" dxfId="519" priority="248" stopIfTrue="1">
      <formula>"esterreur(reference)"</formula>
    </cfRule>
  </conditionalFormatting>
  <conditionalFormatting sqref="Q61">
    <cfRule type="expression" dxfId="518" priority="247" stopIfTrue="1">
      <formula>"esterreur(reference)"</formula>
    </cfRule>
  </conditionalFormatting>
  <conditionalFormatting sqref="Q63">
    <cfRule type="expression" dxfId="517" priority="246" stopIfTrue="1">
      <formula>"esterreur(reference)"</formula>
    </cfRule>
  </conditionalFormatting>
  <conditionalFormatting sqref="Q62">
    <cfRule type="expression" dxfId="516" priority="245" stopIfTrue="1">
      <formula>"esterreur(reference)"</formula>
    </cfRule>
  </conditionalFormatting>
  <conditionalFormatting sqref="Q64">
    <cfRule type="expression" dxfId="515" priority="244" stopIfTrue="1">
      <formula>"esterreur(reference)"</formula>
    </cfRule>
  </conditionalFormatting>
  <conditionalFormatting sqref="Q65">
    <cfRule type="expression" dxfId="514" priority="243" stopIfTrue="1">
      <formula>"esterreur(reference)"</formula>
    </cfRule>
  </conditionalFormatting>
  <conditionalFormatting sqref="Q66:Q69">
    <cfRule type="expression" dxfId="513" priority="242" stopIfTrue="1">
      <formula>"esterreur(reference)"</formula>
    </cfRule>
  </conditionalFormatting>
  <conditionalFormatting sqref="Q70">
    <cfRule type="expression" dxfId="512" priority="241" stopIfTrue="1">
      <formula>"esterreur(reference)"</formula>
    </cfRule>
  </conditionalFormatting>
  <conditionalFormatting sqref="Q75:Q82">
    <cfRule type="expression" dxfId="511" priority="240" stopIfTrue="1">
      <formula>"esterreur(reference)"</formula>
    </cfRule>
  </conditionalFormatting>
  <conditionalFormatting sqref="Q57">
    <cfRule type="expression" dxfId="510" priority="237" stopIfTrue="1">
      <formula>"esterreur(reference)"</formula>
    </cfRule>
  </conditionalFormatting>
  <conditionalFormatting sqref="Q5">
    <cfRule type="expression" dxfId="509" priority="235" stopIfTrue="1">
      <formula>"esterreur(reference)"</formula>
    </cfRule>
  </conditionalFormatting>
  <conditionalFormatting sqref="Q71">
    <cfRule type="expression" dxfId="508" priority="234" stopIfTrue="1">
      <formula>"esterreur(reference)"</formula>
    </cfRule>
  </conditionalFormatting>
  <conditionalFormatting sqref="Q60">
    <cfRule type="expression" dxfId="507" priority="231" stopIfTrue="1">
      <formula>"esterreur(reference)"</formula>
    </cfRule>
  </conditionalFormatting>
  <conditionalFormatting sqref="P98">
    <cfRule type="expression" dxfId="506" priority="230" stopIfTrue="1">
      <formula>"esterreur(reference)"</formula>
    </cfRule>
  </conditionalFormatting>
  <conditionalFormatting sqref="Q59">
    <cfRule type="expression" dxfId="505" priority="232" stopIfTrue="1">
      <formula>"esterreur(reference)"</formula>
    </cfRule>
  </conditionalFormatting>
  <conditionalFormatting sqref="O163:Q163 O164:P164 O121:Q121 O152:Q152 O96:Q97 O100:Q100 P94:P95 O104:Q110 P99 O134:Q134 O101:P103 O135:P136 O155:P156 O111:P120">
    <cfRule type="expression" dxfId="504" priority="226" stopIfTrue="1">
      <formula>"esterreur(reference)"</formula>
    </cfRule>
  </conditionalFormatting>
  <conditionalFormatting sqref="O141:P147">
    <cfRule type="expression" dxfId="503" priority="227" stopIfTrue="1">
      <formula>"esterreur(reference)"</formula>
    </cfRule>
  </conditionalFormatting>
  <conditionalFormatting sqref="O137:P139">
    <cfRule type="expression" dxfId="502" priority="228" stopIfTrue="1">
      <formula>"esterreur(reference)"</formula>
    </cfRule>
  </conditionalFormatting>
  <conditionalFormatting sqref="O140:P140">
    <cfRule type="expression" dxfId="501" priority="229" stopIfTrue="1">
      <formula>"esterreur(reference)"</formula>
    </cfRule>
  </conditionalFormatting>
  <conditionalFormatting sqref="Q94:Q95">
    <cfRule type="expression" dxfId="500" priority="225" stopIfTrue="1">
      <formula>"esterreur(reference)"</formula>
    </cfRule>
  </conditionalFormatting>
  <conditionalFormatting sqref="Q98">
    <cfRule type="expression" dxfId="499" priority="224" stopIfTrue="1">
      <formula>"esterreur(reference)"</formula>
    </cfRule>
  </conditionalFormatting>
  <conditionalFormatting sqref="Q99">
    <cfRule type="expression" dxfId="498" priority="223" stopIfTrue="1">
      <formula>"esterreur(reference)"</formula>
    </cfRule>
  </conditionalFormatting>
  <conditionalFormatting sqref="Q101">
    <cfRule type="expression" dxfId="497" priority="222" stopIfTrue="1">
      <formula>"esterreur(reference)"</formula>
    </cfRule>
  </conditionalFormatting>
  <conditionalFormatting sqref="Q102">
    <cfRule type="expression" dxfId="496" priority="221" stopIfTrue="1">
      <formula>"esterreur(reference)"</formula>
    </cfRule>
  </conditionalFormatting>
  <conditionalFormatting sqref="Q103">
    <cfRule type="expression" dxfId="495" priority="220" stopIfTrue="1">
      <formula>"esterreur(reference)"</formula>
    </cfRule>
  </conditionalFormatting>
  <conditionalFormatting sqref="Q111">
    <cfRule type="expression" dxfId="494" priority="219" stopIfTrue="1">
      <formula>"esterreur(reference)"</formula>
    </cfRule>
  </conditionalFormatting>
  <conditionalFormatting sqref="Q112">
    <cfRule type="expression" dxfId="493" priority="218" stopIfTrue="1">
      <formula>"esterreur(reference)"</formula>
    </cfRule>
  </conditionalFormatting>
  <conditionalFormatting sqref="Q114">
    <cfRule type="expression" dxfId="492" priority="217" stopIfTrue="1">
      <formula>"esterreur(reference)"</formula>
    </cfRule>
  </conditionalFormatting>
  <conditionalFormatting sqref="Q116:Q119">
    <cfRule type="expression" dxfId="491" priority="216" stopIfTrue="1">
      <formula>"esterreur(reference)"</formula>
    </cfRule>
  </conditionalFormatting>
  <conditionalFormatting sqref="Q120">
    <cfRule type="expression" dxfId="490" priority="215" stopIfTrue="1">
      <formula>"esterreur(reference)"</formula>
    </cfRule>
  </conditionalFormatting>
  <conditionalFormatting sqref="Q130">
    <cfRule type="expression" dxfId="489" priority="210" stopIfTrue="1">
      <formula>"esterreur(reference)"</formula>
    </cfRule>
  </conditionalFormatting>
  <conditionalFormatting sqref="Q124">
    <cfRule type="expression" dxfId="488" priority="214" stopIfTrue="1">
      <formula>"esterreur(reference)"</formula>
    </cfRule>
  </conditionalFormatting>
  <conditionalFormatting sqref="Q123">
    <cfRule type="expression" dxfId="487" priority="212" stopIfTrue="1">
      <formula>"esterreur(reference)"</formula>
    </cfRule>
  </conditionalFormatting>
  <conditionalFormatting sqref="Q139">
    <cfRule type="expression" dxfId="486" priority="203" stopIfTrue="1">
      <formula>"esterreur(reference)"</formula>
    </cfRule>
  </conditionalFormatting>
  <conditionalFormatting sqref="Q131">
    <cfRule type="expression" dxfId="485" priority="209" stopIfTrue="1">
      <formula>"esterreur(reference)"</formula>
    </cfRule>
  </conditionalFormatting>
  <conditionalFormatting sqref="Q132">
    <cfRule type="expression" dxfId="484" priority="208" stopIfTrue="1">
      <formula>"esterreur(reference)"</formula>
    </cfRule>
  </conditionalFormatting>
  <conditionalFormatting sqref="Q133">
    <cfRule type="expression" dxfId="483" priority="207" stopIfTrue="1">
      <formula>"esterreur(reference)"</formula>
    </cfRule>
  </conditionalFormatting>
  <conditionalFormatting sqref="Q141">
    <cfRule type="expression" dxfId="482" priority="201" stopIfTrue="1">
      <formula>"esterreur(reference)"</formula>
    </cfRule>
  </conditionalFormatting>
  <conditionalFormatting sqref="Q136">
    <cfRule type="expression" dxfId="481" priority="206" stopIfTrue="1">
      <formula>"esterreur(reference)"</formula>
    </cfRule>
  </conditionalFormatting>
  <conditionalFormatting sqref="Q137">
    <cfRule type="expression" dxfId="480" priority="205" stopIfTrue="1">
      <formula>"esterreur(reference)"</formula>
    </cfRule>
  </conditionalFormatting>
  <conditionalFormatting sqref="Q138">
    <cfRule type="expression" dxfId="479" priority="204" stopIfTrue="1">
      <formula>"esterreur(reference)"</formula>
    </cfRule>
  </conditionalFormatting>
  <conditionalFormatting sqref="Q143">
    <cfRule type="expression" dxfId="478" priority="199" stopIfTrue="1">
      <formula>"esterreur(reference)"</formula>
    </cfRule>
  </conditionalFormatting>
  <conditionalFormatting sqref="Q140">
    <cfRule type="expression" dxfId="477" priority="202" stopIfTrue="1">
      <formula>"esterreur(reference)"</formula>
    </cfRule>
  </conditionalFormatting>
  <conditionalFormatting sqref="Q142">
    <cfRule type="expression" dxfId="476" priority="200" stopIfTrue="1">
      <formula>"esterreur(reference)"</formula>
    </cfRule>
  </conditionalFormatting>
  <conditionalFormatting sqref="Q144">
    <cfRule type="expression" dxfId="475" priority="198" stopIfTrue="1">
      <formula>"esterreur(reference)"</formula>
    </cfRule>
  </conditionalFormatting>
  <conditionalFormatting sqref="Q145">
    <cfRule type="expression" dxfId="474" priority="197" stopIfTrue="1">
      <formula>"esterreur(reference)"</formula>
    </cfRule>
  </conditionalFormatting>
  <conditionalFormatting sqref="Q146">
    <cfRule type="expression" dxfId="473" priority="196" stopIfTrue="1">
      <formula>"esterreur(reference)"</formula>
    </cfRule>
  </conditionalFormatting>
  <conditionalFormatting sqref="Q147">
    <cfRule type="expression" dxfId="472" priority="195" stopIfTrue="1">
      <formula>"esterreur(reference)"</formula>
    </cfRule>
  </conditionalFormatting>
  <conditionalFormatting sqref="Q113">
    <cfRule type="expression" dxfId="471" priority="188" stopIfTrue="1">
      <formula>"esterreur(reference)"</formula>
    </cfRule>
  </conditionalFormatting>
  <conditionalFormatting sqref="Q155:Q161">
    <cfRule type="expression" dxfId="470" priority="192" stopIfTrue="1">
      <formula>"esterreur(reference)"</formula>
    </cfRule>
  </conditionalFormatting>
  <conditionalFormatting sqref="Q93">
    <cfRule type="expression" dxfId="469" priority="187" stopIfTrue="1">
      <formula>"esterreur(reference)"</formula>
    </cfRule>
  </conditionalFormatting>
  <conditionalFormatting sqref="Q115">
    <cfRule type="expression" dxfId="468" priority="189" stopIfTrue="1">
      <formula>"esterreur(reference)"</formula>
    </cfRule>
  </conditionalFormatting>
  <conditionalFormatting sqref="P93">
    <cfRule type="expression" dxfId="467" priority="186" stopIfTrue="1">
      <formula>"esterreur(reference)"</formula>
    </cfRule>
  </conditionalFormatting>
  <conditionalFormatting sqref="Q122">
    <cfRule type="expression" dxfId="466" priority="185" stopIfTrue="1">
      <formula>"esterreur(reference)"</formula>
    </cfRule>
  </conditionalFormatting>
  <conditionalFormatting sqref="Q135">
    <cfRule type="expression" dxfId="465" priority="184" stopIfTrue="1">
      <formula>"esterreur(reference)"</formula>
    </cfRule>
  </conditionalFormatting>
  <conditionalFormatting sqref="O231:Q231 O232:P232 P172:Q172 P175:Q175 P178:Q178 P181:Q181 P184:Q186 P183 P188:Q189 Q182 P191:Q195 Q190 Q173 O225:P228 O197:P218 Q176 Q179 O171:O195">
    <cfRule type="expression" dxfId="464" priority="150" stopIfTrue="1">
      <formula>"esterreur(reference)"</formula>
    </cfRule>
  </conditionalFormatting>
  <conditionalFormatting sqref="O219:P224">
    <cfRule type="expression" dxfId="463" priority="151" stopIfTrue="1">
      <formula>"esterreur(reference)"</formula>
    </cfRule>
  </conditionalFormatting>
  <conditionalFormatting sqref="O196:Q196">
    <cfRule type="expression" dxfId="462" priority="152" stopIfTrue="1">
      <formula>"esterreur(reference)"</formula>
    </cfRule>
  </conditionalFormatting>
  <conditionalFormatting sqref="Q207">
    <cfRule type="expression" dxfId="461" priority="135" stopIfTrue="1">
      <formula>"esterreur(reference)"</formula>
    </cfRule>
  </conditionalFormatting>
  <conditionalFormatting sqref="Q227">
    <cfRule type="expression" dxfId="460" priority="131" stopIfTrue="1">
      <formula>"esterreur(reference)"</formula>
    </cfRule>
  </conditionalFormatting>
  <conditionalFormatting sqref="Q171">
    <cfRule type="expression" dxfId="459" priority="149" stopIfTrue="1">
      <formula>"esterreur(reference)"</formula>
    </cfRule>
  </conditionalFormatting>
  <conditionalFormatting sqref="Q174">
    <cfRule type="expression" dxfId="458" priority="148" stopIfTrue="1">
      <formula>"esterreur(reference)"</formula>
    </cfRule>
  </conditionalFormatting>
  <conditionalFormatting sqref="Q177">
    <cfRule type="expression" dxfId="457" priority="147" stopIfTrue="1">
      <formula>"esterreur(reference)"</formula>
    </cfRule>
  </conditionalFormatting>
  <conditionalFormatting sqref="Q183">
    <cfRule type="expression" dxfId="456" priority="146" stopIfTrue="1">
      <formula>"esterreur(reference)"</formula>
    </cfRule>
  </conditionalFormatting>
  <conditionalFormatting sqref="Q187">
    <cfRule type="expression" dxfId="455" priority="145" stopIfTrue="1">
      <formula>"esterreur(reference)"</formula>
    </cfRule>
  </conditionalFormatting>
  <conditionalFormatting sqref="Q197">
    <cfRule type="expression" dxfId="454" priority="144" stopIfTrue="1">
      <formula>"esterreur(reference)"</formula>
    </cfRule>
  </conditionalFormatting>
  <conditionalFormatting sqref="Q199">
    <cfRule type="expression" dxfId="453" priority="143" stopIfTrue="1">
      <formula>"esterreur(reference)"</formula>
    </cfRule>
  </conditionalFormatting>
  <conditionalFormatting sqref="Q198">
    <cfRule type="expression" dxfId="452" priority="142" stopIfTrue="1">
      <formula>"esterreur(reference)"</formula>
    </cfRule>
  </conditionalFormatting>
  <conditionalFormatting sqref="Q200">
    <cfRule type="expression" dxfId="451" priority="141" stopIfTrue="1">
      <formula>"esterreur(reference)"</formula>
    </cfRule>
  </conditionalFormatting>
  <conditionalFormatting sqref="Q201">
    <cfRule type="expression" dxfId="450" priority="140" stopIfTrue="1">
      <formula>"esterreur(reference)"</formula>
    </cfRule>
  </conditionalFormatting>
  <conditionalFormatting sqref="Q202:Q204">
    <cfRule type="expression" dxfId="449" priority="139" stopIfTrue="1">
      <formula>"esterreur(reference)"</formula>
    </cfRule>
  </conditionalFormatting>
  <conditionalFormatting sqref="Q206">
    <cfRule type="expression" dxfId="448" priority="136" stopIfTrue="1">
      <formula>"esterreur(reference)"</formula>
    </cfRule>
  </conditionalFormatting>
  <conditionalFormatting sqref="Q205">
    <cfRule type="expression" dxfId="447" priority="137" stopIfTrue="1">
      <formula>"esterreur(reference)"</formula>
    </cfRule>
  </conditionalFormatting>
  <conditionalFormatting sqref="Q208">
    <cfRule type="expression" dxfId="446" priority="134" stopIfTrue="1">
      <formula>"esterreur(reference)"</formula>
    </cfRule>
  </conditionalFormatting>
  <conditionalFormatting sqref="Q211:Q224">
    <cfRule type="expression" dxfId="445" priority="133" stopIfTrue="1">
      <formula>"esterreur(reference)"</formula>
    </cfRule>
  </conditionalFormatting>
  <conditionalFormatting sqref="Q225:Q226">
    <cfRule type="expression" dxfId="444" priority="132" stopIfTrue="1">
      <formula>"esterreur(reference)"</formula>
    </cfRule>
  </conditionalFormatting>
  <conditionalFormatting sqref="Q180">
    <cfRule type="expression" dxfId="443" priority="130" stopIfTrue="1">
      <formula>"esterreur(reference)"</formula>
    </cfRule>
  </conditionalFormatting>
  <conditionalFormatting sqref="P182">
    <cfRule type="expression" dxfId="442" priority="129" stopIfTrue="1">
      <formula>"esterreur(reference)"</formula>
    </cfRule>
  </conditionalFormatting>
  <conditionalFormatting sqref="P171">
    <cfRule type="expression" dxfId="441" priority="128" stopIfTrue="1">
      <formula>"esterreur(reference)"</formula>
    </cfRule>
  </conditionalFormatting>
  <conditionalFormatting sqref="P174">
    <cfRule type="expression" dxfId="440" priority="127" stopIfTrue="1">
      <formula>"esterreur(reference)"</formula>
    </cfRule>
  </conditionalFormatting>
  <conditionalFormatting sqref="P177">
    <cfRule type="expression" dxfId="439" priority="126" stopIfTrue="1">
      <formula>"esterreur(reference)"</formula>
    </cfRule>
  </conditionalFormatting>
  <conditionalFormatting sqref="P180">
    <cfRule type="expression" dxfId="438" priority="125" stopIfTrue="1">
      <formula>"esterreur(reference)"</formula>
    </cfRule>
  </conditionalFormatting>
  <conditionalFormatting sqref="P187">
    <cfRule type="expression" dxfId="437" priority="124" stopIfTrue="1">
      <formula>"esterreur(reference)"</formula>
    </cfRule>
  </conditionalFormatting>
  <conditionalFormatting sqref="P190">
    <cfRule type="expression" dxfId="436" priority="123" stopIfTrue="1">
      <formula>"esterreur(reference)"</formula>
    </cfRule>
  </conditionalFormatting>
  <conditionalFormatting sqref="Q210">
    <cfRule type="expression" dxfId="435" priority="122" stopIfTrue="1">
      <formula>"esterreur(reference)"</formula>
    </cfRule>
  </conditionalFormatting>
  <conditionalFormatting sqref="O287:Q287 O288:P288 O242:Q242 O251:Q252 O284:Q284 Q275:Q283 O253:P274">
    <cfRule type="expression" dxfId="434" priority="119" stopIfTrue="1">
      <formula>"esterreur(reference)"</formula>
    </cfRule>
  </conditionalFormatting>
  <conditionalFormatting sqref="O275:P280">
    <cfRule type="expression" dxfId="433" priority="120" stopIfTrue="1">
      <formula>"esterreur(reference)"</formula>
    </cfRule>
  </conditionalFormatting>
  <conditionalFormatting sqref="O281:P283">
    <cfRule type="expression" dxfId="432" priority="121" stopIfTrue="1">
      <formula>"esterreur(reference)"</formula>
    </cfRule>
  </conditionalFormatting>
  <conditionalFormatting sqref="Q271">
    <cfRule type="expression" dxfId="431" priority="101" stopIfTrue="1">
      <formula>"esterreur(reference)"</formula>
    </cfRule>
  </conditionalFormatting>
  <conditionalFormatting sqref="Q274">
    <cfRule type="expression" dxfId="430" priority="99" stopIfTrue="1">
      <formula>"esterreur(reference)"</formula>
    </cfRule>
  </conditionalFormatting>
  <conditionalFormatting sqref="Q243">
    <cfRule type="expression" dxfId="429" priority="118" stopIfTrue="1">
      <formula>"esterreur(reference)"</formula>
    </cfRule>
  </conditionalFormatting>
  <conditionalFormatting sqref="Q246">
    <cfRule type="expression" dxfId="428" priority="117" stopIfTrue="1">
      <formula>"esterreur(reference)"</formula>
    </cfRule>
  </conditionalFormatting>
  <conditionalFormatting sqref="Q253">
    <cfRule type="expression" dxfId="427" priority="116" stopIfTrue="1">
      <formula>"esterreur(reference)"</formula>
    </cfRule>
  </conditionalFormatting>
  <conditionalFormatting sqref="Q254">
    <cfRule type="expression" dxfId="426" priority="115" stopIfTrue="1">
      <formula>"esterreur(reference)"</formula>
    </cfRule>
  </conditionalFormatting>
  <conditionalFormatting sqref="Q255">
    <cfRule type="expression" dxfId="425" priority="114" stopIfTrue="1">
      <formula>"esterreur(reference)"</formula>
    </cfRule>
  </conditionalFormatting>
  <conditionalFormatting sqref="Q256">
    <cfRule type="expression" dxfId="424" priority="113" stopIfTrue="1">
      <formula>"esterreur(reference)"</formula>
    </cfRule>
  </conditionalFormatting>
  <conditionalFormatting sqref="Q257">
    <cfRule type="expression" dxfId="423" priority="112" stopIfTrue="1">
      <formula>"esterreur(reference)"</formula>
    </cfRule>
  </conditionalFormatting>
  <conditionalFormatting sqref="Q258">
    <cfRule type="expression" dxfId="422" priority="111" stopIfTrue="1">
      <formula>"esterreur(reference)"</formula>
    </cfRule>
  </conditionalFormatting>
  <conditionalFormatting sqref="Q259">
    <cfRule type="expression" dxfId="421" priority="110" stopIfTrue="1">
      <formula>"esterreur(reference)"</formula>
    </cfRule>
  </conditionalFormatting>
  <conditionalFormatting sqref="Q260">
    <cfRule type="expression" dxfId="420" priority="109" stopIfTrue="1">
      <formula>"esterreur(reference)"</formula>
    </cfRule>
  </conditionalFormatting>
  <conditionalFormatting sqref="Q261">
    <cfRule type="expression" dxfId="419" priority="108" stopIfTrue="1">
      <formula>"esterreur(reference)"</formula>
    </cfRule>
  </conditionalFormatting>
  <conditionalFormatting sqref="Q262">
    <cfRule type="expression" dxfId="418" priority="107" stopIfTrue="1">
      <formula>"esterreur(reference)"</formula>
    </cfRule>
  </conditionalFormatting>
  <conditionalFormatting sqref="Q263:Q264">
    <cfRule type="expression" dxfId="417" priority="106" stopIfTrue="1">
      <formula>"esterreur(reference)"</formula>
    </cfRule>
  </conditionalFormatting>
  <conditionalFormatting sqref="Q268">
    <cfRule type="expression" dxfId="416" priority="104" stopIfTrue="1">
      <formula>"esterreur(reference)"</formula>
    </cfRule>
  </conditionalFormatting>
  <conditionalFormatting sqref="Q267">
    <cfRule type="expression" dxfId="415" priority="105" stopIfTrue="1">
      <formula>"esterreur(reference)"</formula>
    </cfRule>
  </conditionalFormatting>
  <conditionalFormatting sqref="Q269">
    <cfRule type="expression" dxfId="414" priority="103" stopIfTrue="1">
      <formula>"esterreur(reference)"</formula>
    </cfRule>
  </conditionalFormatting>
  <conditionalFormatting sqref="Q270">
    <cfRule type="expression" dxfId="413" priority="102" stopIfTrue="1">
      <formula>"esterreur(reference)"</formula>
    </cfRule>
  </conditionalFormatting>
  <conditionalFormatting sqref="Q272:Q273">
    <cfRule type="expression" dxfId="412" priority="100" stopIfTrue="1">
      <formula>"esterreur(reference)"</formula>
    </cfRule>
  </conditionalFormatting>
  <conditionalFormatting sqref="P240">
    <cfRule type="expression" dxfId="411" priority="98" stopIfTrue="1">
      <formula>"esterreur(reference)"</formula>
    </cfRule>
  </conditionalFormatting>
  <conditionalFormatting sqref="P243">
    <cfRule type="expression" dxfId="410" priority="97" stopIfTrue="1">
      <formula>"esterreur(reference)"</formula>
    </cfRule>
  </conditionalFormatting>
  <conditionalFormatting sqref="P246">
    <cfRule type="expression" dxfId="409" priority="96" stopIfTrue="1">
      <formula>"esterreur(reference)"</formula>
    </cfRule>
  </conditionalFormatting>
  <conditionalFormatting sqref="Q240">
    <cfRule type="expression" dxfId="408" priority="95" stopIfTrue="1">
      <formula>"esterreur(reference)"</formula>
    </cfRule>
  </conditionalFormatting>
  <conditionalFormatting sqref="P286">
    <cfRule type="expression" dxfId="407" priority="94" stopIfTrue="1">
      <formula>"esterreur(reference)"</formula>
    </cfRule>
  </conditionalFormatting>
  <conditionalFormatting sqref="Q266">
    <cfRule type="expression" dxfId="406" priority="93" stopIfTrue="1">
      <formula>"esterreur(reference)"</formula>
    </cfRule>
  </conditionalFormatting>
  <conditionalFormatting sqref="O308:Q310 O303:Q305 O351:Q351 O352:P352 O348:Q348 O312:Q315 P306:P307 P311 O294:P302 Q319:Q324 O317:P347">
    <cfRule type="expression" dxfId="405" priority="91" stopIfTrue="1">
      <formula>"esterreur(reference)"</formula>
    </cfRule>
  </conditionalFormatting>
  <conditionalFormatting sqref="O316:Q316">
    <cfRule type="expression" dxfId="404" priority="92" stopIfTrue="1">
      <formula>"esterreur(reference)"</formula>
    </cfRule>
  </conditionalFormatting>
  <conditionalFormatting sqref="Q331:Q347">
    <cfRule type="expression" dxfId="403" priority="78" stopIfTrue="1">
      <formula>"esterreur(reference)"</formula>
    </cfRule>
  </conditionalFormatting>
  <conditionalFormatting sqref="Q325">
    <cfRule type="expression" dxfId="402" priority="82" stopIfTrue="1">
      <formula>"esterreur(reference)"</formula>
    </cfRule>
  </conditionalFormatting>
  <conditionalFormatting sqref="Q326">
    <cfRule type="expression" dxfId="401" priority="81" stopIfTrue="1">
      <formula>"esterreur(reference)"</formula>
    </cfRule>
  </conditionalFormatting>
  <conditionalFormatting sqref="Q327">
    <cfRule type="expression" dxfId="400" priority="80" stopIfTrue="1">
      <formula>"esterreur(reference)"</formula>
    </cfRule>
  </conditionalFormatting>
  <conditionalFormatting sqref="Q328">
    <cfRule type="expression" dxfId="399" priority="79" stopIfTrue="1">
      <formula>"esterreur(reference)"</formula>
    </cfRule>
  </conditionalFormatting>
  <conditionalFormatting sqref="Q311">
    <cfRule type="expression" dxfId="398" priority="85" stopIfTrue="1">
      <formula>"esterreur(reference)"</formula>
    </cfRule>
  </conditionalFormatting>
  <conditionalFormatting sqref="Q317">
    <cfRule type="expression" dxfId="397" priority="84" stopIfTrue="1">
      <formula>"esterreur(reference)"</formula>
    </cfRule>
  </conditionalFormatting>
  <conditionalFormatting sqref="Q318">
    <cfRule type="expression" dxfId="396" priority="83" stopIfTrue="1">
      <formula>"esterreur(reference)"</formula>
    </cfRule>
  </conditionalFormatting>
  <conditionalFormatting sqref="O306:O307">
    <cfRule type="expression" dxfId="395" priority="77" stopIfTrue="1">
      <formula>"esterreur(reference)"</formula>
    </cfRule>
  </conditionalFormatting>
  <conditionalFormatting sqref="O311">
    <cfRule type="expression" dxfId="394" priority="76" stopIfTrue="1">
      <formula>"esterreur(reference)"</formula>
    </cfRule>
  </conditionalFormatting>
  <conditionalFormatting sqref="Q330">
    <cfRule type="expression" dxfId="393" priority="75" stopIfTrue="1">
      <formula>"esterreur(reference)"</formula>
    </cfRule>
  </conditionalFormatting>
  <conditionalFormatting sqref="O363:Q363 O364:P375">
    <cfRule type="expression" dxfId="392" priority="69" stopIfTrue="1">
      <formula>"esterreur(reference)"</formula>
    </cfRule>
  </conditionalFormatting>
  <conditionalFormatting sqref="O358:Q358">
    <cfRule type="expression" dxfId="391" priority="70" stopIfTrue="1">
      <formula>"esterreur(reference)"</formula>
    </cfRule>
  </conditionalFormatting>
  <conditionalFormatting sqref="O376:Q376 O377:P392">
    <cfRule type="expression" dxfId="390" priority="71" stopIfTrue="1">
      <formula>"esterreur(reference)"</formula>
    </cfRule>
  </conditionalFormatting>
  <conditionalFormatting sqref="O395:Q398 O393:P393">
    <cfRule type="expression" dxfId="389" priority="72" stopIfTrue="1">
      <formula>"esterreur(reference)"</formula>
    </cfRule>
  </conditionalFormatting>
  <conditionalFormatting sqref="O360:Q362 P359">
    <cfRule type="expression" dxfId="388" priority="73" stopIfTrue="1">
      <formula>"esterreur(reference)"</formula>
    </cfRule>
  </conditionalFormatting>
  <conditionalFormatting sqref="P394">
    <cfRule type="expression" dxfId="387" priority="74" stopIfTrue="1">
      <formula>"esterreur(reference)"</formula>
    </cfRule>
  </conditionalFormatting>
  <conditionalFormatting sqref="Q364:Q375">
    <cfRule type="expression" dxfId="386" priority="68" stopIfTrue="1">
      <formula>"esterreur(reference)"</formula>
    </cfRule>
  </conditionalFormatting>
  <conditionalFormatting sqref="Q377:Q393">
    <cfRule type="expression" dxfId="385" priority="67" stopIfTrue="1">
      <formula>"esterreur(reference)"</formula>
    </cfRule>
  </conditionalFormatting>
  <conditionalFormatting sqref="O359">
    <cfRule type="expression" dxfId="384" priority="66" stopIfTrue="1">
      <formula>"esterreur(reference)"</formula>
    </cfRule>
  </conditionalFormatting>
  <conditionalFormatting sqref="Q359">
    <cfRule type="expression" dxfId="383" priority="65" stopIfTrue="1">
      <formula>"esterreur(reference)"</formula>
    </cfRule>
  </conditionalFormatting>
  <conditionalFormatting sqref="Q36:Q40">
    <cfRule type="expression" dxfId="382" priority="64" stopIfTrue="1">
      <formula>"esterreur(reference)"</formula>
    </cfRule>
  </conditionalFormatting>
  <conditionalFormatting sqref="L68">
    <cfRule type="expression" dxfId="381" priority="63" stopIfTrue="1">
      <formula>"esterreur(reference)"</formula>
    </cfRule>
  </conditionalFormatting>
  <conditionalFormatting sqref="Q149:Q151">
    <cfRule type="expression" dxfId="380" priority="54" stopIfTrue="1">
      <formula>"esterreur(reference)"</formula>
    </cfRule>
  </conditionalFormatting>
  <conditionalFormatting sqref="H148 J148:K148">
    <cfRule type="expression" dxfId="379" priority="61" stopIfTrue="1">
      <formula>"esterreur(reference)"</formula>
    </cfRule>
  </conditionalFormatting>
  <conditionalFormatting sqref="L148">
    <cfRule type="expression" dxfId="378" priority="60" stopIfTrue="1">
      <formula>"esterreur(reference)"</formula>
    </cfRule>
  </conditionalFormatting>
  <conditionalFormatting sqref="O148:P148">
    <cfRule type="expression" dxfId="377" priority="59" stopIfTrue="1">
      <formula>"esterreur(reference)"</formula>
    </cfRule>
  </conditionalFormatting>
  <conditionalFormatting sqref="Q148">
    <cfRule type="expression" dxfId="376" priority="58" stopIfTrue="1">
      <formula>"esterreur(reference)"</formula>
    </cfRule>
  </conditionalFormatting>
  <conditionalFormatting sqref="H149:H151 J149:K151">
    <cfRule type="expression" dxfId="375" priority="57" stopIfTrue="1">
      <formula>"esterreur(reference)"</formula>
    </cfRule>
  </conditionalFormatting>
  <conditionalFormatting sqref="L149:L151">
    <cfRule type="expression" dxfId="374" priority="56" stopIfTrue="1">
      <formula>"esterreur(reference)"</formula>
    </cfRule>
  </conditionalFormatting>
  <conditionalFormatting sqref="O149:P151">
    <cfRule type="expression" dxfId="373" priority="55" stopIfTrue="1">
      <formula>"esterreur(reference)"</formula>
    </cfRule>
  </conditionalFormatting>
  <conditionalFormatting sqref="L158:L161">
    <cfRule type="expression" dxfId="372" priority="53" stopIfTrue="1">
      <formula>"esterreur(reference)"</formula>
    </cfRule>
  </conditionalFormatting>
  <conditionalFormatting sqref="AG414:AI417">
    <cfRule type="cellIs" dxfId="371" priority="51" operator="greaterThan">
      <formula>0</formula>
    </cfRule>
  </conditionalFormatting>
  <conditionalFormatting sqref="AO414:AO417">
    <cfRule type="cellIs" dxfId="370" priority="50" operator="greaterThan">
      <formula>0</formula>
    </cfRule>
  </conditionalFormatting>
  <conditionalFormatting sqref="G111:G112">
    <cfRule type="expression" dxfId="369" priority="35" stopIfTrue="1">
      <formula>"esterreur(reference)"</formula>
    </cfRule>
  </conditionalFormatting>
  <conditionalFormatting sqref="AH424:AH426">
    <cfRule type="cellIs" dxfId="368" priority="34" operator="greaterThan">
      <formula>0</formula>
    </cfRule>
  </conditionalFormatting>
  <conditionalFormatting sqref="AI431">
    <cfRule type="cellIs" dxfId="367" priority="33" operator="greaterThan">
      <formula>0</formula>
    </cfRule>
  </conditionalFormatting>
  <conditionalFormatting sqref="AH431">
    <cfRule type="cellIs" dxfId="366" priority="32" operator="greaterThan">
      <formula>0</formula>
    </cfRule>
  </conditionalFormatting>
  <conditionalFormatting sqref="AI448:AI450">
    <cfRule type="cellIs" dxfId="365" priority="31" operator="greaterThan">
      <formula>0</formula>
    </cfRule>
  </conditionalFormatting>
  <conditionalFormatting sqref="AH448:AH450">
    <cfRule type="cellIs" dxfId="364" priority="30" operator="greaterThan">
      <formula>0</formula>
    </cfRule>
  </conditionalFormatting>
  <conditionalFormatting sqref="AI462:AI464">
    <cfRule type="cellIs" dxfId="363" priority="29" operator="greaterThan">
      <formula>0</formula>
    </cfRule>
  </conditionalFormatting>
  <conditionalFormatting sqref="AH462:AH464">
    <cfRule type="cellIs" dxfId="362" priority="28" operator="greaterThan">
      <formula>0</formula>
    </cfRule>
  </conditionalFormatting>
  <conditionalFormatting sqref="AI476:AI478">
    <cfRule type="cellIs" dxfId="361" priority="27" operator="greaterThan">
      <formula>0</formula>
    </cfRule>
  </conditionalFormatting>
  <conditionalFormatting sqref="AH476:AH478">
    <cfRule type="cellIs" dxfId="360" priority="26" operator="greaterThan">
      <formula>0</formula>
    </cfRule>
  </conditionalFormatting>
  <conditionalFormatting sqref="AI494:AI496">
    <cfRule type="cellIs" dxfId="359" priority="25" operator="greaterThan">
      <formula>0</formula>
    </cfRule>
  </conditionalFormatting>
  <conditionalFormatting sqref="AH494:AH496">
    <cfRule type="cellIs" dxfId="358" priority="24" operator="greaterThan">
      <formula>0</formula>
    </cfRule>
  </conditionalFormatting>
  <conditionalFormatting sqref="H83:H85 H72 H25:H26 H28:H54">
    <cfRule type="expression" dxfId="357" priority="17" stopIfTrue="1">
      <formula>"esterreur(reference)"</formula>
    </cfRule>
  </conditionalFormatting>
  <conditionalFormatting sqref="H55:H56 H71">
    <cfRule type="expression" dxfId="356" priority="18" stopIfTrue="1">
      <formula>"esterreur(reference)"</formula>
    </cfRule>
  </conditionalFormatting>
  <conditionalFormatting sqref="H61:H70">
    <cfRule type="expression" dxfId="355" priority="19" stopIfTrue="1">
      <formula>"esterreur(reference)"</formula>
    </cfRule>
  </conditionalFormatting>
  <conditionalFormatting sqref="H57:H59">
    <cfRule type="expression" dxfId="354" priority="20" stopIfTrue="1">
      <formula>"esterreur(reference)"</formula>
    </cfRule>
  </conditionalFormatting>
  <conditionalFormatting sqref="H60">
    <cfRule type="expression" dxfId="353" priority="21" stopIfTrue="1">
      <formula>"esterreur(reference)"</formula>
    </cfRule>
  </conditionalFormatting>
  <conditionalFormatting sqref="G31:G32">
    <cfRule type="expression" dxfId="352" priority="16" stopIfTrue="1">
      <formula>"esterreur(reference)"</formula>
    </cfRule>
  </conditionalFormatting>
  <conditionalFormatting sqref="I83:I85 I13:I14 I24:I30 I20 I16:I18">
    <cfRule type="expression" dxfId="351" priority="7" stopIfTrue="1">
      <formula>"esterreur(reference)"</formula>
    </cfRule>
  </conditionalFormatting>
  <conditionalFormatting sqref="F83:F85">
    <cfRule type="expression" dxfId="350" priority="6" stopIfTrue="1">
      <formula>"esterreur(reference)"</formula>
    </cfRule>
  </conditionalFormatting>
  <conditionalFormatting sqref="F5">
    <cfRule type="expression" dxfId="349" priority="5" stopIfTrue="1">
      <formula>"esterreur(reference)"</formula>
    </cfRule>
  </conditionalFormatting>
  <conditionalFormatting sqref="G171:G180">
    <cfRule type="expression" dxfId="348" priority="4" stopIfTrue="1">
      <formula>"esterreur(reference)"</formula>
    </cfRule>
  </conditionalFormatting>
  <conditionalFormatting sqref="D171:D180">
    <cfRule type="expression" dxfId="347" priority="3" stopIfTrue="1">
      <formula>"esterreur(reference)"</formula>
    </cfRule>
  </conditionalFormatting>
  <conditionalFormatting sqref="E185">
    <cfRule type="expression" dxfId="346" priority="2" stopIfTrue="1">
      <formula>"esterreur(reference)"</formula>
    </cfRule>
  </conditionalFormatting>
  <conditionalFormatting sqref="F100">
    <cfRule type="expression" dxfId="345" priority="1" stopIfTrue="1">
      <formula>"esterreur(reference)"</formula>
    </cfRule>
  </conditionalFormatting>
  <printOptions horizontalCentered="1"/>
  <pageMargins left="0.15748031496062992" right="0.15748031496062992" top="0.47244094488188981" bottom="0.55118110236220474" header="0.31496062992125984" footer="0.31496062992125984"/>
  <pageSetup scale="42" fitToHeight="0" orientation="landscape" r:id="rId1"/>
  <headerFooter>
    <oddFooter>&amp;L&amp;9&amp;F&amp;C&amp;9&amp;P de &amp;N&amp;R&amp;9Imprimé le &amp;D  @ &amp;T</oddFooter>
  </headerFooter>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371B-1A28-4655-938C-2473CB12E3B0}">
  <sheetPr>
    <pageSetUpPr fitToPage="1"/>
  </sheetPr>
  <dimension ref="B1:T35"/>
  <sheetViews>
    <sheetView zoomScaleNormal="100" workbookViewId="0">
      <selection activeCell="F3" sqref="F3"/>
    </sheetView>
  </sheetViews>
  <sheetFormatPr baseColWidth="10" defaultColWidth="11" defaultRowHeight="14.4"/>
  <cols>
    <col min="1" max="1" width="3.19921875" style="1282" customWidth="1"/>
    <col min="2" max="2" width="16.3984375" style="1282" customWidth="1"/>
    <col min="3" max="5" width="11.09765625" style="1282" customWidth="1"/>
    <col min="6" max="6" width="3.19921875" style="1282" customWidth="1"/>
    <col min="7" max="7" width="16.3984375" style="1282" customWidth="1"/>
    <col min="8" max="10" width="11.09765625" style="1282" customWidth="1"/>
    <col min="11" max="11" width="3.19921875" style="1282" customWidth="1"/>
    <col min="12" max="12" width="16.3984375" style="1282" customWidth="1"/>
    <col min="13" max="15" width="11.09765625" style="1282" customWidth="1"/>
    <col min="16" max="16" width="3.19921875" style="1282" customWidth="1"/>
    <col min="17" max="17" width="16.3984375" style="1282" customWidth="1"/>
    <col min="18" max="20" width="11.09765625" style="1282" customWidth="1"/>
    <col min="21" max="16384" width="11" style="1282"/>
  </cols>
  <sheetData>
    <row r="1" spans="2:20" ht="15.6" thickTop="1" thickBot="1">
      <c r="B1" s="1313" t="s">
        <v>3338</v>
      </c>
      <c r="C1" s="1314"/>
      <c r="D1" s="1314"/>
      <c r="E1" s="1314"/>
      <c r="F1" s="1314"/>
      <c r="G1" s="1314"/>
      <c r="H1" s="1314"/>
      <c r="I1" s="1314"/>
      <c r="J1" s="1314"/>
      <c r="K1" s="1314"/>
      <c r="L1" s="1314"/>
      <c r="M1" s="1314"/>
      <c r="N1" s="1314"/>
      <c r="O1" s="1314"/>
      <c r="P1" s="1314"/>
      <c r="Q1" s="1314"/>
      <c r="R1" s="1314"/>
      <c r="S1" s="1314"/>
      <c r="T1" s="1315"/>
    </row>
    <row r="2" spans="2:20" ht="15" thickTop="1"/>
    <row r="3" spans="2:20">
      <c r="B3" s="1260" t="s">
        <v>3312</v>
      </c>
      <c r="C3" s="1281" t="s">
        <v>3313</v>
      </c>
      <c r="D3" s="1281" t="s">
        <v>3314</v>
      </c>
      <c r="E3" s="1281" t="s">
        <v>3315</v>
      </c>
      <c r="G3" s="1260" t="s">
        <v>3316</v>
      </c>
      <c r="H3" s="1281" t="s">
        <v>3313</v>
      </c>
      <c r="I3" s="1281" t="s">
        <v>3314</v>
      </c>
      <c r="J3" s="1281" t="s">
        <v>3315</v>
      </c>
      <c r="L3" s="1260" t="s">
        <v>155</v>
      </c>
      <c r="M3" s="1281" t="s">
        <v>3317</v>
      </c>
      <c r="N3" s="1281" t="s">
        <v>3318</v>
      </c>
      <c r="O3" s="1281" t="s">
        <v>3315</v>
      </c>
      <c r="Q3" s="1260" t="s">
        <v>3319</v>
      </c>
      <c r="R3" s="1281" t="s">
        <v>3313</v>
      </c>
      <c r="S3" s="1281" t="s">
        <v>3320</v>
      </c>
      <c r="T3" s="1281" t="s">
        <v>1914</v>
      </c>
    </row>
    <row r="4" spans="2:20">
      <c r="B4" s="1283" t="s">
        <v>3321</v>
      </c>
      <c r="G4" s="1283" t="s">
        <v>3321</v>
      </c>
      <c r="L4" s="1283" t="s">
        <v>3321</v>
      </c>
      <c r="Q4" s="1283" t="s">
        <v>3321</v>
      </c>
    </row>
    <row r="5" spans="2:20">
      <c r="B5" s="1262" t="s">
        <v>3322</v>
      </c>
      <c r="C5" s="1279">
        <f>Print_Mois!J27</f>
        <v>46</v>
      </c>
      <c r="D5" s="1263">
        <f>Print_Mois!L27/Print_Mois!J27</f>
        <v>5302.2323913043465</v>
      </c>
      <c r="E5" s="1264">
        <f>+C5*D5</f>
        <v>243902.68999999994</v>
      </c>
      <c r="G5" s="1262" t="s">
        <v>3322</v>
      </c>
      <c r="H5" s="1279">
        <f>Print_Mois!J107</f>
        <v>55</v>
      </c>
      <c r="I5" s="1263">
        <f>Print_Mois!L107/Print_Mois!J107</f>
        <v>3095.0636363636359</v>
      </c>
      <c r="J5" s="1264">
        <f>+H5*I5</f>
        <v>170228.49999999997</v>
      </c>
      <c r="L5" s="1262" t="s">
        <v>3322</v>
      </c>
      <c r="M5" s="1265">
        <f>Print_Mois!K193</f>
        <v>285908.70999999996</v>
      </c>
      <c r="N5" s="1266">
        <f>O5/M5</f>
        <v>0.69775352419308956</v>
      </c>
      <c r="O5" s="1267">
        <f>Print_Mois!L193</f>
        <v>199493.81</v>
      </c>
      <c r="Q5" s="1262" t="s">
        <v>3322</v>
      </c>
      <c r="R5" s="1268">
        <f>Print_Mois!J184</f>
        <v>1145</v>
      </c>
      <c r="S5" s="1263">
        <f>Print_Mois!K184/Print_Mois!J184</f>
        <v>223.89174672489082</v>
      </c>
      <c r="T5" s="1264">
        <f>+R5*S5</f>
        <v>256356.05</v>
      </c>
    </row>
    <row r="6" spans="2:20">
      <c r="B6" s="1284" t="s">
        <v>6</v>
      </c>
      <c r="C6" s="1285">
        <f>Print_Mois!G27</f>
        <v>96.068432516412045</v>
      </c>
      <c r="D6" s="1286">
        <f>Print_Mois!I27/Print_Mois!G27</f>
        <v>2818.0757540124559</v>
      </c>
      <c r="E6" s="1287">
        <f>+C6*D6</f>
        <v>270728.12040048261</v>
      </c>
      <c r="G6" s="1284" t="s">
        <v>6</v>
      </c>
      <c r="H6" s="1285">
        <f>Print_Mois!G107</f>
        <v>85.338900004361676</v>
      </c>
      <c r="I6" s="1286">
        <f>Print_Mois!I107/Print_Mois!G107</f>
        <v>1773.5940903255237</v>
      </c>
      <c r="J6" s="1287">
        <f>+H6*I6</f>
        <v>151356.56872261668</v>
      </c>
      <c r="L6" s="1284" t="s">
        <v>6</v>
      </c>
      <c r="M6" s="1288">
        <f>Print_Mois!H193</f>
        <v>321390.31660798751</v>
      </c>
      <c r="N6" s="1269">
        <f>O6/M6</f>
        <v>0.66537506780473388</v>
      </c>
      <c r="O6" s="1289">
        <f>Print_Mois!I193</f>
        <v>213845.10370482458</v>
      </c>
      <c r="Q6" s="1284" t="s">
        <v>6</v>
      </c>
      <c r="R6" s="1310">
        <f>Print_Mois!G184</f>
        <v>1265.029900856508</v>
      </c>
      <c r="S6" s="1286">
        <f>Print_Mois!H184/Print_Mois!G184</f>
        <v>226.16942481496309</v>
      </c>
      <c r="T6" s="1287">
        <f>+R6*S6</f>
        <v>286111.08505044621</v>
      </c>
    </row>
    <row r="7" spans="2:20" ht="15" thickBot="1">
      <c r="B7" s="1290" t="s">
        <v>3321</v>
      </c>
      <c r="C7" s="1291">
        <f>+C5-C6</f>
        <v>-50.068432516412045</v>
      </c>
      <c r="D7" s="1292">
        <f t="shared" ref="D7:E7" si="0">+D5-D6</f>
        <v>2484.1566372918905</v>
      </c>
      <c r="E7" s="1270">
        <f t="shared" si="0"/>
        <v>-26825.43040048267</v>
      </c>
      <c r="G7" s="1290" t="s">
        <v>3321</v>
      </c>
      <c r="H7" s="1291">
        <f>+H5-H6</f>
        <v>-30.338900004361676</v>
      </c>
      <c r="I7" s="1292">
        <f t="shared" ref="I7:J7" si="1">+I5-I6</f>
        <v>1321.4695460381122</v>
      </c>
      <c r="J7" s="1270">
        <f t="shared" si="1"/>
        <v>18871.931277383293</v>
      </c>
      <c r="L7" s="1290" t="s">
        <v>3321</v>
      </c>
      <c r="M7" s="1293">
        <f>+M5-M6</f>
        <v>-35481.606607987545</v>
      </c>
      <c r="N7" s="1294">
        <f t="shared" ref="N7:O7" si="2">+N5-N6</f>
        <v>3.2378456388355681E-2</v>
      </c>
      <c r="O7" s="1271">
        <f t="shared" si="2"/>
        <v>-14351.29370482458</v>
      </c>
      <c r="Q7" s="1290" t="s">
        <v>3321</v>
      </c>
      <c r="R7" s="1311">
        <f>+R5-R6</f>
        <v>-120.02990085650799</v>
      </c>
      <c r="S7" s="1292">
        <f t="shared" ref="S7:T7" si="3">+S5-S6</f>
        <v>-2.2776780900722713</v>
      </c>
      <c r="T7" s="1272">
        <f t="shared" si="3"/>
        <v>-29755.035050446226</v>
      </c>
    </row>
    <row r="8" spans="2:20" ht="15" thickTop="1">
      <c r="C8" s="1273">
        <f>+C7/C6</f>
        <v>-0.52117465857328837</v>
      </c>
      <c r="D8" s="1273">
        <f>+D7/D6</f>
        <v>0.88150811196429979</v>
      </c>
      <c r="E8" s="1287"/>
      <c r="H8" s="1273">
        <f>+H7/H6</f>
        <v>-0.35551079288356252</v>
      </c>
      <c r="I8" s="1273">
        <f>+I7/I6</f>
        <v>0.74508003451656235</v>
      </c>
      <c r="J8" s="1287"/>
      <c r="M8" s="1273">
        <f>+M7/M6</f>
        <v>-0.11040035985672171</v>
      </c>
      <c r="N8" s="1273">
        <f>+N7/N6</f>
        <v>4.8661962184999866E-2</v>
      </c>
      <c r="O8" s="1296"/>
      <c r="R8" s="1273">
        <f>+R7/R6</f>
        <v>-9.488305436514971E-2</v>
      </c>
      <c r="S8" s="1273">
        <f>+S7/S6</f>
        <v>-1.0070671983782588E-2</v>
      </c>
      <c r="T8" s="1287"/>
    </row>
    <row r="9" spans="2:20">
      <c r="B9" s="1283" t="s">
        <v>3323</v>
      </c>
      <c r="D9" s="1287"/>
      <c r="E9" s="1287"/>
      <c r="G9" s="1283" t="s">
        <v>3323</v>
      </c>
      <c r="H9" s="1295"/>
      <c r="I9" s="1287"/>
      <c r="J9" s="1287"/>
      <c r="L9" s="1283" t="s">
        <v>3323</v>
      </c>
      <c r="M9" s="1287"/>
      <c r="N9" s="1297"/>
      <c r="O9" s="1296"/>
      <c r="Q9" s="1283" t="s">
        <v>3323</v>
      </c>
      <c r="S9" s="1287"/>
      <c r="T9" s="1287"/>
    </row>
    <row r="10" spans="2:20">
      <c r="B10" s="1284" t="s">
        <v>3324</v>
      </c>
      <c r="C10" s="1280">
        <f>+C5</f>
        <v>46</v>
      </c>
      <c r="D10" s="1264">
        <f>+D5</f>
        <v>5302.2323913043465</v>
      </c>
      <c r="E10" s="1287">
        <f>+C10*D10</f>
        <v>243902.68999999994</v>
      </c>
      <c r="G10" s="1284" t="s">
        <v>3324</v>
      </c>
      <c r="H10" s="1280">
        <f>+H5</f>
        <v>55</v>
      </c>
      <c r="I10" s="1264">
        <f>+I5</f>
        <v>3095.0636363636359</v>
      </c>
      <c r="J10" s="1287">
        <f>+H10*I10</f>
        <v>170228.49999999997</v>
      </c>
      <c r="L10" s="1284" t="s">
        <v>3324</v>
      </c>
      <c r="M10" s="1274">
        <f>+M5</f>
        <v>285908.70999999996</v>
      </c>
      <c r="N10" s="1275">
        <f>+N5</f>
        <v>0.69775352419308956</v>
      </c>
      <c r="O10" s="1296">
        <f>+M10*N10</f>
        <v>199493.81</v>
      </c>
      <c r="Q10" s="1284" t="s">
        <v>3324</v>
      </c>
      <c r="R10" s="1276">
        <f>+R5</f>
        <v>1145</v>
      </c>
      <c r="S10" s="1264">
        <f>+S5</f>
        <v>223.89174672489082</v>
      </c>
      <c r="T10" s="1287">
        <f>+R10*S10</f>
        <v>256356.05</v>
      </c>
    </row>
    <row r="11" spans="2:20">
      <c r="B11" s="1284" t="s">
        <v>3325</v>
      </c>
      <c r="C11" s="1280">
        <f>+C5</f>
        <v>46</v>
      </c>
      <c r="D11" s="1287">
        <f>+D6</f>
        <v>2818.0757540124559</v>
      </c>
      <c r="E11" s="1287">
        <f>C11*D11</f>
        <v>129631.48468457298</v>
      </c>
      <c r="G11" s="1284" t="s">
        <v>3325</v>
      </c>
      <c r="H11" s="1280">
        <f>+H5</f>
        <v>55</v>
      </c>
      <c r="I11" s="1287">
        <f>+I6</f>
        <v>1773.5940903255237</v>
      </c>
      <c r="J11" s="1287">
        <f>H11*I11</f>
        <v>97547.674967903804</v>
      </c>
      <c r="L11" s="1284" t="s">
        <v>3325</v>
      </c>
      <c r="M11" s="1274">
        <f>+M5</f>
        <v>285908.70999999996</v>
      </c>
      <c r="N11" s="1298">
        <f>+N6</f>
        <v>0.66537506780473388</v>
      </c>
      <c r="O11" s="1296">
        <f>M11*N11</f>
        <v>190236.52730221397</v>
      </c>
      <c r="Q11" s="1284" t="s">
        <v>3325</v>
      </c>
      <c r="R11" s="1276">
        <f>+R5</f>
        <v>1145</v>
      </c>
      <c r="S11" s="1287">
        <f>+S6</f>
        <v>226.16942481496309</v>
      </c>
      <c r="T11" s="1287">
        <f>R11*S11</f>
        <v>258963.99141313275</v>
      </c>
    </row>
    <row r="12" spans="2:20" ht="15" thickBot="1">
      <c r="B12" s="1290" t="s">
        <v>3323</v>
      </c>
      <c r="C12" s="1291">
        <f>+C10-C11</f>
        <v>0</v>
      </c>
      <c r="D12" s="1292">
        <f t="shared" ref="D12:E12" si="4">+D10-D11</f>
        <v>2484.1566372918905</v>
      </c>
      <c r="E12" s="1270">
        <f t="shared" si="4"/>
        <v>114271.20531542697</v>
      </c>
      <c r="G12" s="1290" t="s">
        <v>3323</v>
      </c>
      <c r="H12" s="1291">
        <f>+H10-H11</f>
        <v>0</v>
      </c>
      <c r="I12" s="1292">
        <f t="shared" ref="I12:J12" si="5">+I10-I11</f>
        <v>1321.4695460381122</v>
      </c>
      <c r="J12" s="1270">
        <f t="shared" si="5"/>
        <v>72680.825032096167</v>
      </c>
      <c r="L12" s="1290" t="s">
        <v>3323</v>
      </c>
      <c r="M12" s="1293">
        <f>+M10-M11</f>
        <v>0</v>
      </c>
      <c r="N12" s="1294">
        <f t="shared" ref="N12:O12" si="6">+N10-N11</f>
        <v>3.2378456388355681E-2</v>
      </c>
      <c r="O12" s="1271">
        <f t="shared" si="6"/>
        <v>9257.2826977860241</v>
      </c>
      <c r="Q12" s="1290" t="s">
        <v>3323</v>
      </c>
      <c r="R12" s="1311">
        <f>+R10-R11</f>
        <v>0</v>
      </c>
      <c r="S12" s="1292">
        <f t="shared" ref="S12:T12" si="7">+S10-S11</f>
        <v>-2.2776780900722713</v>
      </c>
      <c r="T12" s="1272">
        <f t="shared" si="7"/>
        <v>-2607.9414131327649</v>
      </c>
    </row>
    <row r="13" spans="2:20" ht="15" thickTop="1">
      <c r="B13" s="1284"/>
      <c r="C13" s="1295"/>
      <c r="D13" s="1287"/>
      <c r="E13" s="1287"/>
      <c r="G13" s="1284"/>
      <c r="H13" s="1295"/>
      <c r="I13" s="1287"/>
      <c r="J13" s="1287"/>
      <c r="L13" s="1284"/>
      <c r="M13" s="1287"/>
      <c r="N13" s="1299"/>
      <c r="O13" s="1300"/>
      <c r="Q13" s="1284"/>
      <c r="S13" s="1287"/>
      <c r="T13" s="1287"/>
    </row>
    <row r="14" spans="2:20">
      <c r="B14" s="1283" t="s">
        <v>3326</v>
      </c>
      <c r="C14" s="1295"/>
      <c r="D14" s="1287"/>
      <c r="E14" s="1287"/>
      <c r="G14" s="1283" t="s">
        <v>3326</v>
      </c>
      <c r="H14" s="1295"/>
      <c r="I14" s="1287"/>
      <c r="J14" s="1287"/>
      <c r="L14" s="1283" t="s">
        <v>3326</v>
      </c>
      <c r="M14" s="1287"/>
      <c r="N14" s="1298"/>
      <c r="O14" s="1296"/>
      <c r="Q14" s="1283" t="s">
        <v>3326</v>
      </c>
      <c r="S14" s="1287"/>
      <c r="T14" s="1287"/>
    </row>
    <row r="15" spans="2:20">
      <c r="B15" s="1284" t="s">
        <v>3327</v>
      </c>
      <c r="C15" s="1280">
        <f>+C5</f>
        <v>46</v>
      </c>
      <c r="D15" s="1287">
        <f>+D6</f>
        <v>2818.0757540124559</v>
      </c>
      <c r="E15" s="1287">
        <f>+C15*D15</f>
        <v>129631.48468457298</v>
      </c>
      <c r="G15" s="1284" t="s">
        <v>3327</v>
      </c>
      <c r="H15" s="1280">
        <f>+H5</f>
        <v>55</v>
      </c>
      <c r="I15" s="1287">
        <f>+I6</f>
        <v>1773.5940903255237</v>
      </c>
      <c r="J15" s="1287">
        <f>+H15*I15</f>
        <v>97547.674967903804</v>
      </c>
      <c r="L15" s="1284" t="s">
        <v>3327</v>
      </c>
      <c r="M15" s="1274">
        <f>+M5</f>
        <v>285908.70999999996</v>
      </c>
      <c r="N15" s="1298">
        <f>+N6</f>
        <v>0.66537506780473388</v>
      </c>
      <c r="O15" s="1296">
        <f>+M15*N15</f>
        <v>190236.52730221397</v>
      </c>
      <c r="Q15" s="1284" t="s">
        <v>3327</v>
      </c>
      <c r="R15" s="1276">
        <f>+R5</f>
        <v>1145</v>
      </c>
      <c r="S15" s="1287">
        <f>+S6</f>
        <v>226.16942481496309</v>
      </c>
      <c r="T15" s="1287">
        <f>+R15*S15</f>
        <v>258963.99141313275</v>
      </c>
    </row>
    <row r="16" spans="2:20">
      <c r="B16" s="1284" t="s">
        <v>3328</v>
      </c>
      <c r="C16" s="1301">
        <f>+C6</f>
        <v>96.068432516412045</v>
      </c>
      <c r="D16" s="1287">
        <f>+D6</f>
        <v>2818.0757540124559</v>
      </c>
      <c r="E16" s="1287">
        <f>C16*D16</f>
        <v>270728.12040048261</v>
      </c>
      <c r="G16" s="1284" t="s">
        <v>3328</v>
      </c>
      <c r="H16" s="1301">
        <f>+H6</f>
        <v>85.338900004361676</v>
      </c>
      <c r="I16" s="1287">
        <f>+I6</f>
        <v>1773.5940903255237</v>
      </c>
      <c r="J16" s="1287">
        <f>H16*I16</f>
        <v>151356.56872261668</v>
      </c>
      <c r="L16" s="1284" t="s">
        <v>3328</v>
      </c>
      <c r="M16" s="1302">
        <f>+M6</f>
        <v>321390.31660798751</v>
      </c>
      <c r="N16" s="1298">
        <f>+N6</f>
        <v>0.66537506780473388</v>
      </c>
      <c r="O16" s="1296">
        <f>M16*N16</f>
        <v>213845.10370482458</v>
      </c>
      <c r="Q16" s="1284" t="s">
        <v>3328</v>
      </c>
      <c r="R16" s="1312">
        <f>+R6</f>
        <v>1265.029900856508</v>
      </c>
      <c r="S16" s="1287">
        <f>+S6</f>
        <v>226.16942481496309</v>
      </c>
      <c r="T16" s="1287">
        <f>R16*S16</f>
        <v>286111.08505044621</v>
      </c>
    </row>
    <row r="17" spans="2:20" ht="15" thickBot="1">
      <c r="B17" s="1290" t="s">
        <v>3326</v>
      </c>
      <c r="C17" s="1291">
        <f>+C15-C16</f>
        <v>-50.068432516412045</v>
      </c>
      <c r="D17" s="1292">
        <f t="shared" ref="D17:E17" si="8">+D15-D16</f>
        <v>0</v>
      </c>
      <c r="E17" s="1270">
        <f t="shared" si="8"/>
        <v>-141096.63571590965</v>
      </c>
      <c r="G17" s="1290" t="s">
        <v>3326</v>
      </c>
      <c r="H17" s="1291">
        <f>+H15-H16</f>
        <v>-30.338900004361676</v>
      </c>
      <c r="I17" s="1292">
        <f t="shared" ref="I17:J17" si="9">+I15-I16</f>
        <v>0</v>
      </c>
      <c r="J17" s="1270">
        <f t="shared" si="9"/>
        <v>-53808.893754712873</v>
      </c>
      <c r="L17" s="1290" t="s">
        <v>3326</v>
      </c>
      <c r="M17" s="1293">
        <f>+M15-M16</f>
        <v>-35481.606607987545</v>
      </c>
      <c r="N17" s="1294">
        <f t="shared" ref="N17:O17" si="10">+N15-N16</f>
        <v>0</v>
      </c>
      <c r="O17" s="1271">
        <f t="shared" si="10"/>
        <v>-23608.576402610604</v>
      </c>
      <c r="Q17" s="1290" t="s">
        <v>3326</v>
      </c>
      <c r="R17" s="1311">
        <f>+R15-R16</f>
        <v>-120.02990085650799</v>
      </c>
      <c r="S17" s="1292">
        <f t="shared" ref="S17:T17" si="11">+S15-S16</f>
        <v>0</v>
      </c>
      <c r="T17" s="1272">
        <f t="shared" si="11"/>
        <v>-27147.093637313461</v>
      </c>
    </row>
    <row r="18" spans="2:20" ht="15" thickTop="1">
      <c r="C18" s="1295"/>
      <c r="D18" s="1287"/>
      <c r="E18" s="1277">
        <f>+E7-E12-E17</f>
        <v>0</v>
      </c>
      <c r="H18" s="1295"/>
      <c r="I18" s="1287"/>
      <c r="J18" s="1277">
        <f>+J7-J12-J17</f>
        <v>0</v>
      </c>
      <c r="M18" s="1287"/>
      <c r="N18" s="1298"/>
      <c r="O18" s="1278">
        <f>+O7-O12-O17</f>
        <v>0</v>
      </c>
      <c r="S18" s="1287"/>
      <c r="T18" s="1277">
        <f>+T7-T12-T17</f>
        <v>0</v>
      </c>
    </row>
    <row r="19" spans="2:20">
      <c r="B19" s="1303" t="s">
        <v>3329</v>
      </c>
      <c r="C19" s="1295"/>
      <c r="D19" s="1287"/>
      <c r="E19" s="1287"/>
      <c r="G19" s="1303" t="s">
        <v>3329</v>
      </c>
      <c r="H19" s="1295"/>
      <c r="I19" s="1287"/>
      <c r="J19" s="1287"/>
      <c r="L19" s="1303" t="s">
        <v>3329</v>
      </c>
      <c r="M19" s="1287"/>
      <c r="N19" s="1298"/>
      <c r="O19" s="1296"/>
      <c r="Q19" s="1303" t="s">
        <v>3329</v>
      </c>
      <c r="S19" s="1287"/>
      <c r="T19" s="1287"/>
    </row>
    <row r="20" spans="2:20">
      <c r="B20" s="1284" t="s">
        <v>3330</v>
      </c>
      <c r="C20" s="1301">
        <f>MAX(C5:C6)</f>
        <v>96.068432516412045</v>
      </c>
      <c r="D20" s="1287">
        <f>MAX(D5:D6)</f>
        <v>5302.2323913043465</v>
      </c>
      <c r="E20" s="1287">
        <f t="shared" ref="E20:E22" si="12">+C20*D20</f>
        <v>509377.15467035567</v>
      </c>
      <c r="G20" s="1284" t="s">
        <v>3330</v>
      </c>
      <c r="H20" s="1301">
        <f>MAX(H5:H6)</f>
        <v>85.338900004361676</v>
      </c>
      <c r="I20" s="1287">
        <f>MAX(I5:I6)</f>
        <v>3095.0636363636359</v>
      </c>
      <c r="J20" s="1287">
        <f t="shared" ref="J20" si="13">+H20*I20</f>
        <v>264129.32617077237</v>
      </c>
      <c r="L20" s="1284" t="s">
        <v>3330</v>
      </c>
      <c r="M20" s="1302">
        <f>MAX(M5:M6)</f>
        <v>321390.31660798751</v>
      </c>
      <c r="N20" s="1298">
        <f>MAX(N5:N6)</f>
        <v>0.69775352419308956</v>
      </c>
      <c r="O20" s="1296">
        <f t="shared" ref="O20" si="14">+M20*N20</f>
        <v>224251.22605475612</v>
      </c>
      <c r="Q20" s="1284" t="s">
        <v>3330</v>
      </c>
      <c r="R20" s="1312">
        <f>MAX(R5:R6)</f>
        <v>1265.029900856508</v>
      </c>
      <c r="S20" s="1287">
        <f>MAX(S5:S6)</f>
        <v>226.16942481496309</v>
      </c>
      <c r="T20" s="1287">
        <f t="shared" ref="T20" si="15">+R20*S20</f>
        <v>286111.08505044621</v>
      </c>
    </row>
    <row r="21" spans="2:20">
      <c r="B21" s="1290" t="s">
        <v>3331</v>
      </c>
      <c r="C21" s="1301"/>
      <c r="D21" s="1287"/>
      <c r="E21" s="1304">
        <f>AVERAGE(E20,E22)</f>
        <v>319504.31967746431</v>
      </c>
      <c r="G21" s="1290" t="s">
        <v>3331</v>
      </c>
      <c r="H21" s="1301"/>
      <c r="I21" s="1287"/>
      <c r="J21" s="1304">
        <f>AVERAGE(J20,J22)</f>
        <v>180838.5005693381</v>
      </c>
      <c r="L21" s="1290" t="s">
        <v>3331</v>
      </c>
      <c r="M21" s="1302"/>
      <c r="N21" s="1298"/>
      <c r="O21" s="1305">
        <f>AVERAGE(O20,O22)</f>
        <v>207243.87667848504</v>
      </c>
      <c r="Q21" s="1290" t="s">
        <v>3331</v>
      </c>
      <c r="R21" s="1312"/>
      <c r="S21" s="1287"/>
      <c r="T21" s="1304">
        <f>AVERAGE(T20,T22)</f>
        <v>271233.56752522313</v>
      </c>
    </row>
    <row r="22" spans="2:20">
      <c r="B22" s="1284" t="s">
        <v>3332</v>
      </c>
      <c r="C22" s="1301">
        <f>MIN(C5:C6)</f>
        <v>46</v>
      </c>
      <c r="D22" s="1287">
        <f>MIN(D5:D6)</f>
        <v>2818.0757540124559</v>
      </c>
      <c r="E22" s="1287">
        <f t="shared" si="12"/>
        <v>129631.48468457298</v>
      </c>
      <c r="G22" s="1284" t="s">
        <v>3332</v>
      </c>
      <c r="H22" s="1301">
        <f>MIN(H5:H6)</f>
        <v>55</v>
      </c>
      <c r="I22" s="1287">
        <f>MIN(I5:I6)</f>
        <v>1773.5940903255237</v>
      </c>
      <c r="J22" s="1287">
        <f t="shared" ref="J22" si="16">+H22*I22</f>
        <v>97547.674967903804</v>
      </c>
      <c r="L22" s="1284" t="s">
        <v>3332</v>
      </c>
      <c r="M22" s="1302">
        <f>MIN(M5:M6)</f>
        <v>285908.70999999996</v>
      </c>
      <c r="N22" s="1298">
        <f>MIN(N5:N6)</f>
        <v>0.66537506780473388</v>
      </c>
      <c r="O22" s="1296">
        <f t="shared" ref="O22" si="17">+M22*N22</f>
        <v>190236.52730221397</v>
      </c>
      <c r="Q22" s="1284" t="s">
        <v>3332</v>
      </c>
      <c r="R22" s="1312">
        <f>MIN(R5:R6)</f>
        <v>1145</v>
      </c>
      <c r="S22" s="1287">
        <f>MIN(S5:S6)</f>
        <v>223.89174672489082</v>
      </c>
      <c r="T22" s="1287">
        <f t="shared" ref="T22" si="18">+R22*S22</f>
        <v>256356.05</v>
      </c>
    </row>
    <row r="23" spans="2:20" ht="15" thickBot="1">
      <c r="B23" s="1290" t="s">
        <v>3333</v>
      </c>
      <c r="C23" s="1291">
        <f>+C20-C22</f>
        <v>50.068432516412045</v>
      </c>
      <c r="D23" s="1292">
        <f t="shared" ref="D23:E23" si="19">+D20-D22</f>
        <v>2484.1566372918905</v>
      </c>
      <c r="E23" s="1292">
        <f t="shared" si="19"/>
        <v>379745.6699857827</v>
      </c>
      <c r="G23" s="1290" t="s">
        <v>3333</v>
      </c>
      <c r="H23" s="1291">
        <f>+H20-H22</f>
        <v>30.338900004361676</v>
      </c>
      <c r="I23" s="1292">
        <f t="shared" ref="I23:J23" si="20">+I20-I22</f>
        <v>1321.4695460381122</v>
      </c>
      <c r="J23" s="1292">
        <f t="shared" si="20"/>
        <v>166581.65120286855</v>
      </c>
      <c r="L23" s="1290" t="s">
        <v>3333</v>
      </c>
      <c r="M23" s="1293">
        <f>+M20-M22</f>
        <v>35481.606607987545</v>
      </c>
      <c r="N23" s="1294">
        <f t="shared" ref="N23:O23" si="21">+N20-N22</f>
        <v>3.2378456388355681E-2</v>
      </c>
      <c r="O23" s="1306">
        <f t="shared" si="21"/>
        <v>34014.698752542143</v>
      </c>
      <c r="Q23" s="1290" t="s">
        <v>3333</v>
      </c>
      <c r="R23" s="1311">
        <f>+R20-R22</f>
        <v>120.02990085650799</v>
      </c>
      <c r="S23" s="1292">
        <f t="shared" ref="S23:T23" si="22">+S20-S22</f>
        <v>2.2776780900722713</v>
      </c>
      <c r="T23" s="1292">
        <f t="shared" si="22"/>
        <v>29755.035050446226</v>
      </c>
    </row>
    <row r="24" spans="2:20" ht="15" thickTop="1"/>
    <row r="25" spans="2:20">
      <c r="C25" s="1307" t="s">
        <v>3334</v>
      </c>
      <c r="E25" s="1308">
        <f>+E5/E20</f>
        <v>0.47882534142671163</v>
      </c>
      <c r="H25" s="1307" t="s">
        <v>3334</v>
      </c>
      <c r="J25" s="1308">
        <f>+J5/J20</f>
        <v>0.64448920711643742</v>
      </c>
      <c r="M25" s="1307" t="s">
        <v>3334</v>
      </c>
      <c r="O25" s="1308">
        <f>+O5/O20</f>
        <v>0.8895996401432783</v>
      </c>
      <c r="Q25" s="1308"/>
      <c r="R25" s="1307" t="s">
        <v>3334</v>
      </c>
      <c r="T25" s="1308">
        <f>+T5/T20</f>
        <v>0.89600180976839849</v>
      </c>
    </row>
    <row r="26" spans="2:20">
      <c r="C26" s="1307" t="s">
        <v>3335</v>
      </c>
      <c r="E26" s="1298">
        <f>+E5/E21</f>
        <v>0.76337838013024895</v>
      </c>
      <c r="H26" s="1307" t="s">
        <v>3335</v>
      </c>
      <c r="J26" s="1298">
        <f>+J5/J21</f>
        <v>0.94132886229461976</v>
      </c>
      <c r="M26" s="1307" t="s">
        <v>3335</v>
      </c>
      <c r="O26" s="1298">
        <f>+O5/O21</f>
        <v>0.96260412224140945</v>
      </c>
      <c r="Q26" s="1298"/>
      <c r="R26" s="1307" t="s">
        <v>3335</v>
      </c>
      <c r="T26" s="1298">
        <f>+T5/T21</f>
        <v>0.94514868620072401</v>
      </c>
    </row>
    <row r="27" spans="2:20">
      <c r="C27" s="1307" t="s">
        <v>3336</v>
      </c>
      <c r="E27" s="1308">
        <f>+E5/E22</f>
        <v>1.8815081119642998</v>
      </c>
      <c r="H27" s="1307" t="s">
        <v>3336</v>
      </c>
      <c r="J27" s="1308">
        <f>+J5/J22</f>
        <v>1.7450800345165622</v>
      </c>
      <c r="M27" s="1307" t="s">
        <v>3336</v>
      </c>
      <c r="O27" s="1308">
        <f>+O5/O22</f>
        <v>1.0486619621849997</v>
      </c>
      <c r="Q27" s="1308"/>
      <c r="R27" s="1307" t="s">
        <v>3336</v>
      </c>
      <c r="T27" s="1308">
        <f>+T5/T22</f>
        <v>1</v>
      </c>
    </row>
    <row r="28" spans="2:20" ht="7.5" customHeight="1"/>
    <row r="29" spans="2:20">
      <c r="C29" s="1307" t="s">
        <v>3337</v>
      </c>
      <c r="E29" s="1308">
        <f>+E27-E25</f>
        <v>1.4026827705375882</v>
      </c>
      <c r="F29" s="1309"/>
      <c r="G29" s="1309"/>
      <c r="H29" s="1307" t="s">
        <v>3337</v>
      </c>
      <c r="J29" s="1308">
        <f>+J27-J25</f>
        <v>1.1005908274001248</v>
      </c>
      <c r="M29" s="1307" t="s">
        <v>3337</v>
      </c>
      <c r="O29" s="1308">
        <f>+O27-O25</f>
        <v>0.15906232204172144</v>
      </c>
      <c r="Q29" s="1309"/>
      <c r="R29" s="1307" t="s">
        <v>3337</v>
      </c>
      <c r="T29" s="1308">
        <f>+T27-T25</f>
        <v>0.10399819023160151</v>
      </c>
    </row>
    <row r="31" spans="2:20">
      <c r="B31" s="1406" t="s">
        <v>3448</v>
      </c>
      <c r="C31" s="1407"/>
      <c r="D31" s="1408"/>
      <c r="G31" s="1406" t="s">
        <v>3448</v>
      </c>
      <c r="H31" s="1407"/>
      <c r="I31" s="1408"/>
    </row>
    <row r="32" spans="2:20">
      <c r="B32" s="1400" t="s">
        <v>3447</v>
      </c>
      <c r="C32" s="1402">
        <f>+C17</f>
        <v>-50.068432516412045</v>
      </c>
      <c r="D32" s="1287">
        <f>+E32/C32</f>
        <v>940.10390190775956</v>
      </c>
      <c r="E32" s="1287">
        <f>+Print_Mois!N78</f>
        <v>-47069.528771084311</v>
      </c>
      <c r="G32" s="1399"/>
      <c r="H32" s="1295"/>
      <c r="I32" s="1287"/>
      <c r="J32" s="1287"/>
    </row>
    <row r="33" spans="2:10">
      <c r="B33" s="1401" t="s">
        <v>3449</v>
      </c>
      <c r="C33" s="1402">
        <f>+C17</f>
        <v>-50.068432516412045</v>
      </c>
      <c r="D33" s="1287">
        <f>+E33/C33</f>
        <v>342.49472681259851</v>
      </c>
      <c r="E33" s="1287">
        <f>+Print_Mois!N82</f>
        <v>-17148.174116643568</v>
      </c>
      <c r="G33" s="1401" t="s">
        <v>3449</v>
      </c>
      <c r="H33" s="1402">
        <f>+H17</f>
        <v>-30.338900004361676</v>
      </c>
      <c r="I33" s="1287">
        <f>+J33/H33</f>
        <v>171.99425503575233</v>
      </c>
      <c r="J33" s="1287">
        <f>+Print_Mois!N158</f>
        <v>-5218.1165048543699</v>
      </c>
    </row>
    <row r="34" spans="2:10" ht="15" thickBot="1">
      <c r="E34" s="1292">
        <f>SUM(E32:E33)</f>
        <v>-64217.702887727879</v>
      </c>
      <c r="J34" s="1292">
        <f>SUM(J32:J33)</f>
        <v>-5218.1165048543699</v>
      </c>
    </row>
    <row r="35" spans="2:10" ht="15" thickTop="1">
      <c r="G35" s="1399"/>
      <c r="H35" s="1295"/>
      <c r="I35" s="1287"/>
      <c r="J35" s="1287"/>
    </row>
  </sheetData>
  <pageMargins left="0.23622047244094491" right="0.23622047244094491" top="0.39370078740157483" bottom="0.47244094488188981" header="0.31496062992125984" footer="0.31496062992125984"/>
  <pageSetup scale="59" fitToHeight="0" orientation="landscape" r:id="rId1"/>
  <headerFooter>
    <oddFooter>&amp;L&amp;9&amp;F // &amp;A</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F1D4F-A6CE-46E0-9123-1444239D0D41}">
  <dimension ref="A2:N21"/>
  <sheetViews>
    <sheetView workbookViewId="0"/>
  </sheetViews>
  <sheetFormatPr baseColWidth="10" defaultColWidth="11" defaultRowHeight="14.4"/>
  <cols>
    <col min="1" max="1" width="19.8984375" style="1353" bestFit="1" customWidth="1"/>
    <col min="2" max="4" width="11" style="1353"/>
    <col min="5" max="5" width="2" style="1353" customWidth="1"/>
    <col min="6" max="8" width="11" style="1353"/>
    <col min="9" max="9" width="2" style="1353" customWidth="1"/>
    <col min="10" max="10" width="9.59765625" style="1353" customWidth="1"/>
    <col min="11" max="11" width="2" style="1353" customWidth="1"/>
    <col min="12" max="12" width="9.59765625" style="1353" customWidth="1"/>
    <col min="13" max="13" width="2" style="1353" customWidth="1"/>
    <col min="14" max="14" width="9.59765625" style="1353" customWidth="1"/>
    <col min="15" max="16384" width="11" style="1353"/>
  </cols>
  <sheetData>
    <row r="2" spans="1:14">
      <c r="A2" s="1348" t="s">
        <v>175</v>
      </c>
      <c r="B2" s="1350" t="s">
        <v>3424</v>
      </c>
      <c r="C2" s="1351"/>
      <c r="D2" s="1352"/>
      <c r="F2" s="1350" t="s">
        <v>3425</v>
      </c>
      <c r="G2" s="1351"/>
      <c r="H2" s="1352"/>
      <c r="J2" s="1354" t="s">
        <v>3321</v>
      </c>
      <c r="L2" s="1354" t="s">
        <v>3426</v>
      </c>
      <c r="N2" s="1354" t="s">
        <v>3427</v>
      </c>
    </row>
    <row r="3" spans="1:14">
      <c r="B3" s="1355" t="s">
        <v>157</v>
      </c>
      <c r="C3" s="1355" t="s">
        <v>176</v>
      </c>
      <c r="D3" s="1355" t="s">
        <v>85</v>
      </c>
      <c r="F3" s="1355" t="s">
        <v>157</v>
      </c>
      <c r="G3" s="1355" t="s">
        <v>176</v>
      </c>
      <c r="H3" s="1355" t="s">
        <v>85</v>
      </c>
      <c r="J3" s="1356"/>
      <c r="L3" s="1356"/>
      <c r="N3" s="1356"/>
    </row>
    <row r="4" spans="1:14">
      <c r="A4" s="1353" t="s">
        <v>177</v>
      </c>
      <c r="B4" s="1357">
        <f>+Print_Mois!J294</f>
        <v>83928.41</v>
      </c>
      <c r="C4" s="1349">
        <f>D4/B4</f>
        <v>0.35822696986634206</v>
      </c>
      <c r="D4" s="1357">
        <f>+Print_Mois!L294</f>
        <v>30065.420000000002</v>
      </c>
      <c r="F4" s="1357">
        <f>+Print_Mois!G294</f>
        <v>79638.512157463789</v>
      </c>
      <c r="G4" s="1349">
        <f>H4/F4</f>
        <v>0.35811007851031496</v>
      </c>
      <c r="H4" s="1357">
        <f>+Print_Mois!I294</f>
        <v>28519.353841154028</v>
      </c>
      <c r="I4" s="1358"/>
      <c r="J4" s="1359">
        <f t="shared" ref="J4:J11" si="0">+D4-H4</f>
        <v>1546.0661588459734</v>
      </c>
      <c r="L4" s="1359">
        <f t="shared" ref="L4:L9" si="1">(B4-F4)*G4</f>
        <v>1536.2556531918747</v>
      </c>
      <c r="N4" s="1359">
        <f t="shared" ref="N4:N9" si="2">B4*(C4-G4)</f>
        <v>9.8105056540988009</v>
      </c>
    </row>
    <row r="5" spans="1:14">
      <c r="A5" s="1353" t="s">
        <v>178</v>
      </c>
      <c r="B5" s="1357">
        <f>+Print_Mois!J295</f>
        <v>67001.09</v>
      </c>
      <c r="C5" s="1349">
        <f t="shared" ref="C5:C9" si="3">D5/B5</f>
        <v>0.24541615666252586</v>
      </c>
      <c r="D5" s="1357">
        <f>+Print_Mois!L295</f>
        <v>16443.149999999994</v>
      </c>
      <c r="F5" s="1357">
        <f>+Print_Mois!G295</f>
        <v>39425.477605529792</v>
      </c>
      <c r="G5" s="1349">
        <f t="shared" ref="G5:G9" si="4">H5/F5</f>
        <v>0.2571723304036081</v>
      </c>
      <c r="H5" s="1357">
        <f>+Print_Mois!I295</f>
        <v>10139.14195308936</v>
      </c>
      <c r="I5" s="1358"/>
      <c r="J5" s="1359">
        <f t="shared" si="0"/>
        <v>6304.0080469106342</v>
      </c>
      <c r="L5" s="1359">
        <f t="shared" si="1"/>
        <v>7091.6845017925225</v>
      </c>
      <c r="N5" s="1359">
        <f t="shared" si="2"/>
        <v>-787.67645488188725</v>
      </c>
    </row>
    <row r="6" spans="1:14">
      <c r="A6" s="1353" t="s">
        <v>179</v>
      </c>
      <c r="B6" s="1357">
        <f>+Print_Mois!J296</f>
        <v>33824.31</v>
      </c>
      <c r="C6" s="1349">
        <f t="shared" si="3"/>
        <v>0.2547091130609907</v>
      </c>
      <c r="D6" s="1357">
        <f>+Print_Mois!L296</f>
        <v>8615.3599999999969</v>
      </c>
      <c r="F6" s="1357">
        <f>+Print_Mois!G296</f>
        <v>92243.89391869164</v>
      </c>
      <c r="G6" s="1349">
        <f t="shared" si="4"/>
        <v>0.24177651145507992</v>
      </c>
      <c r="H6" s="1357">
        <f>+Print_Mois!I296</f>
        <v>22302.406874693726</v>
      </c>
      <c r="I6" s="1358"/>
      <c r="J6" s="1359">
        <f t="shared" si="0"/>
        <v>-13687.046874693729</v>
      </c>
      <c r="L6" s="1359">
        <f t="shared" si="1"/>
        <v>-14124.483200518553</v>
      </c>
      <c r="N6" s="1359">
        <f t="shared" si="2"/>
        <v>437.43632582482411</v>
      </c>
    </row>
    <row r="7" spans="1:14">
      <c r="A7" s="1353" t="s">
        <v>180</v>
      </c>
      <c r="B7" s="1357">
        <f>+Print_Mois!J297</f>
        <v>49568.800000000003</v>
      </c>
      <c r="C7" s="1349">
        <f t="shared" si="3"/>
        <v>0.31772082438953536</v>
      </c>
      <c r="D7" s="1357">
        <f>+Print_Mois!L297</f>
        <v>15749.04</v>
      </c>
      <c r="F7" s="1357">
        <f>+Print_Mois!G297</f>
        <v>58194.152808607272</v>
      </c>
      <c r="G7" s="1349">
        <f t="shared" si="4"/>
        <v>0.32393223852119107</v>
      </c>
      <c r="H7" s="1357">
        <f>+Print_Mois!I297</f>
        <v>18850.962188136411</v>
      </c>
      <c r="I7" s="1358"/>
      <c r="J7" s="1359">
        <f t="shared" si="0"/>
        <v>-3101.9221881364101</v>
      </c>
      <c r="L7" s="1359">
        <f t="shared" si="1"/>
        <v>-2794.0298433271951</v>
      </c>
      <c r="N7" s="1359">
        <f t="shared" si="2"/>
        <v>-307.89234480921573</v>
      </c>
    </row>
    <row r="8" spans="1:14">
      <c r="A8" s="1353" t="s">
        <v>181</v>
      </c>
      <c r="B8" s="1357">
        <f>+Print_Mois!J298</f>
        <v>18487.63</v>
      </c>
      <c r="C8" s="1349">
        <f t="shared" si="3"/>
        <v>0.25925010398845072</v>
      </c>
      <c r="D8" s="1357">
        <f>+Print_Mois!L298</f>
        <v>4792.9200000000019</v>
      </c>
      <c r="F8" s="1357">
        <f>+Print_Mois!G298</f>
        <v>17935.903365990547</v>
      </c>
      <c r="G8" s="1349">
        <f t="shared" si="4"/>
        <v>0.28113730707120016</v>
      </c>
      <c r="H8" s="1357">
        <f>+Print_Mois!I298</f>
        <v>5042.4515722038568</v>
      </c>
      <c r="I8" s="1358"/>
      <c r="J8" s="1359">
        <f t="shared" si="0"/>
        <v>-249.53157220385492</v>
      </c>
      <c r="L8" s="1359">
        <f t="shared" si="1"/>
        <v>155.1109401248755</v>
      </c>
      <c r="N8" s="1359">
        <f t="shared" si="2"/>
        <v>-404.64251232873107</v>
      </c>
    </row>
    <row r="9" spans="1:14">
      <c r="A9" s="1353" t="s">
        <v>182</v>
      </c>
      <c r="B9" s="1357">
        <f>+Print_Mois!J299</f>
        <v>77684.11</v>
      </c>
      <c r="C9" s="1349">
        <f t="shared" si="3"/>
        <v>0.2043779609498004</v>
      </c>
      <c r="D9" s="1357">
        <f>+Print_Mois!L299</f>
        <v>15876.919999999998</v>
      </c>
      <c r="F9" s="1357">
        <f>+Print_Mois!G299</f>
        <v>47625.131397946105</v>
      </c>
      <c r="G9" s="1349">
        <f t="shared" si="4"/>
        <v>0.18194830719212418</v>
      </c>
      <c r="H9" s="1357">
        <f>+Print_Mois!I299</f>
        <v>8665.3120376587758</v>
      </c>
      <c r="I9" s="1358"/>
      <c r="J9" s="1359">
        <f t="shared" si="0"/>
        <v>7211.6079623412224</v>
      </c>
      <c r="L9" s="1359">
        <f t="shared" si="1"/>
        <v>5469.18027256799</v>
      </c>
      <c r="N9" s="1359">
        <f t="shared" si="2"/>
        <v>1742.4276897732329</v>
      </c>
    </row>
    <row r="10" spans="1:14">
      <c r="A10" s="1353" t="s">
        <v>183</v>
      </c>
      <c r="B10" s="1357"/>
      <c r="C10" s="1349"/>
      <c r="D10" s="1357">
        <f>+Print_Mois!L301</f>
        <v>8774.8799999999992</v>
      </c>
      <c r="F10" s="1357"/>
      <c r="G10" s="1349"/>
      <c r="H10" s="1357">
        <f>+Print_Mois!I301</f>
        <v>5552.7700700431051</v>
      </c>
      <c r="I10" s="1358"/>
      <c r="J10" s="1359">
        <f t="shared" si="0"/>
        <v>3222.1099299568941</v>
      </c>
      <c r="L10" s="1359">
        <f>(H10/(H4+H5+H6+H7+H8+H9)*(D4+D5+D6+D7+D8+D9))-D10</f>
        <v>-3339.4844169715907</v>
      </c>
      <c r="N10" s="1359">
        <f>+J10-L10</f>
        <v>6561.5943469284848</v>
      </c>
    </row>
    <row r="11" spans="1:14">
      <c r="A11" s="1353" t="s">
        <v>184</v>
      </c>
      <c r="B11" s="1357"/>
      <c r="C11" s="1349"/>
      <c r="D11" s="1357"/>
      <c r="F11" s="1357"/>
      <c r="G11" s="1349"/>
      <c r="H11" s="1357"/>
      <c r="I11" s="1358"/>
      <c r="J11" s="1359">
        <f t="shared" si="0"/>
        <v>0</v>
      </c>
      <c r="L11" s="1359">
        <f>(B11-F11)*G11</f>
        <v>0</v>
      </c>
      <c r="N11" s="1359">
        <f t="shared" ref="N11" si="5">+J11-L11</f>
        <v>0</v>
      </c>
    </row>
    <row r="12" spans="1:14">
      <c r="A12" s="1353" t="s">
        <v>185</v>
      </c>
      <c r="B12" s="1360">
        <f>SUM(B4:B11)</f>
        <v>330494.34999999998</v>
      </c>
      <c r="C12" s="1361">
        <f>+D12/B12</f>
        <v>0.30353829044278674</v>
      </c>
      <c r="D12" s="1360">
        <f>SUM(D4:D11)</f>
        <v>100317.69</v>
      </c>
      <c r="F12" s="1360">
        <f>SUM(F4:F11)</f>
        <v>335063.07125422917</v>
      </c>
      <c r="G12" s="1361">
        <f>+H12/F12</f>
        <v>0.29568283417842867</v>
      </c>
      <c r="H12" s="1360">
        <f>SUM(H4:H11)</f>
        <v>99072.398536979264</v>
      </c>
      <c r="J12" s="1360">
        <f>SUM(J4:J11)</f>
        <v>1245.2914630207288</v>
      </c>
      <c r="L12" s="1360">
        <f>SUM(L4:L11)</f>
        <v>-6005.7660931400751</v>
      </c>
      <c r="N12" s="1360">
        <f>SUM(N4:N11)</f>
        <v>7251.0575561608066</v>
      </c>
    </row>
    <row r="13" spans="1:14">
      <c r="B13" s="1359"/>
      <c r="C13" s="1362"/>
      <c r="D13" s="1359"/>
      <c r="F13" s="1359"/>
      <c r="G13" s="1362"/>
      <c r="H13" s="1359"/>
      <c r="J13" s="1359"/>
      <c r="L13" s="1359"/>
      <c r="N13" s="1359"/>
    </row>
    <row r="14" spans="1:14">
      <c r="A14" s="1353" t="s">
        <v>186</v>
      </c>
      <c r="B14" s="1357">
        <f>+Print_Mois!J306</f>
        <v>38052.43</v>
      </c>
      <c r="C14" s="1349">
        <f t="shared" ref="C14:C15" si="6">D14/B14</f>
        <v>0.19238298316296751</v>
      </c>
      <c r="D14" s="1357">
        <f>+Print_Mois!L306</f>
        <v>7320.6399999999994</v>
      </c>
      <c r="F14" s="1357">
        <f>+Print_Mois!G306</f>
        <v>40235.745737282341</v>
      </c>
      <c r="G14" s="1349">
        <f t="shared" ref="G14:G15" si="7">H14/F14</f>
        <v>0.1816444838198383</v>
      </c>
      <c r="H14" s="1357">
        <f>+Print_Mois!I306</f>
        <v>7308.6012655549102</v>
      </c>
      <c r="I14" s="1358"/>
      <c r="J14" s="1359">
        <f>+D14-H14</f>
        <v>12.038734445089176</v>
      </c>
      <c r="L14" s="1359">
        <f>(B14-F14)*G14</f>
        <v>-396.58726011438046</v>
      </c>
      <c r="N14" s="1359">
        <f>B14*(C14-G14)</f>
        <v>408.62599455947003</v>
      </c>
    </row>
    <row r="15" spans="1:14">
      <c r="A15" s="1353" t="s">
        <v>187</v>
      </c>
      <c r="B15" s="1357">
        <f>+Print_Mois!J307</f>
        <v>27425.81</v>
      </c>
      <c r="C15" s="1349">
        <f t="shared" si="6"/>
        <v>0.30604237395358613</v>
      </c>
      <c r="D15" s="1357">
        <f>+Print_Mois!L307</f>
        <v>8393.4600000000028</v>
      </c>
      <c r="F15" s="1357">
        <f>+Print_Mois!G307</f>
        <v>20439.505143727129</v>
      </c>
      <c r="G15" s="1349">
        <f t="shared" si="7"/>
        <v>0.29130399895825637</v>
      </c>
      <c r="H15" s="1357">
        <f>+Print_Mois!I307</f>
        <v>5954.1095850955635</v>
      </c>
      <c r="I15" s="1358"/>
      <c r="J15" s="1359">
        <f>+D15-H15</f>
        <v>2439.3504149044393</v>
      </c>
      <c r="L15" s="1359">
        <f>(B15-F15)*G15</f>
        <v>2035.1385425737744</v>
      </c>
      <c r="N15" s="1359">
        <f>B15*(C15-G15)</f>
        <v>404.21187233066496</v>
      </c>
    </row>
    <row r="16" spans="1:14">
      <c r="A16" s="1353" t="s">
        <v>188</v>
      </c>
      <c r="B16" s="1363">
        <f>SUM(B14:B15)</f>
        <v>65478.240000000005</v>
      </c>
      <c r="C16" s="1364">
        <f>+D16/B16</f>
        <v>0.23998965152392612</v>
      </c>
      <c r="D16" s="1363">
        <f>SUM(D14:D15)</f>
        <v>15714.100000000002</v>
      </c>
      <c r="F16" s="1363">
        <f>SUM(F14:F15)</f>
        <v>60675.250881009473</v>
      </c>
      <c r="G16" s="1364">
        <f>+H16/F16</f>
        <v>0.21858518354806708</v>
      </c>
      <c r="H16" s="1363">
        <f>SUM(H14:H15)</f>
        <v>13262.710850650474</v>
      </c>
      <c r="J16" s="1363">
        <f>SUM(J14:J15)</f>
        <v>2451.3891493495285</v>
      </c>
      <c r="L16" s="1363">
        <f>SUM(L14:L15)</f>
        <v>1638.5512824593939</v>
      </c>
      <c r="N16" s="1363">
        <f>SUM(N14:N15)</f>
        <v>812.83786689013505</v>
      </c>
    </row>
    <row r="17" spans="1:14">
      <c r="B17" s="1359"/>
      <c r="C17" s="1362"/>
      <c r="D17" s="1359"/>
      <c r="F17" s="1359"/>
      <c r="G17" s="1362"/>
      <c r="H17" s="1359"/>
      <c r="J17" s="1359"/>
      <c r="L17" s="1359"/>
      <c r="N17" s="1359"/>
    </row>
    <row r="18" spans="1:14" ht="15" thickBot="1">
      <c r="A18" s="1353" t="s">
        <v>3428</v>
      </c>
      <c r="B18" s="1365">
        <f>+B12+B16</f>
        <v>395972.58999999997</v>
      </c>
      <c r="C18" s="1366">
        <f>+D18/B18</f>
        <v>0.29302985340475213</v>
      </c>
      <c r="D18" s="1365">
        <f>+D12+D16</f>
        <v>116031.79000000001</v>
      </c>
      <c r="F18" s="1365">
        <f>+F12+F16</f>
        <v>395738.32213523868</v>
      </c>
      <c r="G18" s="1366">
        <f>+H18/F18</f>
        <v>0.28386209549157737</v>
      </c>
      <c r="H18" s="1365">
        <f>+H12+H16</f>
        <v>112335.10938762974</v>
      </c>
      <c r="J18" s="1365">
        <f>+J12+J16</f>
        <v>3696.6806123702572</v>
      </c>
      <c r="L18" s="1365">
        <f>+L12+L16</f>
        <v>-4367.2148106806817</v>
      </c>
      <c r="N18" s="1365">
        <f>+N12+N16</f>
        <v>8063.8954230509416</v>
      </c>
    </row>
    <row r="19" spans="1:14" ht="15" thickTop="1"/>
    <row r="20" spans="1:14" ht="15" thickBot="1">
      <c r="D20" s="1367"/>
      <c r="E20" s="1368" t="s">
        <v>3429</v>
      </c>
      <c r="F20" s="1365">
        <f>+B18-F18</f>
        <v>234.267864761292</v>
      </c>
      <c r="N20" s="1367">
        <f>+J18-L18-N18</f>
        <v>0</v>
      </c>
    </row>
    <row r="21" spans="1:14" ht="15" thickTop="1"/>
  </sheetData>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BJ697"/>
  <sheetViews>
    <sheetView topLeftCell="C1" zoomScale="70" zoomScaleNormal="70" workbookViewId="0">
      <selection activeCell="C1" sqref="C1"/>
    </sheetView>
  </sheetViews>
  <sheetFormatPr baseColWidth="10" defaultColWidth="12.59765625" defaultRowHeight="15" customHeight="1"/>
  <cols>
    <col min="1" max="1" width="24.09765625" style="564" hidden="1" customWidth="1"/>
    <col min="2" max="2" width="36" style="564" hidden="1" customWidth="1"/>
    <col min="3" max="3" width="34.59765625" style="564" customWidth="1"/>
    <col min="4" max="4" width="16.3984375" style="564" customWidth="1"/>
    <col min="5" max="5" width="15.59765625" style="564" customWidth="1"/>
    <col min="6" max="6" width="16.8984375" style="564" customWidth="1"/>
    <col min="7" max="7" width="17.69921875" style="564" customWidth="1"/>
    <col min="8" max="8" width="15.59765625" style="564" customWidth="1"/>
    <col min="9" max="9" width="15.8984375" style="564" customWidth="1"/>
    <col min="10" max="10" width="16.69921875" style="564" customWidth="1"/>
    <col min="11" max="11" width="16.3984375" style="564" customWidth="1"/>
    <col min="12" max="12" width="15.8984375" style="564" customWidth="1"/>
    <col min="13" max="13" width="12" style="564" customWidth="1"/>
    <col min="14" max="14" width="18.59765625" style="564" customWidth="1"/>
    <col min="15" max="15" width="16.3984375" style="564" customWidth="1"/>
    <col min="16" max="16" width="15.59765625" style="564" customWidth="1"/>
    <col min="17" max="17" width="16.3984375" style="564" customWidth="1"/>
    <col min="18" max="18" width="14.5" style="564" bestFit="1" customWidth="1"/>
    <col min="19" max="19" width="21.3984375" style="564" customWidth="1"/>
    <col min="20" max="20" width="3" style="564" customWidth="1"/>
    <col min="21" max="21" width="30.09765625" style="564" bestFit="1" customWidth="1"/>
    <col min="22" max="22" width="28.69921875" style="564" customWidth="1"/>
    <col min="23" max="24" width="12.19921875" style="564" customWidth="1"/>
    <col min="25" max="25" width="12.5" style="564" customWidth="1"/>
    <col min="26" max="26" width="17.3984375" style="564" customWidth="1"/>
    <col min="27" max="27" width="10.8984375" style="564" customWidth="1"/>
    <col min="28" max="28" width="10" style="564" customWidth="1"/>
    <col min="29" max="29" width="17.5" style="564" customWidth="1"/>
    <col min="30" max="30" width="13.8984375" style="564" customWidth="1"/>
    <col min="31" max="31" width="15.3984375" style="564" customWidth="1"/>
    <col min="32" max="32" width="18.8984375" style="564" customWidth="1"/>
    <col min="33" max="33" width="10.8984375" style="564" customWidth="1"/>
    <col min="34" max="34" width="16.19921875" style="564" customWidth="1"/>
    <col min="35" max="35" width="15" style="564" customWidth="1"/>
    <col min="36" max="37" width="13.09765625" style="564" customWidth="1"/>
    <col min="38" max="38" width="17.5" style="564" customWidth="1"/>
    <col min="39" max="39" width="10.8984375" style="564" customWidth="1"/>
    <col min="40" max="40" width="16" style="564" customWidth="1"/>
    <col min="41" max="41" width="12.3984375" style="564" customWidth="1"/>
    <col min="42" max="42" width="11" style="564" customWidth="1"/>
    <col min="43" max="43" width="15.69921875" style="564" bestFit="1" customWidth="1"/>
    <col min="44" max="44" width="19.8984375" style="564" customWidth="1"/>
    <col min="45" max="62" width="11" style="564" customWidth="1"/>
    <col min="63" max="16384" width="12.59765625" style="564"/>
  </cols>
  <sheetData>
    <row r="1" spans="1:54" ht="36" thickBot="1">
      <c r="B1" s="18"/>
      <c r="C1" s="1192" t="str">
        <f>Parametres!B1</f>
        <v>Volks</v>
      </c>
      <c r="D1" s="19"/>
      <c r="E1" s="19"/>
      <c r="F1" s="19"/>
      <c r="G1" s="19"/>
      <c r="H1" s="18"/>
      <c r="I1" s="19"/>
      <c r="J1" s="18"/>
      <c r="K1" s="5" t="s">
        <v>75</v>
      </c>
      <c r="L1" s="19"/>
      <c r="M1" s="19"/>
      <c r="N1" s="20"/>
      <c r="O1" s="18"/>
      <c r="P1" s="19"/>
      <c r="Q1" s="18"/>
      <c r="R1" s="19"/>
      <c r="S1" s="6" t="str">
        <f>CONCATENATE("Réalisé AAJ,"," ",Parametres!B3," ",Parametres!B4)</f>
        <v>Réalisé AAJ, Mai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Top="1" thickBot="1">
      <c r="B2" s="159"/>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V2" s="1345" t="s">
        <v>3364</v>
      </c>
      <c r="W2" s="1340"/>
      <c r="Z2" s="564" t="s">
        <v>1941</v>
      </c>
      <c r="AC2" s="564" t="s">
        <v>1941</v>
      </c>
    </row>
    <row r="3" spans="1:54" ht="21.6" thickTop="1">
      <c r="B3" s="24"/>
      <c r="C3" s="257"/>
      <c r="D3" s="1426" t="s">
        <v>77</v>
      </c>
      <c r="E3" s="1427"/>
      <c r="F3" s="1428"/>
      <c r="G3" s="1429" t="s">
        <v>78</v>
      </c>
      <c r="H3" s="1427"/>
      <c r="I3" s="1428"/>
      <c r="J3" s="1429" t="s">
        <v>79</v>
      </c>
      <c r="K3" s="1427"/>
      <c r="L3" s="1428"/>
      <c r="M3" s="1429" t="s">
        <v>80</v>
      </c>
      <c r="N3" s="1428"/>
      <c r="O3" s="1426" t="s">
        <v>81</v>
      </c>
      <c r="P3" s="1427"/>
      <c r="Q3" s="1428"/>
      <c r="R3" s="1429" t="s">
        <v>82</v>
      </c>
      <c r="S3" s="1430"/>
      <c r="T3" s="25"/>
      <c r="U3" s="25"/>
      <c r="V3" s="1341" t="s">
        <v>2863</v>
      </c>
      <c r="W3" s="1342">
        <v>0.45</v>
      </c>
      <c r="X3" s="24"/>
      <c r="Y3" s="24"/>
      <c r="Z3" s="24"/>
      <c r="AA3" s="24"/>
      <c r="AB3" s="24"/>
      <c r="AC3" s="24"/>
      <c r="AD3" s="24"/>
      <c r="AE3" s="24"/>
      <c r="AF3" s="24"/>
      <c r="AG3" s="24"/>
      <c r="AH3" s="24"/>
      <c r="AI3" s="24"/>
      <c r="AJ3" s="24"/>
      <c r="AK3" s="24"/>
      <c r="AL3" s="24"/>
      <c r="AM3" s="24"/>
      <c r="AN3" s="24"/>
    </row>
    <row r="4" spans="1:54" ht="20.399999999999999">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1341" t="s">
        <v>2864</v>
      </c>
      <c r="W4" s="1342">
        <v>0.1</v>
      </c>
      <c r="X4" s="24"/>
      <c r="Y4" s="24"/>
      <c r="Z4" s="24"/>
      <c r="AA4" s="24"/>
      <c r="AB4" s="24"/>
      <c r="AC4" s="24"/>
      <c r="AD4" s="24"/>
      <c r="AE4" s="24"/>
      <c r="AF4" s="24"/>
      <c r="AG4" s="24"/>
      <c r="AH4" s="24"/>
      <c r="AI4" s="24"/>
      <c r="AJ4" s="24"/>
      <c r="AK4" s="24"/>
      <c r="AL4" s="24"/>
      <c r="AM4" s="24"/>
      <c r="AN4" s="24"/>
    </row>
    <row r="5" spans="1:54" ht="20.399999999999999">
      <c r="A5" s="564" t="str">
        <f>+B5&amp;C5</f>
        <v>Véhicules neufsVentes nettes</v>
      </c>
      <c r="B5" s="24" t="str">
        <f t="shared" ref="B5:B85" si="0">+$K$1</f>
        <v>Véhicules neufs</v>
      </c>
      <c r="C5" s="541" t="s">
        <v>88</v>
      </c>
      <c r="D5" s="416"/>
      <c r="E5" s="416"/>
      <c r="F5" s="171">
        <f>+SUMPRODUCT(('Budget original'!$A$8:$A$500=$A5)*('Budget original'!$C$3:$AO$3=F$2),'Budget original'!$C$8:$AO$500)</f>
        <v>13116760.705871183</v>
      </c>
      <c r="G5" s="304"/>
      <c r="H5" s="416"/>
      <c r="I5" s="620">
        <f>+SUMPRODUCT(('Budget révisé'!$A$8:$A$500=$A5)*('Budget révisé'!$C$3:$AO$3=I$2),'Budget révisé'!$C$8:$AO$500)</f>
        <v>13116760.705871183</v>
      </c>
      <c r="J5" s="304"/>
      <c r="K5" s="178"/>
      <c r="L5" s="171">
        <f>-SUMIFS(BV_Data_An_Cour!$P:$P,BV_Data_An_Cour!$X:$X,"Oui",BV_Data_An_Cour!$U:$U,$B5)</f>
        <v>9594789.4799999986</v>
      </c>
      <c r="M5" s="417"/>
      <c r="N5" s="418"/>
      <c r="O5" s="304"/>
      <c r="P5" s="178"/>
      <c r="Q5" s="171">
        <f>-SUMIFS(BV_Data_An_Prec!$P:$P,BV_Data_An_Prec!$X:$X,"Oui",BV_Data_An_Prec!$U:$U,$B5)</f>
        <v>13334470.120000001</v>
      </c>
      <c r="R5" s="417"/>
      <c r="S5" s="419"/>
      <c r="T5" s="216"/>
      <c r="U5" s="216"/>
      <c r="V5" s="1341" t="s">
        <v>2865</v>
      </c>
      <c r="W5" s="1342">
        <v>0.22500000000000001</v>
      </c>
      <c r="X5" s="24"/>
      <c r="Y5" s="24"/>
      <c r="Z5" s="24"/>
      <c r="AA5" s="24"/>
      <c r="AB5" s="24"/>
      <c r="AC5" s="24"/>
      <c r="AD5" s="24"/>
      <c r="AE5" s="24"/>
      <c r="AF5" s="24"/>
      <c r="AG5" s="24"/>
      <c r="AH5" s="24"/>
      <c r="AI5" s="24"/>
      <c r="AJ5" s="24"/>
      <c r="AK5" s="24"/>
      <c r="AL5" s="24"/>
      <c r="AM5" s="24"/>
      <c r="AN5" s="24"/>
    </row>
    <row r="6" spans="1:54" ht="20.399999999999999">
      <c r="A6" s="564" t="str">
        <f t="shared" ref="A6:A85" si="1">+B6&amp;C6</f>
        <v>Véhicules neufsAutos détail</v>
      </c>
      <c r="B6" s="24" t="str">
        <f t="shared" si="0"/>
        <v>Véhicules neufs</v>
      </c>
      <c r="C6" s="258" t="s">
        <v>89</v>
      </c>
      <c r="D6" s="173">
        <f>+SUMPRODUCT(('Budget original'!$A$8:$A$500=$A6)*('Budget original'!$C$3:$AO$3=D$2),'Budget original'!$C$8:$AO$500)</f>
        <v>66.997590361445788</v>
      </c>
      <c r="E6" s="173">
        <f>IF(D6=0,0,F6/D6)</f>
        <v>1450.6297619047616</v>
      </c>
      <c r="F6" s="173">
        <f>+SUMPRODUCT(('Budget original'!$A$8:$A$500=$A6)*('Budget original'!$C$3:$AO$3=F$2),'Budget original'!$C$8:$AO$500)</f>
        <v>97188.698554216855</v>
      </c>
      <c r="G6" s="176">
        <f>+SUMPRODUCT(('Budget révisé'!$A$8:$A$500=$A6)*('Budget révisé'!$C$3:$AO$3=G$2),'Budget révisé'!$C$8:$AO$500)</f>
        <v>66.997590361445788</v>
      </c>
      <c r="H6" s="173">
        <f>IF(G6=0,0,I6/G6)</f>
        <v>1450.6297619047616</v>
      </c>
      <c r="I6" s="173">
        <f>+SUMPRODUCT(('Budget révisé'!$A$8:$A$500=$A6)*('Budget révisé'!$C$3:$AO$3=I$2),'Budget révisé'!$C$8:$AO$500)</f>
        <v>97188.698554216855</v>
      </c>
      <c r="J6" s="176">
        <f>-SUMIFS(BV_Data_An_Cour!$P:$P,BV_Data_An_Cour!$U:$U,$B6,BV_Data_An_Cour!$V:$V,$C6,BV_Data_An_Cour!$W:$W,J$2)</f>
        <v>24</v>
      </c>
      <c r="K6" s="173">
        <f>IF(J6=0,0,L6/J6)</f>
        <v>3129.5412500000061</v>
      </c>
      <c r="L6" s="548">
        <f>-SUMIFS(BV_Data_An_Cour!$P:$P,BV_Data_An_Cour!$U:$U,$B6,BV_Data_An_Cour!$V:$V,$C6,BV_Data_An_Cour!$W:$W,L$2)</f>
        <v>75108.990000000151</v>
      </c>
      <c r="M6" s="176">
        <f t="shared" ref="M6" si="2">J6-G6</f>
        <v>-42.997590361445788</v>
      </c>
      <c r="N6" s="174">
        <f>L6-I6</f>
        <v>-22079.708554216704</v>
      </c>
      <c r="O6" s="1010">
        <f>-SUMIFS(BV_Data_An_Prec!$P:$P,BV_Data_An_Prec!$U:$U,$B6,BV_Data_An_Prec!$V:$V,$C6,BV_Data_An_Prec!$W:$W,O$2)</f>
        <v>103</v>
      </c>
      <c r="P6" s="173">
        <f>IF(O6=0,0,Q6/O6)</f>
        <v>947.54087378641191</v>
      </c>
      <c r="Q6" s="548">
        <f>-SUMIFS(BV_Data_An_Prec!$P:$P,BV_Data_An_Prec!$U:$U,$B6,BV_Data_An_Prec!$V:$V,$C6,BV_Data_An_Prec!$W:$W,Q$2)</f>
        <v>97596.710000000428</v>
      </c>
      <c r="R6" s="176">
        <f t="shared" ref="R6" si="3">J6-O6</f>
        <v>-79</v>
      </c>
      <c r="S6" s="393">
        <f t="shared" ref="S6" si="4">L6-Q6</f>
        <v>-22487.720000000278</v>
      </c>
      <c r="T6" s="216"/>
      <c r="U6" s="216"/>
      <c r="V6" s="1341" t="s">
        <v>2866</v>
      </c>
      <c r="W6" s="1342">
        <v>2.5000000000000001E-2</v>
      </c>
      <c r="X6" s="24"/>
      <c r="Y6" s="24"/>
      <c r="Z6" s="24"/>
      <c r="AA6" s="24"/>
      <c r="AB6" s="24"/>
      <c r="AC6" s="24"/>
      <c r="AD6" s="24"/>
      <c r="AE6" s="24"/>
      <c r="AF6" s="24"/>
      <c r="AG6" s="24"/>
      <c r="AH6" s="24"/>
      <c r="AI6" s="24"/>
      <c r="AJ6" s="24"/>
      <c r="AK6" s="24"/>
      <c r="AL6" s="24"/>
      <c r="AM6" s="24"/>
      <c r="AN6" s="24"/>
    </row>
    <row r="7" spans="1:54" ht="20.399999999999999">
      <c r="A7" s="564" t="str">
        <f t="shared" ref="A7:A11" si="5">+B7&amp;C7</f>
        <v>Véhicules neufsCamions détail</v>
      </c>
      <c r="B7" s="24" t="str">
        <f t="shared" si="0"/>
        <v>Véhicules neufs</v>
      </c>
      <c r="C7" s="258" t="s">
        <v>90</v>
      </c>
      <c r="D7" s="173">
        <f>+SUMPRODUCT(('Budget original'!$A$8:$A$500=$A7)*('Budget original'!$C$3:$AO$3=D$2),'Budget original'!$C$8:$AO$500)</f>
        <v>231.30120481927713</v>
      </c>
      <c r="E7" s="173">
        <f t="shared" ref="E7:E12" si="6">IF(D7=0,0,F7/D7)</f>
        <v>2081.8275862068967</v>
      </c>
      <c r="F7" s="173">
        <f>+SUMPRODUCT(('Budget original'!$A$8:$A$500=$A7)*('Budget original'!$C$3:$AO$3=F$2),'Budget original'!$C$8:$AO$500)</f>
        <v>481529.22891566274</v>
      </c>
      <c r="G7" s="176">
        <f>+SUMPRODUCT(('Budget révisé'!$A$8:$A$500=$A7)*('Budget révisé'!$C$3:$AO$3=G$2),'Budget révisé'!$C$8:$AO$500)</f>
        <v>231.30120481927713</v>
      </c>
      <c r="H7" s="173">
        <f t="shared" ref="H7:H12" si="7">IF(G7=0,0,I7/G7)</f>
        <v>2081.8275862068967</v>
      </c>
      <c r="I7" s="173">
        <f>+SUMPRODUCT(('Budget révisé'!$A$8:$A$500=$A7)*('Budget révisé'!$C$3:$AO$3=I$2),'Budget révisé'!$C$8:$AO$500)</f>
        <v>481529.22891566274</v>
      </c>
      <c r="J7" s="176">
        <f>-SUMIFS(BV_Data_An_Cour!$P:$P,BV_Data_An_Cour!$U:$U,$B7,BV_Data_An_Cour!$V:$V,$C7,BV_Data_An_Cour!$W:$W,J$2)</f>
        <v>134</v>
      </c>
      <c r="K7" s="173">
        <f t="shared" ref="K7:K12" si="8">IF(J7=0,0,L7/J7)</f>
        <v>3220.4386567164061</v>
      </c>
      <c r="L7" s="548">
        <f>-SUMIFS(BV_Data_An_Cour!$P:$P,BV_Data_An_Cour!$U:$U,$B7,BV_Data_An_Cour!$V:$V,$C7,BV_Data_An_Cour!$W:$W,L$2)</f>
        <v>431538.7799999984</v>
      </c>
      <c r="M7" s="176">
        <f t="shared" ref="M7:M12" si="9">J7-G7</f>
        <v>-97.301204819277132</v>
      </c>
      <c r="N7" s="174">
        <f t="shared" ref="N7:N12" si="10">L7-I7</f>
        <v>-49990.448915664339</v>
      </c>
      <c r="O7" s="176">
        <f>-SUMIFS(BV_Data_An_Prec!$P:$P,BV_Data_An_Prec!$U:$U,$B7,BV_Data_An_Prec!$V:$V,$C7,BV_Data_An_Prec!$W:$W,O$2)</f>
        <v>170</v>
      </c>
      <c r="P7" s="173">
        <f t="shared" ref="P7:P12" si="11">IF(O7=0,0,Q7/O7)</f>
        <v>2096.2727058823548</v>
      </c>
      <c r="Q7" s="548">
        <f>-SUMIFS(BV_Data_An_Prec!$P:$P,BV_Data_An_Prec!$U:$U,$B7,BV_Data_An_Prec!$V:$V,$C7,BV_Data_An_Prec!$W:$W,Q$2)</f>
        <v>356366.36000000034</v>
      </c>
      <c r="R7" s="176">
        <f t="shared" ref="R7:R12" si="12">J7-O7</f>
        <v>-36</v>
      </c>
      <c r="S7" s="393">
        <f t="shared" ref="S7:S12" si="13">L7-Q7</f>
        <v>75172.419999998063</v>
      </c>
      <c r="T7" s="216"/>
      <c r="U7" s="216"/>
      <c r="V7" s="1341" t="s">
        <v>2867</v>
      </c>
      <c r="W7" s="1342">
        <v>0.2</v>
      </c>
      <c r="X7" s="24"/>
      <c r="Y7" s="24"/>
      <c r="Z7" s="24"/>
      <c r="AA7" s="24"/>
      <c r="AB7" s="24"/>
      <c r="AC7" s="24"/>
      <c r="AD7" s="24"/>
      <c r="AE7" s="24"/>
      <c r="AF7" s="24"/>
      <c r="AG7" s="24"/>
      <c r="AH7" s="24"/>
      <c r="AI7" s="24"/>
      <c r="AJ7" s="24"/>
      <c r="AK7" s="24"/>
      <c r="AL7" s="24"/>
      <c r="AM7" s="24"/>
      <c r="AN7" s="24"/>
    </row>
    <row r="8" spans="1:54" ht="21" thickBot="1">
      <c r="A8" s="564" t="str">
        <f t="shared" si="5"/>
        <v>Véhicules neufsSprinter</v>
      </c>
      <c r="B8" s="24" t="str">
        <f t="shared" si="0"/>
        <v>Véhicules neufs</v>
      </c>
      <c r="C8" s="258" t="s">
        <v>91</v>
      </c>
      <c r="D8" s="173">
        <f>+SUMPRODUCT(('Budget original'!$A$8:$A$500=$A8)*('Budget original'!$C$3:$AO$3=D$2),'Budget original'!$C$8:$AO$500)</f>
        <v>0</v>
      </c>
      <c r="E8" s="173">
        <f t="shared" si="6"/>
        <v>0</v>
      </c>
      <c r="F8" s="173">
        <f>+SUMPRODUCT(('Budget original'!$A$8:$A$500=$A8)*('Budget original'!$C$3:$AO$3=F$2),'Budget original'!$C$8:$AO$500)</f>
        <v>0</v>
      </c>
      <c r="G8" s="176">
        <f>+SUMPRODUCT(('Budget révisé'!$A$8:$A$500=$A8)*('Budget révisé'!$C$3:$AO$3=G$2),'Budget révisé'!$C$8:$AO$500)</f>
        <v>0</v>
      </c>
      <c r="H8" s="173">
        <f t="shared" si="7"/>
        <v>0</v>
      </c>
      <c r="I8" s="173">
        <f>+SUMPRODUCT(('Budget révisé'!$A$8:$A$500=$A8)*('Budget révisé'!$C$3:$AO$3=I$2),'Budget révisé'!$C$8:$AO$500)</f>
        <v>0</v>
      </c>
      <c r="J8" s="176">
        <f>-SUMIFS(BV_Data_An_Cour!$P:$P,BV_Data_An_Cour!$U:$U,$B8,BV_Data_An_Cour!$V:$V,$C8,BV_Data_An_Cour!$W:$W,J$2)</f>
        <v>0</v>
      </c>
      <c r="K8" s="173">
        <f t="shared" si="8"/>
        <v>0</v>
      </c>
      <c r="L8" s="548">
        <f>-SUMIFS(BV_Data_An_Cour!$P:$P,BV_Data_An_Cour!$U:$U,$B8,BV_Data_An_Cour!$V:$V,$C8,BV_Data_An_Cour!$W:$W,L$2)</f>
        <v>0</v>
      </c>
      <c r="M8" s="176">
        <f t="shared" si="9"/>
        <v>0</v>
      </c>
      <c r="N8" s="174">
        <f t="shared" si="10"/>
        <v>0</v>
      </c>
      <c r="O8" s="176">
        <f>-SUMIFS(BV_Data_An_Prec!$P:$P,BV_Data_An_Prec!$U:$U,$B8,BV_Data_An_Prec!$V:$V,$C8,BV_Data_An_Prec!$W:$W,O$2)</f>
        <v>0</v>
      </c>
      <c r="P8" s="173">
        <f t="shared" si="11"/>
        <v>0</v>
      </c>
      <c r="Q8" s="548">
        <f>-SUMIFS(BV_Data_An_Prec!$P:$P,BV_Data_An_Prec!$U:$U,$B8,BV_Data_An_Prec!$V:$V,$C8,BV_Data_An_Prec!$W:$W,Q$2)</f>
        <v>0</v>
      </c>
      <c r="R8" s="176">
        <f t="shared" si="12"/>
        <v>0</v>
      </c>
      <c r="S8" s="393">
        <f t="shared" si="13"/>
        <v>0</v>
      </c>
      <c r="T8" s="216"/>
      <c r="U8" s="216"/>
      <c r="V8" s="1343"/>
      <c r="W8" s="1344">
        <f t="shared" ref="W8" si="14">SUM(W3:W7)</f>
        <v>1</v>
      </c>
      <c r="X8" s="24"/>
      <c r="Y8" s="24"/>
      <c r="Z8" s="24"/>
      <c r="AA8" s="24"/>
      <c r="AB8" s="24"/>
      <c r="AC8" s="24"/>
      <c r="AD8" s="24"/>
      <c r="AE8" s="24"/>
      <c r="AF8" s="24"/>
      <c r="AG8" s="24"/>
      <c r="AH8" s="24"/>
      <c r="AI8" s="24"/>
      <c r="AJ8" s="24"/>
      <c r="AK8" s="24"/>
      <c r="AL8" s="24"/>
      <c r="AM8" s="24"/>
      <c r="AN8" s="24"/>
    </row>
    <row r="9" spans="1:54" ht="21" thickTop="1">
      <c r="A9" s="564" t="str">
        <f t="shared" si="5"/>
        <v>Véhicules neufsMoto détail</v>
      </c>
      <c r="B9" s="24" t="str">
        <f t="shared" si="0"/>
        <v>Véhicules neufs</v>
      </c>
      <c r="C9" s="258" t="s">
        <v>92</v>
      </c>
      <c r="D9" s="173">
        <f>+SUMPRODUCT(('Budget original'!$A$8:$A$500=$A9)*('Budget original'!$C$3:$AO$3=D$2),'Budget original'!$C$8:$AO$500)</f>
        <v>0</v>
      </c>
      <c r="E9" s="173">
        <f t="shared" si="6"/>
        <v>0</v>
      </c>
      <c r="F9" s="173">
        <f>+SUMPRODUCT(('Budget original'!$A$8:$A$500=$A9)*('Budget original'!$C$3:$AO$3=F$2),'Budget original'!$C$8:$AO$500)</f>
        <v>0</v>
      </c>
      <c r="G9" s="176">
        <f>+SUMPRODUCT(('Budget révisé'!$A$8:$A$500=$A9)*('Budget révisé'!$C$3:$AO$3=G$2),'Budget révisé'!$C$8:$AO$500)</f>
        <v>0</v>
      </c>
      <c r="H9" s="173">
        <f t="shared" si="7"/>
        <v>0</v>
      </c>
      <c r="I9" s="173">
        <f>+SUMPRODUCT(('Budget révisé'!$A$8:$A$500=$A9)*('Budget révisé'!$C$3:$AO$3=I$2),'Budget révisé'!$C$8:$AO$500)</f>
        <v>0</v>
      </c>
      <c r="J9" s="176">
        <f>-SUMIFS(BV_Data_An_Cour!$P:$P,BV_Data_An_Cour!$U:$U,$B9,BV_Data_An_Cour!$V:$V,$C9,BV_Data_An_Cour!$W:$W,J$2)</f>
        <v>0</v>
      </c>
      <c r="K9" s="173">
        <f t="shared" si="8"/>
        <v>0</v>
      </c>
      <c r="L9" s="548">
        <f>-SUMIFS(BV_Data_An_Cour!$P:$P,BV_Data_An_Cour!$U:$U,$B9,BV_Data_An_Cour!$V:$V,$C9,BV_Data_An_Cour!$W:$W,L$2)</f>
        <v>0</v>
      </c>
      <c r="M9" s="176">
        <f t="shared" si="9"/>
        <v>0</v>
      </c>
      <c r="N9" s="174">
        <f t="shared" si="10"/>
        <v>0</v>
      </c>
      <c r="O9" s="176">
        <f>-SUMIFS(BV_Data_An_Prec!$P:$P,BV_Data_An_Prec!$U:$U,$B9,BV_Data_An_Prec!$V:$V,$C9,BV_Data_An_Prec!$W:$W,O$2)</f>
        <v>0</v>
      </c>
      <c r="P9" s="173">
        <f t="shared" si="11"/>
        <v>0</v>
      </c>
      <c r="Q9" s="548">
        <f>-SUMIFS(BV_Data_An_Prec!$P:$P,BV_Data_An_Prec!$U:$U,$B9,BV_Data_An_Prec!$V:$V,$C9,BV_Data_An_Prec!$W:$W,Q$2)</f>
        <v>0</v>
      </c>
      <c r="R9" s="176">
        <f t="shared" si="12"/>
        <v>0</v>
      </c>
      <c r="S9" s="393">
        <f t="shared" si="13"/>
        <v>0</v>
      </c>
      <c r="T9" s="216"/>
      <c r="U9" s="216"/>
      <c r="V9" s="508"/>
      <c r="W9" s="24"/>
      <c r="X9" s="24"/>
      <c r="Y9" s="24"/>
      <c r="Z9" s="24"/>
      <c r="AA9" s="24"/>
      <c r="AB9" s="24"/>
      <c r="AC9" s="24"/>
      <c r="AD9" s="24"/>
      <c r="AE9" s="24"/>
      <c r="AF9" s="24"/>
      <c r="AG9" s="24"/>
      <c r="AH9" s="24"/>
      <c r="AI9" s="24"/>
      <c r="AJ9" s="24"/>
      <c r="AK9" s="24"/>
      <c r="AL9" s="24"/>
      <c r="AM9" s="24"/>
      <c r="AN9" s="24"/>
    </row>
    <row r="10" spans="1:54" ht="20.399999999999999" hidden="1">
      <c r="A10" s="564" t="str">
        <f t="shared" si="5"/>
        <v>Véhicules neufs[...]</v>
      </c>
      <c r="B10" s="24" t="str">
        <f t="shared" si="0"/>
        <v>Véhicules neufs</v>
      </c>
      <c r="C10" s="258" t="s">
        <v>42</v>
      </c>
      <c r="D10" s="173">
        <f>+SUMPRODUCT(('Budget original'!$A$8:$A$500=$A10)*('Budget original'!$C$3:$AO$3=D$2),'Budget original'!$C$8:$AO$500)</f>
        <v>0</v>
      </c>
      <c r="E10" s="173">
        <f t="shared" si="6"/>
        <v>0</v>
      </c>
      <c r="F10" s="173">
        <f>+SUMPRODUCT(('Budget original'!$A$8:$A$500=$A10)*('Budget original'!$C$3:$AO$3=F$2),'Budget original'!$C$8:$AO$500)</f>
        <v>0</v>
      </c>
      <c r="G10" s="176">
        <f>+SUMPRODUCT(('Budget révisé'!$A$8:$A$500=$A10)*('Budget révisé'!$C$3:$AO$3=G$2),'Budget révisé'!$C$8:$AO$500)</f>
        <v>0</v>
      </c>
      <c r="H10" s="173">
        <f t="shared" si="7"/>
        <v>0</v>
      </c>
      <c r="I10" s="173">
        <f>+SUMPRODUCT(('Budget révisé'!$A$8:$A$500=$A10)*('Budget révisé'!$C$3:$AO$3=I$2),'Budget révisé'!$C$8:$AO$500)</f>
        <v>0</v>
      </c>
      <c r="J10" s="176">
        <f>-SUMIFS(BV_Data_An_Cour!$P:$P,BV_Data_An_Cour!$U:$U,$B10,BV_Data_An_Cour!$V:$V,$C10,BV_Data_An_Cour!$W:$W,J$2)</f>
        <v>0</v>
      </c>
      <c r="K10" s="173">
        <f t="shared" si="8"/>
        <v>0</v>
      </c>
      <c r="L10" s="548">
        <f>-SUMIFS(BV_Data_An_Cour!$P:$P,BV_Data_An_Cour!$U:$U,$B10,BV_Data_An_Cour!$V:$V,$C10,BV_Data_An_Cour!$W:$W,L$2)</f>
        <v>0</v>
      </c>
      <c r="M10" s="176">
        <f t="shared" si="9"/>
        <v>0</v>
      </c>
      <c r="N10" s="174">
        <f t="shared" si="10"/>
        <v>0</v>
      </c>
      <c r="O10" s="176">
        <f>-SUMIFS(BV_Data_An_Prec!$P:$P,BV_Data_An_Prec!$U:$U,$B10,BV_Data_An_Prec!$V:$V,$C10,BV_Data_An_Prec!$W:$W,O$2)</f>
        <v>0</v>
      </c>
      <c r="P10" s="173">
        <f t="shared" si="11"/>
        <v>0</v>
      </c>
      <c r="Q10" s="548">
        <f>-SUMIFS(BV_Data_An_Prec!$P:$P,BV_Data_An_Prec!$U:$U,$B10,BV_Data_An_Prec!$V:$V,$C10,BV_Data_An_Prec!$W:$W,Q$2)</f>
        <v>0</v>
      </c>
      <c r="R10" s="176">
        <f t="shared" si="12"/>
        <v>0</v>
      </c>
      <c r="S10" s="393">
        <f t="shared" si="13"/>
        <v>0</v>
      </c>
      <c r="T10" s="216"/>
      <c r="U10" s="216"/>
      <c r="V10" s="508"/>
      <c r="W10" s="24"/>
      <c r="X10" s="24"/>
      <c r="Y10" s="24"/>
      <c r="Z10" s="24"/>
      <c r="AA10" s="24"/>
      <c r="AB10" s="24"/>
      <c r="AC10" s="24"/>
      <c r="AD10" s="24"/>
      <c r="AE10" s="24"/>
      <c r="AF10" s="24"/>
      <c r="AG10" s="24"/>
      <c r="AH10" s="24"/>
      <c r="AI10" s="24"/>
      <c r="AJ10" s="24"/>
      <c r="AK10" s="24"/>
      <c r="AL10" s="24"/>
      <c r="AM10" s="24"/>
      <c r="AN10" s="24"/>
    </row>
    <row r="11" spans="1:54" ht="20.399999999999999" hidden="1">
      <c r="A11" s="564" t="str">
        <f t="shared" si="5"/>
        <v>Véhicules neufs[...]</v>
      </c>
      <c r="B11" s="24" t="str">
        <f t="shared" si="0"/>
        <v>Véhicules neufs</v>
      </c>
      <c r="C11" s="258" t="s">
        <v>42</v>
      </c>
      <c r="D11" s="173">
        <f>+SUMPRODUCT(('Budget original'!$A$8:$A$500=$A11)*('Budget original'!$C$3:$AO$3=D$2),'Budget original'!$C$8:$AO$500)</f>
        <v>0</v>
      </c>
      <c r="E11" s="173">
        <f t="shared" si="6"/>
        <v>0</v>
      </c>
      <c r="F11" s="173">
        <f>+SUMPRODUCT(('Budget original'!$A$8:$A$500=$A11)*('Budget original'!$C$3:$AO$3=F$2),'Budget original'!$C$8:$AO$500)</f>
        <v>0</v>
      </c>
      <c r="G11" s="176">
        <f>+SUMPRODUCT(('Budget révisé'!$A$8:$A$500=$A11)*('Budget révisé'!$C$3:$AO$3=G$2),'Budget révisé'!$C$8:$AO$500)</f>
        <v>0</v>
      </c>
      <c r="H11" s="173">
        <f t="shared" si="7"/>
        <v>0</v>
      </c>
      <c r="I11" s="173">
        <f>+SUMPRODUCT(('Budget révisé'!$A$8:$A$500=$A11)*('Budget révisé'!$C$3:$AO$3=I$2),'Budget révisé'!$C$8:$AO$500)</f>
        <v>0</v>
      </c>
      <c r="J11" s="176">
        <f>-SUMIFS(BV_Data_An_Cour!$P:$P,BV_Data_An_Cour!$U:$U,$B11,BV_Data_An_Cour!$V:$V,$C11,BV_Data_An_Cour!$W:$W,J$2)</f>
        <v>0</v>
      </c>
      <c r="K11" s="173">
        <f t="shared" si="8"/>
        <v>0</v>
      </c>
      <c r="L11" s="548">
        <f>-SUMIFS(BV_Data_An_Cour!$P:$P,BV_Data_An_Cour!$U:$U,$B11,BV_Data_An_Cour!$V:$V,$C11,BV_Data_An_Cour!$W:$W,L$2)</f>
        <v>0</v>
      </c>
      <c r="M11" s="176">
        <f t="shared" si="9"/>
        <v>0</v>
      </c>
      <c r="N11" s="174">
        <f t="shared" si="10"/>
        <v>0</v>
      </c>
      <c r="O11" s="176">
        <f>-SUMIFS(BV_Data_An_Prec!$P:$P,BV_Data_An_Prec!$U:$U,$B11,BV_Data_An_Prec!$V:$V,$C11,BV_Data_An_Prec!$W:$W,O$2)</f>
        <v>0</v>
      </c>
      <c r="P11" s="173">
        <f t="shared" si="11"/>
        <v>0</v>
      </c>
      <c r="Q11" s="548">
        <f>-SUMIFS(BV_Data_An_Prec!$P:$P,BV_Data_An_Prec!$U:$U,$B11,BV_Data_An_Prec!$V:$V,$C11,BV_Data_An_Prec!$W:$W,Q$2)</f>
        <v>0</v>
      </c>
      <c r="R11" s="176">
        <f t="shared" si="12"/>
        <v>0</v>
      </c>
      <c r="S11" s="393">
        <f t="shared" si="13"/>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399999999999999" hidden="1">
      <c r="A12" s="564" t="str">
        <f t="shared" si="1"/>
        <v>Véhicules neufs[...]</v>
      </c>
      <c r="B12" s="24" t="str">
        <f t="shared" si="0"/>
        <v>Véhicules neufs</v>
      </c>
      <c r="C12" s="258" t="s">
        <v>42</v>
      </c>
      <c r="D12" s="173">
        <f>+SUMPRODUCT(('Budget original'!$A$8:$A$500=$A12)*('Budget original'!$C$3:$AO$3=D$2),'Budget original'!$C$8:$AO$500)</f>
        <v>0</v>
      </c>
      <c r="E12" s="173">
        <f t="shared" si="6"/>
        <v>0</v>
      </c>
      <c r="F12" s="173">
        <f>+SUMPRODUCT(('Budget original'!$A$8:$A$500=$A12)*('Budget original'!$C$3:$AO$3=F$2),'Budget original'!$C$8:$AO$500)</f>
        <v>0</v>
      </c>
      <c r="G12" s="176">
        <f>+SUMPRODUCT(('Budget révisé'!$A$8:$A$500=$A12)*('Budget révisé'!$C$3:$AO$3=G$2),'Budget révisé'!$C$8:$AO$500)</f>
        <v>0</v>
      </c>
      <c r="H12" s="173">
        <f t="shared" si="7"/>
        <v>0</v>
      </c>
      <c r="I12" s="173">
        <f>+SUMPRODUCT(('Budget révisé'!$A$8:$A$500=$A12)*('Budget révisé'!$C$3:$AO$3=I$2),'Budget révisé'!$C$8:$AO$500)</f>
        <v>0</v>
      </c>
      <c r="J12" s="176">
        <f>-SUMIFS(BV_Data_An_Cour!$P:$P,BV_Data_An_Cour!$U:$U,$B12,BV_Data_An_Cour!$V:$V,$C12,BV_Data_An_Cour!$W:$W,J$2)</f>
        <v>0</v>
      </c>
      <c r="K12" s="173">
        <f t="shared" si="8"/>
        <v>0</v>
      </c>
      <c r="L12" s="548">
        <f>-SUMIFS(BV_Data_An_Cour!$P:$P,BV_Data_An_Cour!$U:$U,$B12,BV_Data_An_Cour!$V:$V,$C12,BV_Data_An_Cour!$W:$W,L$2)</f>
        <v>0</v>
      </c>
      <c r="M12" s="176">
        <f t="shared" si="9"/>
        <v>0</v>
      </c>
      <c r="N12" s="174">
        <f t="shared" si="10"/>
        <v>0</v>
      </c>
      <c r="O12" s="176">
        <f>-SUMIFS(BV_Data_An_Prec!$P:$P,BV_Data_An_Prec!$U:$U,$B12,BV_Data_An_Prec!$V:$V,$C12,BV_Data_An_Prec!$W:$W,O$2)</f>
        <v>0</v>
      </c>
      <c r="P12" s="173">
        <f t="shared" si="11"/>
        <v>0</v>
      </c>
      <c r="Q12" s="548">
        <f>-SUMIFS(BV_Data_An_Prec!$P:$P,BV_Data_An_Prec!$U:$U,$B12,BV_Data_An_Prec!$V:$V,$C12,BV_Data_An_Prec!$W:$W,Q$2)</f>
        <v>0</v>
      </c>
      <c r="R12" s="176">
        <f t="shared" si="12"/>
        <v>0</v>
      </c>
      <c r="S12" s="393">
        <f t="shared" si="13"/>
        <v>0</v>
      </c>
      <c r="T12" s="216"/>
      <c r="U12" s="216"/>
      <c r="V12" s="508"/>
      <c r="W12" s="24"/>
      <c r="X12" s="24"/>
      <c r="Y12" s="24"/>
      <c r="Z12" s="24"/>
      <c r="AA12" s="24"/>
      <c r="AB12" s="24"/>
      <c r="AC12" s="24"/>
      <c r="AD12" s="24"/>
      <c r="AE12" s="24"/>
      <c r="AF12" s="24"/>
      <c r="AG12" s="24"/>
      <c r="AH12" s="24"/>
      <c r="AI12" s="24"/>
      <c r="AJ12" s="24"/>
      <c r="AK12" s="24"/>
      <c r="AL12" s="24"/>
      <c r="AM12" s="24"/>
      <c r="AN12" s="24"/>
    </row>
    <row r="13" spans="1:54" ht="21">
      <c r="A13" s="564" t="str">
        <f t="shared" si="1"/>
        <v>Véhicules neufsTotal Neufs</v>
      </c>
      <c r="B13" s="24" t="str">
        <f t="shared" si="0"/>
        <v>Véhicules neufs</v>
      </c>
      <c r="C13" s="394" t="s">
        <v>93</v>
      </c>
      <c r="D13" s="395">
        <f>+SUM(D6:D12)</f>
        <v>298.29879518072289</v>
      </c>
      <c r="E13" s="395">
        <f>IF(D13&lt;=0,0,F13/D13)</f>
        <v>1940.0612299465245</v>
      </c>
      <c r="F13" s="396">
        <f>+SUM(F6:F12)</f>
        <v>578717.92746987962</v>
      </c>
      <c r="G13" s="397">
        <f>+SUM(G6:G12)</f>
        <v>298.29879518072289</v>
      </c>
      <c r="H13" s="395">
        <f>IF(G13&lt;=0,0,I13/G13)</f>
        <v>1940.0612299465245</v>
      </c>
      <c r="I13" s="396">
        <f>+SUM(I6:I12)</f>
        <v>578717.92746987962</v>
      </c>
      <c r="J13" s="397">
        <f>+SUM(J6:J12)</f>
        <v>158</v>
      </c>
      <c r="K13" s="395">
        <f>IF(J13&lt;=0,0,L13/J13)</f>
        <v>3206.6314556961934</v>
      </c>
      <c r="L13" s="396">
        <f>+SUM(L6:L12)</f>
        <v>506647.76999999856</v>
      </c>
      <c r="M13" s="397">
        <f>+SUM(M6:M12)</f>
        <v>-140.29879518072292</v>
      </c>
      <c r="N13" s="396">
        <f>+SUM(N6:N12)</f>
        <v>-72070.157469881044</v>
      </c>
      <c r="O13" s="397">
        <f>+SUM(O6:O12)</f>
        <v>273</v>
      </c>
      <c r="P13" s="395">
        <f>IF(O13&lt;=0,0,Q13/O13)</f>
        <v>1662.868388278391</v>
      </c>
      <c r="Q13" s="396">
        <f>+SUM(Q6:Q12)</f>
        <v>453963.07000000076</v>
      </c>
      <c r="R13" s="397">
        <f>+SUM(R6:R12)</f>
        <v>-115</v>
      </c>
      <c r="S13" s="398">
        <f>+SUM(S6:S12)</f>
        <v>52684.699999997785</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1">
      <c r="A14" s="564" t="str">
        <f t="shared" si="1"/>
        <v>Véhicules neufs</v>
      </c>
      <c r="B14" s="24" t="str">
        <f t="shared" si="0"/>
        <v>Véhicules neufs</v>
      </c>
      <c r="C14" s="258"/>
      <c r="D14" s="172"/>
      <c r="E14" s="173"/>
      <c r="F14" s="306"/>
      <c r="G14" s="297"/>
      <c r="H14" s="173"/>
      <c r="I14" s="306"/>
      <c r="J14" s="297"/>
      <c r="K14" s="173"/>
      <c r="L14" s="306"/>
      <c r="M14" s="356">
        <f>IF(G13=0,0,M13/G13)</f>
        <v>-0.47032974134449174</v>
      </c>
      <c r="N14" s="326">
        <f>IF(I13=0,0,N13/I13)</f>
        <v>-0.12453417122391125</v>
      </c>
      <c r="O14" s="297"/>
      <c r="P14" s="173"/>
      <c r="Q14" s="306"/>
      <c r="R14" s="356">
        <f>R13/O13</f>
        <v>-0.42124542124542125</v>
      </c>
      <c r="S14" s="327">
        <f>IF(Q13=0,0,(S13/Q13))</f>
        <v>0.11605503504943188</v>
      </c>
      <c r="T14" s="216"/>
      <c r="U14" s="216"/>
      <c r="V14" s="508"/>
      <c r="W14" s="508"/>
      <c r="X14" s="508"/>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1">
      <c r="A15" s="564" t="str">
        <f t="shared" si="1"/>
        <v>Véhicules neufsEx-Démos et courtoisies</v>
      </c>
      <c r="B15" s="24" t="str">
        <f t="shared" si="0"/>
        <v>Véhicules neufs</v>
      </c>
      <c r="C15" s="420" t="s">
        <v>94</v>
      </c>
      <c r="D15" s="178">
        <f>+SUMPRODUCT(('Budget original'!$A$8:$A$500=$A15)*('Budget original'!$C$3:$AO$3=D$2),'Budget original'!$C$8:$AO$500)</f>
        <v>27.915662650602407</v>
      </c>
      <c r="E15" s="178">
        <f t="shared" ref="E15" si="15">IF(D15=0,0,F15/D15)</f>
        <v>1386.1016187312014</v>
      </c>
      <c r="F15" s="171">
        <f>+SUMPRODUCT(('Budget original'!$A$8:$A$500=$A15)*('Budget original'!$C$3:$AO$3=F$2),'Budget original'!$C$8:$AO$500)</f>
        <v>38693.945187954138</v>
      </c>
      <c r="G15" s="177">
        <f>+SUMPRODUCT(('Budget révisé'!$A$8:$A$500=$A15)*('Budget révisé'!$C$3:$AO$3=G$2),'Budget révisé'!$C$8:$AO$500)</f>
        <v>27.915662650602407</v>
      </c>
      <c r="H15" s="401">
        <f t="shared" ref="H15" si="16">IF(G15=0,0,I15/G15)</f>
        <v>1386.1016187312014</v>
      </c>
      <c r="I15" s="399">
        <f>+SUMPRODUCT(('Budget révisé'!$A$8:$A$500=$A15)*('Budget révisé'!$C$3:$AO$3=I$2),'Budget révisé'!$C$8:$AO$500)</f>
        <v>38693.945187954138</v>
      </c>
      <c r="J15" s="542">
        <f>-SUMIFS(BV_Data_An_Cour!$P:$P,BV_Data_An_Cour!$U:$U,$B15,BV_Data_An_Cour!$V:$V,$C15,BV_Data_An_Cour!$W:$W,J$2)</f>
        <v>21</v>
      </c>
      <c r="K15" s="543">
        <f>IF(J15=0,0,L15/J15)</f>
        <v>3630.3199999999988</v>
      </c>
      <c r="L15" s="543">
        <f>-SUMIFS(BV_Data_An_Cour!$P:$P,BV_Data_An_Cour!$U:$U,$B15,BV_Data_An_Cour!$V:$V,$C15,BV_Data_An_Cour!$W:$W,L$2)</f>
        <v>76236.719999999972</v>
      </c>
      <c r="M15" s="400">
        <f>J15-G15</f>
        <v>-6.9156626506024068</v>
      </c>
      <c r="N15" s="399">
        <f>L15-I15</f>
        <v>37542.774812045835</v>
      </c>
      <c r="O15" s="542">
        <f>-SUMIFS(BV_Data_An_Prec!$P:$P,BV_Data_An_Prec!$U:$U,$B15,BV_Data_An_Prec!$V:$V,$C15,BV_Data_An_Prec!$W:$W,O$2)</f>
        <v>31</v>
      </c>
      <c r="P15" s="543">
        <f>IF(O15=0,0,Q15/O15)</f>
        <v>1024.9238709677461</v>
      </c>
      <c r="Q15" s="543">
        <f>-SUMIFS(BV_Data_An_Prec!$P:$P,BV_Data_An_Prec!$U:$U,$B15,BV_Data_An_Prec!$V:$V,$C15,BV_Data_An_Prec!$W:$W,Q$2)</f>
        <v>31772.64000000013</v>
      </c>
      <c r="R15" s="400">
        <f>J15-O15</f>
        <v>-10</v>
      </c>
      <c r="S15" s="421">
        <f>L15-Q15</f>
        <v>44464.079999999842</v>
      </c>
      <c r="T15" s="216"/>
      <c r="U15" s="216"/>
      <c r="V15" s="508"/>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1">
      <c r="A16" s="564" t="str">
        <f t="shared" si="1"/>
        <v>Véhicules neufs</v>
      </c>
      <c r="B16" s="24" t="str">
        <f t="shared" si="0"/>
        <v>Véhicules neufs</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1">
      <c r="A17" s="564" t="str">
        <f t="shared" si="1"/>
        <v>Véhicules neufsFlottes</v>
      </c>
      <c r="B17" s="24" t="str">
        <f t="shared" si="0"/>
        <v>Véhicules neufs</v>
      </c>
      <c r="C17" s="321" t="s">
        <v>95</v>
      </c>
      <c r="D17" s="173">
        <f>+SUMPRODUCT(('Budget original'!$A$8:$A$500=$A17)*('Budget original'!$C$3:$AO$3=D$2),'Budget original'!$C$8:$AO$500)</f>
        <v>4.4298356510745895</v>
      </c>
      <c r="E17" s="173">
        <f t="shared" ref="E17" si="17">IF(D17=0,0,F17/D17)</f>
        <v>1938.8731623598242</v>
      </c>
      <c r="F17" s="173">
        <f>+SUMPRODUCT(('Budget original'!$A$8:$A$500=$A17)*('Budget original'!$C$3:$AO$3=F$2),'Budget original'!$C$8:$AO$500)</f>
        <v>8588.8894575332797</v>
      </c>
      <c r="G17" s="176">
        <f>+SUMPRODUCT(('Budget révisé'!$A$8:$A$500=$A17)*('Budget révisé'!$C$3:$AO$3=G$2),'Budget révisé'!$C$8:$AO$500)</f>
        <v>4.4298356510745895</v>
      </c>
      <c r="H17" s="173">
        <f t="shared" ref="H17" si="18">IF(G17=0,0,I17/G17)</f>
        <v>1938.8731623598242</v>
      </c>
      <c r="I17" s="173">
        <f>+SUMPRODUCT(('Budget révisé'!$A$8:$A$500=$A17)*('Budget révisé'!$C$3:$AO$3=I$2),'Budget révisé'!$C$8:$AO$500)</f>
        <v>8588.8894575332797</v>
      </c>
      <c r="J17" s="400">
        <f>-SUMIFS(BV_Data_An_Cour!$P:$P,BV_Data_An_Cour!$U:$U,$B17,BV_Data_An_Cour!$V:$V,$C17,BV_Data_An_Cour!$W:$W,J$2)</f>
        <v>2</v>
      </c>
      <c r="K17" s="173">
        <f>IF(J17=0,0,L17/J17)</f>
        <v>1106.8050000000003</v>
      </c>
      <c r="L17" s="174">
        <f>-SUMIFS(BV_Data_An_Cour!$P:$P,BV_Data_An_Cour!$U:$U,$B17,BV_Data_An_Cour!$V:$V,$C17,BV_Data_An_Cour!$W:$W,L$2)</f>
        <v>2213.6100000000006</v>
      </c>
      <c r="M17" s="400">
        <f>J17-G17</f>
        <v>-2.4298356510745895</v>
      </c>
      <c r="N17" s="174">
        <f>L17-I17</f>
        <v>-6375.2794575332791</v>
      </c>
      <c r="O17" s="400">
        <f>-SUMIFS(BV_Data_An_Prec!$P:$P,BV_Data_An_Prec!$U:$U,$B17,BV_Data_An_Prec!$V:$V,$C17,BV_Data_An_Prec!$W:$W,O$2)</f>
        <v>17</v>
      </c>
      <c r="P17" s="173">
        <f>IF(O17=0,0,Q17/O17)</f>
        <v>1836.7811764705898</v>
      </c>
      <c r="Q17" s="174">
        <f>-SUMIFS(BV_Data_An_Prec!$P:$P,BV_Data_An_Prec!$U:$U,$B17,BV_Data_An_Prec!$V:$V,$C17,BV_Data_An_Prec!$W:$W,Q$2)</f>
        <v>31225.280000000028</v>
      </c>
      <c r="R17" s="176">
        <f>J17-O17</f>
        <v>-15</v>
      </c>
      <c r="S17" s="393">
        <f>L17-Q17</f>
        <v>-29011.670000000027</v>
      </c>
      <c r="T17" s="216"/>
      <c r="U17" s="216"/>
      <c r="V17" s="508" t="s">
        <v>3305</v>
      </c>
      <c r="W17" s="508" t="s">
        <v>6</v>
      </c>
      <c r="X17" s="508" t="s">
        <v>3308</v>
      </c>
      <c r="Y17" s="508" t="s">
        <v>3309</v>
      </c>
      <c r="Z17" s="508"/>
      <c r="AA17" s="508"/>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1">
      <c r="A18" s="564" t="str">
        <f t="shared" si="1"/>
        <v>Véhicules neufs</v>
      </c>
      <c r="B18" s="24" t="str">
        <f t="shared" si="0"/>
        <v>Véhicules neufs</v>
      </c>
      <c r="C18" s="394"/>
      <c r="D18" s="422"/>
      <c r="E18" s="422"/>
      <c r="F18" s="423"/>
      <c r="G18" s="405"/>
      <c r="H18" s="422"/>
      <c r="I18" s="423"/>
      <c r="J18" s="176"/>
      <c r="K18" s="422"/>
      <c r="L18" s="423"/>
      <c r="M18" s="176"/>
      <c r="N18" s="423"/>
      <c r="O18" s="176"/>
      <c r="P18" s="422"/>
      <c r="Q18" s="423"/>
      <c r="R18" s="405"/>
      <c r="S18" s="424"/>
      <c r="T18" s="216"/>
      <c r="U18" s="216"/>
      <c r="V18" s="508" t="s">
        <v>3306</v>
      </c>
      <c r="W18" s="1232">
        <f>+I27+I107</f>
        <v>1571242.1225869837</v>
      </c>
      <c r="X18" s="1232">
        <f>+L27+L107</f>
        <v>1680756.8399999985</v>
      </c>
      <c r="Y18" s="1232">
        <f>+X18-W18</f>
        <v>109514.71741301473</v>
      </c>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1">
      <c r="A19" s="564" t="str">
        <f t="shared" si="1"/>
        <v>Véhicules neufsRachat bail</v>
      </c>
      <c r="B19" s="24" t="str">
        <f t="shared" si="0"/>
        <v>Véhicules neufs</v>
      </c>
      <c r="C19" s="420" t="s">
        <v>96</v>
      </c>
      <c r="D19" s="173">
        <f>+SUMPRODUCT(('Budget original'!$A$8:$A$500=$A19)*('Budget original'!$C$3:$AO$3=D$2),'Budget original'!$C$8:$AO$500)</f>
        <v>0</v>
      </c>
      <c r="E19" s="173">
        <f t="shared" ref="E19" si="19">IF(D19=0,0,F19/D19)</f>
        <v>0</v>
      </c>
      <c r="F19" s="173">
        <f>+SUMPRODUCT(('Budget original'!$A$8:$A$500=$A19)*('Budget original'!$C$3:$AO$3=F$2),'Budget original'!$C$8:$AO$500)</f>
        <v>32261.482679999994</v>
      </c>
      <c r="G19" s="176">
        <f>+SUMPRODUCT(('Budget révisé'!$A$8:$A$500=$A19)*('Budget révisé'!$C$3:$AO$3=G$2),'Budget révisé'!$C$8:$AO$500)</f>
        <v>0</v>
      </c>
      <c r="H19" s="173">
        <f t="shared" ref="H19" si="20">IF(G19=0,0,I19/G19)</f>
        <v>0</v>
      </c>
      <c r="I19" s="173">
        <f>+SUMPRODUCT(('Budget révisé'!$A$8:$A$500=$A19)*('Budget révisé'!$C$3:$AO$3=I$2),'Budget révisé'!$C$8:$AO$500)</f>
        <v>32261.482679999994</v>
      </c>
      <c r="J19" s="177"/>
      <c r="K19" s="173"/>
      <c r="L19" s="174">
        <f>-SUMIFS(BV_Data_An_Cour!$P:$P,BV_Data_An_Cour!$U:$U,$B19,BV_Data_An_Cour!$V:$V,$C19,BV_Data_An_Cour!$W:$W,L$2)</f>
        <v>53520.860000000102</v>
      </c>
      <c r="M19" s="176"/>
      <c r="N19" s="174">
        <f>L19-I19</f>
        <v>21259.377320000109</v>
      </c>
      <c r="O19" s="177"/>
      <c r="P19" s="173"/>
      <c r="Q19" s="174">
        <f>-SUMIFS(BV_Data_An_Prec!$P:$P,BV_Data_An_Prec!$U:$U,$B19,BV_Data_An_Prec!$V:$V,$C19,BV_Data_An_Prec!$W:$W,Q$2)</f>
        <v>25299.729999999981</v>
      </c>
      <c r="R19" s="176">
        <f>O19-K19</f>
        <v>0</v>
      </c>
      <c r="S19" s="393">
        <f>L19-Q19</f>
        <v>28221.130000000121</v>
      </c>
      <c r="T19" s="216"/>
      <c r="U19" s="216"/>
      <c r="V19" s="508" t="s">
        <v>3307</v>
      </c>
      <c r="W19" s="1232">
        <f>+I193+I249+I313</f>
        <v>1470291.5576487267</v>
      </c>
      <c r="X19" s="1232">
        <f>+L193+L249+L313</f>
        <v>1383786.15</v>
      </c>
      <c r="Y19" s="1232">
        <f>+X19-W19</f>
        <v>-86505.407648726832</v>
      </c>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1">
      <c r="A20" s="564" t="str">
        <f t="shared" si="1"/>
        <v>Véhicules neufs</v>
      </c>
      <c r="B20" s="24" t="str">
        <f t="shared" si="0"/>
        <v>Véhicules neufs</v>
      </c>
      <c r="C20" s="394"/>
      <c r="D20" s="422"/>
      <c r="E20" s="422"/>
      <c r="F20" s="423"/>
      <c r="G20" s="405"/>
      <c r="H20" s="422"/>
      <c r="I20" s="423"/>
      <c r="J20" s="176"/>
      <c r="K20" s="422"/>
      <c r="L20" s="423"/>
      <c r="M20" s="405"/>
      <c r="N20" s="423"/>
      <c r="O20" s="176"/>
      <c r="P20" s="422"/>
      <c r="Q20" s="423"/>
      <c r="R20" s="405"/>
      <c r="S20" s="424"/>
      <c r="T20" s="216"/>
      <c r="U20" s="216"/>
      <c r="V20" s="508"/>
      <c r="W20" s="508"/>
      <c r="X20" s="508"/>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tr">
        <f t="shared" si="1"/>
        <v>Véhicules neufsRev. Finances</v>
      </c>
      <c r="B21" s="24" t="str">
        <f t="shared" si="0"/>
        <v>Véhicules neufs</v>
      </c>
      <c r="C21" s="258" t="s">
        <v>97</v>
      </c>
      <c r="D21" s="173">
        <f>+SUMPRODUCT(('Budget original'!$A$8:$A$500=$A21)*('Budget original'!$C$3:$AO$3=D$2),'Budget original'!$C$8:$AO$500)</f>
        <v>0</v>
      </c>
      <c r="E21" s="173">
        <f t="shared" ref="E21:E23" si="21">IF(D21=0,0,F21/D21)</f>
        <v>0</v>
      </c>
      <c r="F21" s="173">
        <f>+SUMPRODUCT(('Budget original'!$A$8:$A$500=$A21)*('Budget original'!$C$3:$AO$3=F$2),'Budget original'!$C$8:$AO$500)</f>
        <v>9761.5640825753944</v>
      </c>
      <c r="G21" s="297">
        <f>+SUMPRODUCT(('Budget révisé'!$A$8:$A$500=$A21)*('Budget révisé'!$C$3:$AO$3=G$2),'Budget révisé'!$C$8:$AO$500)</f>
        <v>0</v>
      </c>
      <c r="H21" s="173">
        <f t="shared" ref="H21:H23" si="22">IF(G21=0,0,I21/G21)</f>
        <v>0</v>
      </c>
      <c r="I21" s="173">
        <f>+SUMPRODUCT(('Budget révisé'!$A$8:$A$500=$A21)*('Budget révisé'!$C$3:$AO$3=I$2),'Budget révisé'!$C$8:$AO$500)</f>
        <v>9761.5640825753944</v>
      </c>
      <c r="J21" s="176"/>
      <c r="K21" s="173">
        <f>IF(J13=0,0,L21/(J13+J15))</f>
        <v>209.83324022346369</v>
      </c>
      <c r="L21" s="174">
        <f>-SUMIFS(BV_Data_An_Cour!$P:$P,BV_Data_An_Cour!$U:$U,$B21,BV_Data_An_Cour!$V:$V,$C21,BV_Data_An_Cour!$W:$W,L$2)</f>
        <v>37560.15</v>
      </c>
      <c r="M21" s="176"/>
      <c r="N21" s="174">
        <f t="shared" ref="N21:N24" si="23">L21-I21</f>
        <v>27798.585917424607</v>
      </c>
      <c r="O21" s="176"/>
      <c r="P21" s="173">
        <f>IF(O13=0,0,Q21/(O13+O15))</f>
        <v>17.452236842105261</v>
      </c>
      <c r="Q21" s="174">
        <f>-SUMIFS(BV_Data_An_Prec!$P:$P,BV_Data_An_Prec!$U:$U,$B21,BV_Data_An_Prec!$V:$V,$C21,BV_Data_An_Prec!$W:$W,Q$2)</f>
        <v>5305.48</v>
      </c>
      <c r="R21" s="176">
        <f t="shared" ref="R21:R23" si="24">O21-K21</f>
        <v>-209.83324022346369</v>
      </c>
      <c r="S21" s="393">
        <f t="shared" ref="S21:S24" si="25">L21-Q21</f>
        <v>32254.670000000002</v>
      </c>
      <c r="T21" s="216"/>
      <c r="U21" s="216"/>
      <c r="V21" s="508"/>
      <c r="W21" s="508"/>
      <c r="X21" s="508"/>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5.75" customHeight="1">
      <c r="A22" s="564" t="str">
        <f t="shared" si="1"/>
        <v>Véhicules neufsRev. Protections</v>
      </c>
      <c r="B22" s="24" t="str">
        <f t="shared" si="0"/>
        <v>Véhicules neufs</v>
      </c>
      <c r="C22" s="258" t="s">
        <v>98</v>
      </c>
      <c r="D22" s="173">
        <f>+SUMPRODUCT(('Budget original'!$A$8:$A$500=$A22)*('Budget original'!$C$3:$AO$3=D$2),'Budget original'!$C$8:$AO$500)</f>
        <v>0</v>
      </c>
      <c r="E22" s="173">
        <f t="shared" si="21"/>
        <v>0</v>
      </c>
      <c r="F22" s="173">
        <f>+SUMPRODUCT(('Budget original'!$A$8:$A$500=$A22)*('Budget original'!$C$3:$AO$3=F$2),'Budget original'!$C$8:$AO$500)</f>
        <v>261059.44450268836</v>
      </c>
      <c r="G22" s="297">
        <f>+SUMPRODUCT(('Budget révisé'!$A$8:$A$500=$A22)*('Budget révisé'!$C$3:$AO$3=G$2),'Budget révisé'!$C$8:$AO$500)</f>
        <v>0</v>
      </c>
      <c r="H22" s="173">
        <f t="shared" si="22"/>
        <v>0</v>
      </c>
      <c r="I22" s="173">
        <f>+SUMPRODUCT(('Budget révisé'!$A$8:$A$500=$A22)*('Budget révisé'!$C$3:$AO$3=I$2),'Budget révisé'!$C$8:$AO$500)</f>
        <v>261059.44450268836</v>
      </c>
      <c r="J22" s="176"/>
      <c r="K22" s="173">
        <f>IF(J13=0,0,L22/(J13+J15))</f>
        <v>900.94469273743016</v>
      </c>
      <c r="L22" s="174">
        <f>-SUMIFS(BV_Data_An_Cour!$P:$P,BV_Data_An_Cour!$U:$U,$B22,BV_Data_An_Cour!$V:$V,$C22,BV_Data_An_Cour!$W:$W,L$2)</f>
        <v>161269.1</v>
      </c>
      <c r="M22" s="176"/>
      <c r="N22" s="174">
        <f t="shared" si="23"/>
        <v>-99790.344502688356</v>
      </c>
      <c r="O22" s="176"/>
      <c r="P22" s="173">
        <f>IF(O13=0,0,Q22/(O13+O15))</f>
        <v>719.32194078947362</v>
      </c>
      <c r="Q22" s="174">
        <f>-SUMIFS(BV_Data_An_Prec!$P:$P,BV_Data_An_Prec!$U:$U,$B22,BV_Data_An_Prec!$V:$V,$C22,BV_Data_An_Prec!$W:$W,Q$2)</f>
        <v>218673.87</v>
      </c>
      <c r="R22" s="176">
        <f t="shared" si="24"/>
        <v>-900.94469273743016</v>
      </c>
      <c r="S22" s="393">
        <f t="shared" si="25"/>
        <v>-57404.76999999999</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5.75" customHeight="1">
      <c r="A23" s="564" t="str">
        <f t="shared" si="1"/>
        <v>Véhicules neufsRev. Autres</v>
      </c>
      <c r="B23" s="24" t="str">
        <f t="shared" si="0"/>
        <v>Véhicules neufs</v>
      </c>
      <c r="C23" s="258" t="s">
        <v>99</v>
      </c>
      <c r="D23" s="173">
        <f>+SUMPRODUCT(('Budget original'!$A$8:$A$500=$A23)*('Budget original'!$C$3:$AO$3=D$2),'Budget original'!$C$8:$AO$500)</f>
        <v>0</v>
      </c>
      <c r="E23" s="173">
        <f t="shared" si="21"/>
        <v>0</v>
      </c>
      <c r="F23" s="173">
        <f>+SUMPRODUCT(('Budget original'!$A$8:$A$500=$A23)*('Budget original'!$C$3:$AO$3=F$2),'Budget original'!$C$8:$AO$500)</f>
        <v>6461.2805713627649</v>
      </c>
      <c r="G23" s="297">
        <f>+SUMPRODUCT(('Budget révisé'!$A$8:$A$500=$A23)*('Budget révisé'!$C$3:$AO$3=G$2),'Budget révisé'!$C$8:$AO$500)</f>
        <v>0</v>
      </c>
      <c r="H23" s="173">
        <f t="shared" si="22"/>
        <v>0</v>
      </c>
      <c r="I23" s="173">
        <f>+SUMPRODUCT(('Budget révisé'!$A$8:$A$500=$A23)*('Budget révisé'!$C$3:$AO$3=I$2),'Budget révisé'!$C$8:$AO$500)</f>
        <v>6461.2805713627649</v>
      </c>
      <c r="J23" s="176"/>
      <c r="K23" s="173">
        <f>IF(J13=0,0,L23/(J13+J15))</f>
        <v>17.337262569832401</v>
      </c>
      <c r="L23" s="174">
        <f>-SUMIFS(BV_Data_An_Cour!$P:$P,BV_Data_An_Cour!$U:$U,$B23,BV_Data_An_Cour!$V:$V,$C23,BV_Data_An_Cour!$W:$W,L$2)</f>
        <v>3103.37</v>
      </c>
      <c r="M23" s="400"/>
      <c r="N23" s="174">
        <f t="shared" si="23"/>
        <v>-3357.910571362765</v>
      </c>
      <c r="O23" s="176"/>
      <c r="P23" s="173">
        <f>IF(O13=0,0,Q23/(O13+O15))</f>
        <v>21.02519736842105</v>
      </c>
      <c r="Q23" s="174">
        <f>-SUMIFS(BV_Data_An_Prec!$P:$P,BV_Data_An_Prec!$U:$U,$B23,BV_Data_An_Prec!$V:$V,$C23,BV_Data_An_Prec!$W:$W,Q$2)</f>
        <v>6391.66</v>
      </c>
      <c r="R23" s="176">
        <f t="shared" si="24"/>
        <v>-17.337262569832401</v>
      </c>
      <c r="S23" s="393">
        <f t="shared" si="25"/>
        <v>-3288.29</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5.75" customHeight="1">
      <c r="A24" s="564" t="str">
        <f t="shared" si="1"/>
        <v>Véhicules neufsTotal F&amp;I</v>
      </c>
      <c r="B24" s="24" t="str">
        <f t="shared" si="0"/>
        <v>Véhicules neufs</v>
      </c>
      <c r="C24" s="394" t="s">
        <v>100</v>
      </c>
      <c r="D24" s="395">
        <f>+D15+D13</f>
        <v>326.21445783132532</v>
      </c>
      <c r="E24" s="395">
        <f>IF(D24&lt;=0,0,F24/D24)</f>
        <v>849.99999999999989</v>
      </c>
      <c r="F24" s="396">
        <f>F21+F22+F23</f>
        <v>277282.2891566265</v>
      </c>
      <c r="G24" s="397">
        <f>+G15+G13</f>
        <v>326.21445783132532</v>
      </c>
      <c r="H24" s="395">
        <f>IF(G24&lt;=0,0,I24/G24)</f>
        <v>849.99999999999989</v>
      </c>
      <c r="I24" s="396">
        <f>I21+I22+I23</f>
        <v>277282.2891566265</v>
      </c>
      <c r="J24" s="397">
        <f>+J15+J13</f>
        <v>179</v>
      </c>
      <c r="K24" s="395">
        <f>IF(J24&lt;=0,0,L24/J24)</f>
        <v>1128.1151955307262</v>
      </c>
      <c r="L24" s="396">
        <f>L21+L22+L23</f>
        <v>201932.62</v>
      </c>
      <c r="M24" s="425">
        <f>J24-G24</f>
        <v>-147.21445783132532</v>
      </c>
      <c r="N24" s="396">
        <f t="shared" si="23"/>
        <v>-75349.669156626507</v>
      </c>
      <c r="O24" s="397">
        <f>+O15+O13</f>
        <v>304</v>
      </c>
      <c r="P24" s="395">
        <f>IF(O24&lt;=0,0,Q24/O24)</f>
        <v>757.79937500000005</v>
      </c>
      <c r="Q24" s="396">
        <f>Q21+Q22+Q23</f>
        <v>230371.01</v>
      </c>
      <c r="R24" s="405"/>
      <c r="S24" s="398">
        <f t="shared" si="25"/>
        <v>-28438.390000000014</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tr">
        <f t="shared" si="1"/>
        <v>Véhicules neufs</v>
      </c>
      <c r="B25" s="24" t="str">
        <f t="shared" si="0"/>
        <v>Véhicules neufs</v>
      </c>
      <c r="C25" s="258"/>
      <c r="D25" s="172"/>
      <c r="E25" s="172"/>
      <c r="F25" s="298"/>
      <c r="G25" s="297"/>
      <c r="H25" s="172"/>
      <c r="I25" s="298"/>
      <c r="J25" s="297"/>
      <c r="K25" s="172"/>
      <c r="L25" s="298"/>
      <c r="M25" s="356"/>
      <c r="N25" s="326">
        <f>IF(N24=0,0,N24/I24)</f>
        <v>-0.27174353394804912</v>
      </c>
      <c r="O25" s="297"/>
      <c r="P25" s="172"/>
      <c r="Q25" s="298"/>
      <c r="R25" s="319"/>
      <c r="S25" s="327">
        <f>IF(Q24=0,0,(S24/Q24))</f>
        <v>-0.12344604470849006</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tr">
        <f t="shared" si="1"/>
        <v>Véhicules neufs</v>
      </c>
      <c r="B26" s="24" t="str">
        <f t="shared" si="0"/>
        <v>Véhicules neufs</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tr">
        <f t="shared" si="1"/>
        <v>Véhicules neufsTotal Dépt. Neufs</v>
      </c>
      <c r="B27" s="24" t="str">
        <f t="shared" si="0"/>
        <v>Véhicules neufs</v>
      </c>
      <c r="C27" s="263" t="s">
        <v>101</v>
      </c>
      <c r="D27" s="26">
        <f>+D13+D15+D17</f>
        <v>330.64429348239992</v>
      </c>
      <c r="E27" s="27">
        <f>IF(D27&lt;=0,0,F27/D27)</f>
        <v>2829.4591873904283</v>
      </c>
      <c r="F27" s="28">
        <f>F13+F17+F24+F19+F15</f>
        <v>935544.53395199357</v>
      </c>
      <c r="G27" s="29">
        <f>+G13+G15+G17</f>
        <v>330.64429348239992</v>
      </c>
      <c r="H27" s="27">
        <f>IF(G27&lt;=0,0,I27/G27)</f>
        <v>2829.4591873904283</v>
      </c>
      <c r="I27" s="28">
        <f>I13+I17+I24+I19+I15</f>
        <v>935544.53395199357</v>
      </c>
      <c r="J27" s="29">
        <f>+J13+J15+J17</f>
        <v>181</v>
      </c>
      <c r="K27" s="27">
        <f>IF(J27&lt;=0,0,L27/J27)</f>
        <v>4643.9313812154624</v>
      </c>
      <c r="L27" s="28">
        <f>L13+L17+L24+L19+L15</f>
        <v>840551.57999999868</v>
      </c>
      <c r="M27" s="29">
        <f>J27-G27</f>
        <v>-149.64429348239992</v>
      </c>
      <c r="N27" s="28">
        <f>L27-I27</f>
        <v>-94992.953951994888</v>
      </c>
      <c r="O27" s="29">
        <f>+O13+O15+O17</f>
        <v>321</v>
      </c>
      <c r="P27" s="27">
        <f>IF(O27&lt;=0,0,Q27/O27)</f>
        <v>2406.9524299065447</v>
      </c>
      <c r="Q27" s="28">
        <f>Q13+Q17+Q24+Q19+Q15</f>
        <v>772631.73000000091</v>
      </c>
      <c r="R27" s="29">
        <f>J27-O27</f>
        <v>-140</v>
      </c>
      <c r="S27" s="357">
        <f>L27-Q27</f>
        <v>67919.849999997765</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tr">
        <f t="shared" si="1"/>
        <v>Véhicules neufs</v>
      </c>
      <c r="B28" s="24" t="str">
        <f t="shared" si="0"/>
        <v>Véhicules neufs</v>
      </c>
      <c r="C28" s="358"/>
      <c r="D28" s="359"/>
      <c r="E28" s="359"/>
      <c r="F28" s="32"/>
      <c r="G28" s="31"/>
      <c r="H28" s="359"/>
      <c r="I28" s="32"/>
      <c r="J28" s="31"/>
      <c r="K28" s="359"/>
      <c r="L28" s="32"/>
      <c r="M28" s="33">
        <f>M27/G27</f>
        <v>-0.45258392911101436</v>
      </c>
      <c r="N28" s="34">
        <f>N27/I27</f>
        <v>-0.10153760778305114</v>
      </c>
      <c r="O28" s="31"/>
      <c r="P28" s="359"/>
      <c r="Q28" s="32"/>
      <c r="R28" s="33">
        <f>R27/O27</f>
        <v>-0.43613707165109034</v>
      </c>
      <c r="S28" s="266">
        <f>IF(Q27=0,0,S27/Q27)</f>
        <v>8.7907145620330251E-2</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tr">
        <f t="shared" si="1"/>
        <v>Véhicules neufs</v>
      </c>
      <c r="B29" s="24" t="str">
        <f t="shared" si="0"/>
        <v>Véhicules neufs</v>
      </c>
      <c r="C29" s="267"/>
      <c r="D29" s="235"/>
      <c r="E29" s="235"/>
      <c r="F29" s="504"/>
      <c r="G29" s="234"/>
      <c r="H29" s="235"/>
      <c r="I29" s="504"/>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tr">
        <f t="shared" si="1"/>
        <v>Véhicules neufsDEPENSES</v>
      </c>
      <c r="B30" s="24" t="str">
        <f t="shared" si="0"/>
        <v>Véhicules neufs</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tr">
        <f t="shared" si="1"/>
        <v>Véhicules neufsComm. vendeurs</v>
      </c>
      <c r="B31" s="24" t="str">
        <f t="shared" si="0"/>
        <v>Véhicules neufs</v>
      </c>
      <c r="C31" s="258" t="s">
        <v>103</v>
      </c>
      <c r="D31" s="295"/>
      <c r="E31" s="191">
        <f t="shared" ref="E31:E36" si="26">F31/D$24</f>
        <v>631.17013187919372</v>
      </c>
      <c r="F31" s="173">
        <f>+SUMPRODUCT(('Budget original'!$A$8:$A$500=$A31)*('Budget original'!$C$3:$AO$3=F$2),'Budget original'!$C$8:$AO$500)</f>
        <v>205896.82237029728</v>
      </c>
      <c r="G31" s="296"/>
      <c r="H31" s="191">
        <f t="shared" ref="H31:H36" si="27">I31/G$24</f>
        <v>631.17013187919372</v>
      </c>
      <c r="I31" s="173">
        <f>+SUMPRODUCT(('Budget révisé'!$A$8:$A$500=$A31)*('Budget révisé'!$C$3:$AO$3=I$2),'Budget révisé'!$C$8:$AO$500)</f>
        <v>205896.82237029728</v>
      </c>
      <c r="J31" s="952">
        <f>L31/(L13+L15+L17)</f>
        <v>0.33981197341095531</v>
      </c>
      <c r="K31" s="191">
        <f t="shared" ref="K31:K36" si="28">IF(L31=0,0,L31/J$24)</f>
        <v>1110.7449162011173</v>
      </c>
      <c r="L31" s="173">
        <f>SUMIFS(BV_Data_An_Cour!$P:$P,BV_Data_An_Cour!$U:$U,$B31,BV_Data_An_Cour!$V:$V,$C31,BV_Data_An_Cour!$W:$W,L$2)</f>
        <v>198823.34</v>
      </c>
      <c r="M31" s="297"/>
      <c r="N31" s="298">
        <f t="shared" ref="N31:N53" si="29">L31-I31</f>
        <v>-7073.482370297279</v>
      </c>
      <c r="O31" s="297"/>
      <c r="P31" s="191">
        <f t="shared" ref="P31:P36" si="30">IF(Q31=0,0,Q31/O$24)</f>
        <v>606.05246710526319</v>
      </c>
      <c r="Q31" s="174">
        <f>SUMIFS(BV_Data_An_Prec!$P:$P,BV_Data_An_Prec!$U:$U,$B31,BV_Data_An_Prec!$V:$V,$C31,BV_Data_An_Prec!$W:$W,Q$2)</f>
        <v>184239.95</v>
      </c>
      <c r="R31" s="297"/>
      <c r="S31" s="193">
        <f t="shared" ref="S31:S41" si="31">L31-Q31</f>
        <v>14583.389999999985</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tr">
        <f t="shared" si="1"/>
        <v>Véhicules neufsComm. F&amp;I</v>
      </c>
      <c r="B32" s="24" t="str">
        <f t="shared" si="0"/>
        <v>Véhicules neufs</v>
      </c>
      <c r="C32" s="320" t="s">
        <v>104</v>
      </c>
      <c r="D32" s="301"/>
      <c r="E32" s="407">
        <f t="shared" si="26"/>
        <v>254.99999999999997</v>
      </c>
      <c r="F32" s="171">
        <f>+SUMPRODUCT(('Budget original'!$A$8:$A$500=$A32)*('Budget original'!$C$3:$AO$3=F$2),'Budget original'!$C$8:$AO$500)</f>
        <v>83184.686746987951</v>
      </c>
      <c r="G32" s="303"/>
      <c r="H32" s="184">
        <f t="shared" si="27"/>
        <v>254.99999999999997</v>
      </c>
      <c r="I32" s="171">
        <f>+SUMPRODUCT(('Budget révisé'!$A$8:$A$500=$A32)*('Budget révisé'!$C$3:$AO$3=I$2),'Budget révisé'!$C$8:$AO$500)</f>
        <v>83184.686746987951</v>
      </c>
      <c r="J32" s="953">
        <f>L32/L24</f>
        <v>0.34403079601502717</v>
      </c>
      <c r="K32" s="407">
        <f t="shared" si="28"/>
        <v>388.10636871508376</v>
      </c>
      <c r="L32" s="171">
        <f>SUMIFS(BV_Data_An_Cour!$P:$P,BV_Data_An_Cour!$U:$U,$B32,BV_Data_An_Cour!$V:$V,$C32,BV_Data_An_Cour!$W:$W,L$2)</f>
        <v>69471.039999999994</v>
      </c>
      <c r="M32" s="304"/>
      <c r="N32" s="305">
        <f t="shared" si="29"/>
        <v>-13713.646746987957</v>
      </c>
      <c r="O32" s="304"/>
      <c r="P32" s="407">
        <f t="shared" si="30"/>
        <v>230.60585526315788</v>
      </c>
      <c r="Q32" s="171">
        <f>SUMIFS(BV_Data_An_Prec!$P:$P,BV_Data_An_Prec!$U:$U,$B32,BV_Data_An_Prec!$V:$V,$C32,BV_Data_An_Prec!$W:$W,Q$2)</f>
        <v>70104.179999999993</v>
      </c>
      <c r="R32" s="304"/>
      <c r="S32" s="196">
        <f t="shared" si="31"/>
        <v>-633.13999999999942</v>
      </c>
      <c r="T32" s="216"/>
      <c r="U32" s="216"/>
      <c r="V32" s="508"/>
      <c r="W32" s="508"/>
      <c r="X32" s="508"/>
      <c r="Y32" s="508"/>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tr">
        <f t="shared" si="1"/>
        <v>Véhicules neufsFrais de livraison</v>
      </c>
      <c r="B33" s="24" t="str">
        <f t="shared" si="0"/>
        <v>Véhicules neufs</v>
      </c>
      <c r="C33" s="258" t="s">
        <v>105</v>
      </c>
      <c r="D33" s="295"/>
      <c r="E33" s="191">
        <f t="shared" si="26"/>
        <v>167.84930226439226</v>
      </c>
      <c r="F33" s="173">
        <f>+SUMPRODUCT(('Budget original'!$A$8:$A$500=$A33)*('Budget original'!$C$3:$AO$3=F$2),'Budget original'!$C$8:$AO$500)</f>
        <v>54754.86913554497</v>
      </c>
      <c r="G33" s="296"/>
      <c r="H33" s="191">
        <f t="shared" si="27"/>
        <v>167.84930226439226</v>
      </c>
      <c r="I33" s="173">
        <f>+SUMPRODUCT(('Budget révisé'!$A$8:$A$500=$A33)*('Budget révisé'!$C$3:$AO$3=I$2),'Budget révisé'!$C$8:$AO$500)</f>
        <v>54754.86913554497</v>
      </c>
      <c r="J33" s="297"/>
      <c r="K33" s="191">
        <f t="shared" si="28"/>
        <v>123.86955307262571</v>
      </c>
      <c r="L33" s="173">
        <f>SUMIFS(BV_Data_An_Cour!$P:$P,BV_Data_An_Cour!$U:$U,$B33,BV_Data_An_Cour!$V:$V,$C33,BV_Data_An_Cour!$W:$W,L$2)</f>
        <v>22172.65</v>
      </c>
      <c r="M33" s="297"/>
      <c r="N33" s="298">
        <f t="shared" si="29"/>
        <v>-32582.219135544969</v>
      </c>
      <c r="O33" s="297"/>
      <c r="P33" s="191">
        <f t="shared" si="30"/>
        <v>136.09006578947367</v>
      </c>
      <c r="Q33" s="174">
        <f>SUMIFS(BV_Data_An_Prec!$P:$P,BV_Data_An_Prec!$U:$U,$B33,BV_Data_An_Prec!$V:$V,$C33,BV_Data_An_Prec!$W:$W,Q$2)</f>
        <v>41371.379999999997</v>
      </c>
      <c r="R33" s="297"/>
      <c r="S33" s="193">
        <f t="shared" si="31"/>
        <v>-19198.729999999996</v>
      </c>
      <c r="T33" s="216"/>
      <c r="U33" s="216"/>
      <c r="V33" s="508"/>
      <c r="W33" s="508"/>
      <c r="X33" s="508"/>
      <c r="Y33" s="508"/>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tr">
        <f t="shared" si="1"/>
        <v>Véhicules neufsService gratuit 1</v>
      </c>
      <c r="B34" s="24" t="str">
        <f t="shared" si="0"/>
        <v>Véhicules neufs</v>
      </c>
      <c r="C34" s="258" t="s">
        <v>106</v>
      </c>
      <c r="D34" s="295"/>
      <c r="E34" s="191">
        <f t="shared" si="26"/>
        <v>7.3548076275245782</v>
      </c>
      <c r="F34" s="173">
        <f>+SUMPRODUCT(('Budget original'!$A$8:$A$500=$A34)*('Budget original'!$C$3:$AO$3=F$2),'Budget original'!$C$8:$AO$500)</f>
        <v>2399.2445826666262</v>
      </c>
      <c r="G34" s="296"/>
      <c r="H34" s="191">
        <f t="shared" si="27"/>
        <v>7.3548076275245782</v>
      </c>
      <c r="I34" s="173">
        <f>+SUMPRODUCT(('Budget révisé'!$A$8:$A$500=$A34)*('Budget révisé'!$C$3:$AO$3=I$2),'Budget révisé'!$C$8:$AO$500)</f>
        <v>2399.2445826666262</v>
      </c>
      <c r="J34" s="297"/>
      <c r="K34" s="191">
        <f t="shared" si="28"/>
        <v>1.4301675977653632</v>
      </c>
      <c r="L34" s="173">
        <f>SUMIFS(BV_Data_An_Cour!$P:$P,BV_Data_An_Cour!$U:$U,$B34,BV_Data_An_Cour!$V:$V,$C34,BV_Data_An_Cour!$W:$W,L$2)</f>
        <v>256</v>
      </c>
      <c r="M34" s="297"/>
      <c r="N34" s="298">
        <f t="shared" si="29"/>
        <v>-2143.2445826666262</v>
      </c>
      <c r="O34" s="297"/>
      <c r="P34" s="191">
        <f t="shared" si="30"/>
        <v>5.9635197368421053</v>
      </c>
      <c r="Q34" s="174">
        <f>SUMIFS(BV_Data_An_Prec!$P:$P,BV_Data_An_Prec!$U:$U,$B34,BV_Data_An_Prec!$V:$V,$C34,BV_Data_An_Prec!$W:$W,Q$2)</f>
        <v>1812.91</v>
      </c>
      <c r="R34" s="297"/>
      <c r="S34" s="193">
        <f t="shared" si="31"/>
        <v>-1556.91</v>
      </c>
      <c r="T34" s="216"/>
      <c r="U34" s="216"/>
      <c r="V34" s="508"/>
      <c r="W34" s="508"/>
      <c r="X34" s="508"/>
      <c r="Y34" s="508"/>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tr">
        <f t="shared" si="1"/>
        <v>Véhicules neufsEntretien stock</v>
      </c>
      <c r="B35" s="24" t="str">
        <f t="shared" si="0"/>
        <v>Véhicules neufs</v>
      </c>
      <c r="C35" s="320" t="s">
        <v>107</v>
      </c>
      <c r="D35" s="301"/>
      <c r="E35" s="407">
        <f t="shared" si="26"/>
        <v>17.733118212476484</v>
      </c>
      <c r="F35" s="171">
        <f>+SUMPRODUCT(('Budget original'!$A$8:$A$500=$A35)*('Budget original'!$C$3:$AO$3=F$2),'Budget original'!$C$8:$AO$500)</f>
        <v>5784.7995433418164</v>
      </c>
      <c r="G35" s="303"/>
      <c r="H35" s="184">
        <f t="shared" si="27"/>
        <v>17.733118212476484</v>
      </c>
      <c r="I35" s="171">
        <f>+SUMPRODUCT(('Budget révisé'!$A$8:$A$500=$A35)*('Budget révisé'!$C$3:$AO$3=I$2),'Budget révisé'!$C$8:$AO$500)</f>
        <v>5784.7995433418164</v>
      </c>
      <c r="J35" s="304"/>
      <c r="K35" s="407">
        <f t="shared" si="28"/>
        <v>116.77530726256983</v>
      </c>
      <c r="L35" s="171">
        <f>SUMIFS(BV_Data_An_Cour!$P:$P,BV_Data_An_Cour!$U:$U,$B35,BV_Data_An_Cour!$V:$V,$C35,BV_Data_An_Cour!$W:$W,L$2)</f>
        <v>20902.78</v>
      </c>
      <c r="M35" s="304"/>
      <c r="N35" s="305">
        <f t="shared" si="29"/>
        <v>15117.980456658182</v>
      </c>
      <c r="O35" s="304"/>
      <c r="P35" s="407">
        <f t="shared" si="30"/>
        <v>11.150098684210526</v>
      </c>
      <c r="Q35" s="174">
        <f>SUMIFS(BV_Data_An_Prec!$P:$P,BV_Data_An_Prec!$U:$U,$B35,BV_Data_An_Prec!$V:$V,$C35,BV_Data_An_Prec!$W:$W,Q$2)</f>
        <v>3389.63</v>
      </c>
      <c r="R35" s="304"/>
      <c r="S35" s="196">
        <f t="shared" si="31"/>
        <v>17513.149999999998</v>
      </c>
      <c r="T35" s="216"/>
      <c r="U35" s="216"/>
      <c r="V35" s="508"/>
      <c r="W35" s="954"/>
      <c r="X35" s="508"/>
      <c r="Y35" s="508"/>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tr">
        <f t="shared" si="1"/>
        <v>Véhicules neufsPublicité 1</v>
      </c>
      <c r="B36" s="24" t="str">
        <f t="shared" si="0"/>
        <v>Véhicules neufs</v>
      </c>
      <c r="C36" s="258" t="s">
        <v>108</v>
      </c>
      <c r="D36" s="295"/>
      <c r="E36" s="191">
        <f t="shared" si="26"/>
        <v>195.93765281173592</v>
      </c>
      <c r="F36" s="173">
        <f>+SUMPRODUCT(('Budget original'!$A$8:$A$500=$A36)*('Budget original'!$C$3:$AO$3=F$2),'Budget original'!$C$8:$AO$500)</f>
        <v>63917.695180722883</v>
      </c>
      <c r="G36" s="296"/>
      <c r="H36" s="191">
        <f t="shared" si="27"/>
        <v>195.93765281173592</v>
      </c>
      <c r="I36" s="173">
        <f>+SUMPRODUCT(('Budget révisé'!$A$8:$A$500=$A36)*('Budget révisé'!$C$3:$AO$3=I$2),'Budget révisé'!$C$8:$AO$500)</f>
        <v>63917.695180722883</v>
      </c>
      <c r="J36" s="297"/>
      <c r="K36" s="191">
        <f t="shared" si="28"/>
        <v>373.24581005586595</v>
      </c>
      <c r="L36" s="623">
        <f>SUMIFS(BV_Data_An_Cour!$P:$P,BV_Data_An_Cour!$U:$U,$B36,BV_Data_An_Cour!$V:$V,$C36,BV_Data_An_Cour!$W:$W,L$2)</f>
        <v>66811</v>
      </c>
      <c r="M36" s="172"/>
      <c r="N36" s="298">
        <f t="shared" si="29"/>
        <v>2893.3048192771166</v>
      </c>
      <c r="O36" s="297"/>
      <c r="P36" s="191">
        <f t="shared" si="30"/>
        <v>153.51819078947369</v>
      </c>
      <c r="Q36" s="423">
        <f>SUMIFS(BV_Data_An_Prec!$P:$P,BV_Data_An_Prec!$U:$U,$B36,BV_Data_An_Prec!$V:$V,$C36,BV_Data_An_Prec!$W:$W,Q$2)</f>
        <v>46669.53</v>
      </c>
      <c r="R36" s="297"/>
      <c r="S36" s="193">
        <f t="shared" si="31"/>
        <v>20141.47</v>
      </c>
      <c r="T36" s="216"/>
      <c r="U36" s="216"/>
      <c r="V36" s="508"/>
      <c r="W36" s="508"/>
      <c r="X36" s="508"/>
      <c r="Y36" s="508"/>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ht="15.75" customHeight="1">
      <c r="A37" s="564" t="str">
        <f t="shared" ref="A37:A39" si="32">+B37&amp;C37</f>
        <v>Véhicules neufsIntérêt de gros</v>
      </c>
      <c r="B37" s="24" t="str">
        <f t="shared" si="0"/>
        <v>Véhicules neufs</v>
      </c>
      <c r="C37" s="258" t="s">
        <v>109</v>
      </c>
      <c r="D37" s="295"/>
      <c r="E37" s="191">
        <f t="shared" ref="E37:E40" si="33">F37/D$24</f>
        <v>108.84517140737829</v>
      </c>
      <c r="F37" s="173">
        <f>+SUMPRODUCT(('Budget original'!$A$8:$A$500=$A37)*('Budget original'!$C$3:$AO$3=F$2),'Budget original'!$C$8:$AO$500)</f>
        <v>35506.868578215581</v>
      </c>
      <c r="G37" s="296"/>
      <c r="H37" s="191">
        <f t="shared" ref="H37:H40" si="34">I37/G$24</f>
        <v>108.84517140737829</v>
      </c>
      <c r="I37" s="173">
        <f>+SUMPRODUCT(('Budget révisé'!$A$8:$A$500=$A37)*('Budget révisé'!$C$3:$AO$3=I$2),'Budget révisé'!$C$8:$AO$500)</f>
        <v>35506.868578215581</v>
      </c>
      <c r="J37" s="297"/>
      <c r="K37" s="191">
        <f t="shared" ref="K37:K40" si="35">IF(L37=0,0,L37/J$24)</f>
        <v>20.835418994413409</v>
      </c>
      <c r="L37" s="624">
        <f>SUMIFS(BV_Data_An_Cour!$P:$P,BV_Data_An_Cour!$U:$U,$B37,BV_Data_An_Cour!$V:$V,$C37,BV_Data_An_Cour!$W:$W,L$2)</f>
        <v>3729.54</v>
      </c>
      <c r="M37" s="172"/>
      <c r="N37" s="298">
        <f t="shared" ref="N37:N40" si="36">L37-I37</f>
        <v>-31777.32857821558</v>
      </c>
      <c r="O37" s="297"/>
      <c r="P37" s="191">
        <f t="shared" ref="P37:P40" si="37">IF(Q37=0,0,Q37/O$24)</f>
        <v>217.55453947368423</v>
      </c>
      <c r="Q37" s="174">
        <f>SUMIFS(BV_Data_An_Prec!$P:$P,BV_Data_An_Prec!$U:$U,$B37,BV_Data_An_Prec!$V:$V,$C37,BV_Data_An_Prec!$W:$W,Q$2)</f>
        <v>66136.58</v>
      </c>
      <c r="R37" s="297"/>
      <c r="S37" s="193">
        <f t="shared" ref="S37:S40" si="38">L37-Q37</f>
        <v>-62407.040000000001</v>
      </c>
      <c r="T37" s="216"/>
      <c r="U37" s="216"/>
      <c r="V37" s="508"/>
      <c r="W37" s="508"/>
      <c r="X37" s="508"/>
      <c r="Y37" s="508"/>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ht="15.75" hidden="1" customHeight="1">
      <c r="A38" s="564" t="str">
        <f t="shared" si="32"/>
        <v>Véhicules neufs[...]</v>
      </c>
      <c r="B38" s="24" t="str">
        <f t="shared" si="0"/>
        <v>Véhicules neufs</v>
      </c>
      <c r="C38" s="258" t="s">
        <v>42</v>
      </c>
      <c r="D38" s="295"/>
      <c r="E38" s="191">
        <f t="shared" si="33"/>
        <v>0</v>
      </c>
      <c r="F38" s="173">
        <f>+SUMPRODUCT(('Budget original'!$A$8:$A$500=$A38)*('Budget original'!$C$3:$AO$3=F$2),'Budget original'!$C$8:$AO$500)</f>
        <v>0</v>
      </c>
      <c r="G38" s="296"/>
      <c r="H38" s="191">
        <f t="shared" si="34"/>
        <v>0</v>
      </c>
      <c r="I38" s="173">
        <f>+SUMPRODUCT(('Budget révisé'!$A$8:$A$500=$A38)*('Budget révisé'!$C$3:$AO$3=I$2),'Budget révisé'!$C$8:$AO$500)</f>
        <v>0</v>
      </c>
      <c r="J38" s="297"/>
      <c r="K38" s="191">
        <f t="shared" si="35"/>
        <v>0</v>
      </c>
      <c r="L38" s="624">
        <f>SUMIFS(BV_Data_An_Cour!$P:$P,BV_Data_An_Cour!$U:$U,$B38,BV_Data_An_Cour!$V:$V,$C38,BV_Data_An_Cour!$W:$W,L$2)</f>
        <v>0</v>
      </c>
      <c r="M38" s="172"/>
      <c r="N38" s="298">
        <f t="shared" si="36"/>
        <v>0</v>
      </c>
      <c r="O38" s="297"/>
      <c r="P38" s="191">
        <f t="shared" si="37"/>
        <v>0</v>
      </c>
      <c r="Q38" s="174">
        <f>SUMIFS(BV_Data_An_Prec!$P:$P,BV_Data_An_Prec!$U:$U,$B38,BV_Data_An_Prec!$V:$V,$C38,BV_Data_An_Prec!$W:$W,Q$2)</f>
        <v>0</v>
      </c>
      <c r="R38" s="297"/>
      <c r="S38" s="193">
        <f t="shared" si="38"/>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ht="15.75" hidden="1" customHeight="1">
      <c r="A39" s="564" t="str">
        <f t="shared" si="32"/>
        <v>Véhicules neufs[...]</v>
      </c>
      <c r="B39" s="24" t="str">
        <f t="shared" si="0"/>
        <v>Véhicules neufs</v>
      </c>
      <c r="C39" s="258" t="s">
        <v>42</v>
      </c>
      <c r="D39" s="295"/>
      <c r="E39" s="191">
        <f t="shared" si="33"/>
        <v>0</v>
      </c>
      <c r="F39" s="173">
        <f>+SUMPRODUCT(('Budget original'!$A$8:$A$500=$A39)*('Budget original'!$C$3:$AO$3=F$2),'Budget original'!$C$8:$AO$500)</f>
        <v>0</v>
      </c>
      <c r="G39" s="296"/>
      <c r="H39" s="191">
        <f t="shared" si="34"/>
        <v>0</v>
      </c>
      <c r="I39" s="173">
        <f>+SUMPRODUCT(('Budget révisé'!$A$8:$A$500=$A39)*('Budget révisé'!$C$3:$AO$3=I$2),'Budget révisé'!$C$8:$AO$500)</f>
        <v>0</v>
      </c>
      <c r="J39" s="297"/>
      <c r="K39" s="191">
        <f t="shared" si="35"/>
        <v>0</v>
      </c>
      <c r="L39" s="624">
        <f>SUMIFS(BV_Data_An_Cour!$P:$P,BV_Data_An_Cour!$U:$U,$B39,BV_Data_An_Cour!$V:$V,$C39,BV_Data_An_Cour!$W:$W,L$2)</f>
        <v>0</v>
      </c>
      <c r="M39" s="172"/>
      <c r="N39" s="298">
        <f t="shared" si="36"/>
        <v>0</v>
      </c>
      <c r="O39" s="297"/>
      <c r="P39" s="191">
        <f t="shared" si="37"/>
        <v>0</v>
      </c>
      <c r="Q39" s="174">
        <f>SUMIFS(BV_Data_An_Prec!$P:$P,BV_Data_An_Prec!$U:$U,$B39,BV_Data_An_Prec!$V:$V,$C39,BV_Data_An_Prec!$W:$W,Q$2)</f>
        <v>0</v>
      </c>
      <c r="R39" s="297"/>
      <c r="S39" s="193">
        <f t="shared" si="38"/>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tr">
        <f t="shared" si="1"/>
        <v>Véhicules neufs[...]</v>
      </c>
      <c r="B40" s="24" t="str">
        <f t="shared" si="0"/>
        <v>Véhicules neufs</v>
      </c>
      <c r="C40" s="258" t="s">
        <v>42</v>
      </c>
      <c r="D40" s="295"/>
      <c r="E40" s="191">
        <f t="shared" si="33"/>
        <v>0</v>
      </c>
      <c r="F40" s="173">
        <f>+SUMPRODUCT(('Budget original'!$A$8:$A$500=$A40)*('Budget original'!$C$3:$AO$3=F$2),'Budget original'!$C$8:$AO$500)</f>
        <v>0</v>
      </c>
      <c r="G40" s="296"/>
      <c r="H40" s="191">
        <f t="shared" si="34"/>
        <v>0</v>
      </c>
      <c r="I40" s="173">
        <f>+SUMPRODUCT(('Budget révisé'!$A$8:$A$500=$A40)*('Budget révisé'!$C$3:$AO$3=I$2),'Budget révisé'!$C$8:$AO$500)</f>
        <v>0</v>
      </c>
      <c r="J40" s="297"/>
      <c r="K40" s="191">
        <f t="shared" si="35"/>
        <v>0</v>
      </c>
      <c r="L40" s="625">
        <f>SUMIFS(BV_Data_An_Cour!$P:$P,BV_Data_An_Cour!$U:$U,$B40,BV_Data_An_Cour!$V:$V,$C40,BV_Data_An_Cour!$W:$W,L$2)</f>
        <v>0</v>
      </c>
      <c r="M40" s="172"/>
      <c r="N40" s="298">
        <f t="shared" si="36"/>
        <v>0</v>
      </c>
      <c r="O40" s="297"/>
      <c r="P40" s="191">
        <f t="shared" si="37"/>
        <v>0</v>
      </c>
      <c r="Q40" s="174">
        <f>SUMIFS(BV_Data_An_Prec!$P:$P,BV_Data_An_Prec!$U:$U,$B40,BV_Data_An_Prec!$V:$V,$C40,BV_Data_An_Prec!$W:$W,Q$2)</f>
        <v>0</v>
      </c>
      <c r="R40" s="297"/>
      <c r="S40" s="193">
        <f t="shared" si="38"/>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tr">
        <f t="shared" si="1"/>
        <v>Véhicules neufsTOTAL VARIABLES</v>
      </c>
      <c r="B41" s="24" t="str">
        <f t="shared" si="0"/>
        <v>Véhicules neufs</v>
      </c>
      <c r="C41" s="292" t="s">
        <v>110</v>
      </c>
      <c r="D41" s="39" t="s">
        <v>111</v>
      </c>
      <c r="E41" s="40">
        <f>F41/F$27</f>
        <v>0.48254783150808567</v>
      </c>
      <c r="F41" s="41">
        <f>SUM(F31:F40)</f>
        <v>451444.9861377771</v>
      </c>
      <c r="G41" s="42" t="s">
        <v>111</v>
      </c>
      <c r="H41" s="40">
        <f>I41/I$27</f>
        <v>0.48254783150808567</v>
      </c>
      <c r="I41" s="41">
        <f>SUM(I31:I40)</f>
        <v>451444.9861377771</v>
      </c>
      <c r="J41" s="42" t="s">
        <v>111</v>
      </c>
      <c r="K41" s="40">
        <f>L41/L$27</f>
        <v>0.45466139032181779</v>
      </c>
      <c r="L41" s="41">
        <f>SUM(L31:L40)</f>
        <v>382166.35000000003</v>
      </c>
      <c r="M41" s="577"/>
      <c r="N41" s="41">
        <f t="shared" si="29"/>
        <v>-69278.636137777066</v>
      </c>
      <c r="O41" s="42" t="s">
        <v>111</v>
      </c>
      <c r="P41" s="40">
        <f>Q41/Q$27</f>
        <v>0.53547394435897611</v>
      </c>
      <c r="Q41" s="576">
        <f>SUM(Q31:Q40)</f>
        <v>413724.15999999997</v>
      </c>
      <c r="R41" s="44"/>
      <c r="S41" s="310">
        <f t="shared" si="31"/>
        <v>-31557.809999999939</v>
      </c>
      <c r="T41" s="216"/>
      <c r="U41" s="1081">
        <f>H41/K41</f>
        <v>1.0613345267046523</v>
      </c>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tr">
        <f t="shared" si="1"/>
        <v>Véhicules neufsSalaires cadres</v>
      </c>
      <c r="B42" s="24" t="str">
        <f t="shared" si="0"/>
        <v>Véhicules neufs</v>
      </c>
      <c r="C42" s="299" t="s">
        <v>112</v>
      </c>
      <c r="D42" s="172"/>
      <c r="E42" s="172"/>
      <c r="F42" s="173">
        <f>+SUMPRODUCT(('Budget original'!$A$8:$A$500=$A42)*('Budget original'!$C$3:$AO$3=F$2),'Budget original'!$C$8:$AO$500)</f>
        <v>77850.223563218402</v>
      </c>
      <c r="G42" s="297"/>
      <c r="H42" s="172"/>
      <c r="I42" s="173">
        <f>+SUMPRODUCT(('Budget révisé'!$A$8:$A$500=$A42)*('Budget révisé'!$C$3:$AO$3=I$2),'Budget révisé'!$C$8:$AO$500)</f>
        <v>77850.223563218402</v>
      </c>
      <c r="J42" s="297"/>
      <c r="K42" s="172"/>
      <c r="L42" s="275">
        <f>SUMIFS(BV_Data_An_Cour!$P:$P,BV_Data_An_Cour!$U:$U,$B42,BV_Data_An_Cour!$V:$V,$C42,BV_Data_An_Cour!$W:$W,L$2)</f>
        <v>69677.2</v>
      </c>
      <c r="M42" s="297"/>
      <c r="N42" s="298">
        <f t="shared" si="29"/>
        <v>-8173.0235632184049</v>
      </c>
      <c r="O42" s="297"/>
      <c r="P42" s="172"/>
      <c r="Q42" s="174">
        <f>SUMIFS(BV_Data_An_Prec!$P:$P,BV_Data_An_Prec!$U:$U,$B42,BV_Data_An_Prec!$V:$V,$C42,BV_Data_An_Prec!$W:$W,Q$2)</f>
        <v>105352.54</v>
      </c>
      <c r="R42" s="297"/>
      <c r="S42" s="193"/>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tr">
        <f t="shared" si="1"/>
        <v>Véhicules neufsSalaires commis</v>
      </c>
      <c r="B43" s="24" t="str">
        <f t="shared" si="0"/>
        <v>Véhicules neufs</v>
      </c>
      <c r="C43" s="300" t="s">
        <v>113</v>
      </c>
      <c r="D43" s="295"/>
      <c r="E43" s="172"/>
      <c r="F43" s="171">
        <f>+SUMPRODUCT(('Budget original'!$A$8:$A$500=$A43)*('Budget original'!$C$3:$AO$3=F$2),'Budget original'!$C$8:$AO$500)</f>
        <v>47802.373733758621</v>
      </c>
      <c r="G43" s="296"/>
      <c r="H43" s="172"/>
      <c r="I43" s="171">
        <f>+SUMPRODUCT(('Budget révisé'!$A$8:$A$500=$A43)*('Budget révisé'!$C$3:$AO$3=I$2),'Budget révisé'!$C$8:$AO$500)</f>
        <v>47802.373733758621</v>
      </c>
      <c r="J43" s="297"/>
      <c r="K43" s="1079"/>
      <c r="L43" s="275">
        <f>SUMIFS(BV_Data_An_Cour!$P:$P,BV_Data_An_Cour!$U:$U,$B43,BV_Data_An_Cour!$V:$V,$C43,BV_Data_An_Cour!$W:$W,L$2)</f>
        <v>40564.22</v>
      </c>
      <c r="M43" s="297"/>
      <c r="N43" s="298">
        <f t="shared" si="29"/>
        <v>-7238.1537337586196</v>
      </c>
      <c r="O43" s="297"/>
      <c r="P43" s="172"/>
      <c r="Q43" s="174">
        <f>SUMIFS(BV_Data_An_Prec!$P:$P,BV_Data_An_Prec!$U:$U,$B43,BV_Data_An_Prec!$V:$V,$C43,BV_Data_An_Prec!$W:$W,Q$2)</f>
        <v>41360.44</v>
      </c>
      <c r="R43" s="297"/>
      <c r="S43" s="193">
        <f t="shared" ref="S43:S53" si="39">L43-Q43</f>
        <v>-796.22000000000116</v>
      </c>
      <c r="T43" s="216"/>
      <c r="U43" s="1080"/>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tr">
        <f t="shared" si="1"/>
        <v>Véhicules neufsSalaires autres</v>
      </c>
      <c r="B44" s="24" t="str">
        <f t="shared" si="0"/>
        <v>Véhicules neufs</v>
      </c>
      <c r="C44" s="299" t="s">
        <v>114</v>
      </c>
      <c r="D44" s="386"/>
      <c r="E44" s="346"/>
      <c r="F44" s="173">
        <f>+SUMPRODUCT(('Budget original'!$A$8:$A$500=$A44)*('Budget original'!$C$3:$AO$3=F$2),'Budget original'!$C$8:$AO$500)</f>
        <v>43390.456005915701</v>
      </c>
      <c r="G44" s="387"/>
      <c r="H44" s="346"/>
      <c r="I44" s="173">
        <f>+SUMPRODUCT(('Budget révisé'!$A$8:$A$500=$A44)*('Budget révisé'!$C$3:$AO$3=I$2),'Budget révisé'!$C$8:$AO$500)</f>
        <v>43390.456005915701</v>
      </c>
      <c r="J44" s="362"/>
      <c r="K44" s="346"/>
      <c r="L44" s="175">
        <f>SUMIFS(BV_Data_An_Cour!$P:$P,BV_Data_An_Cour!$U:$U,$B44,BV_Data_An_Cour!$V:$V,$C44,BV_Data_An_Cour!$W:$W,L$2)</f>
        <v>17062.36</v>
      </c>
      <c r="M44" s="362"/>
      <c r="N44" s="350">
        <f t="shared" si="29"/>
        <v>-26328.096005915701</v>
      </c>
      <c r="O44" s="362"/>
      <c r="P44" s="346"/>
      <c r="Q44" s="175">
        <f>SUMIFS(BV_Data_An_Prec!$P:$P,BV_Data_An_Prec!$U:$U,$B44,BV_Data_An_Prec!$V:$V,$C44,BV_Data_An_Prec!$W:$W,Q$2)</f>
        <v>37287.14</v>
      </c>
      <c r="R44" s="362"/>
      <c r="S44" s="195">
        <f t="shared" si="39"/>
        <v>-20224.78</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tr">
        <f t="shared" si="1"/>
        <v>Véhicules neufsSalaires spécialistes</v>
      </c>
      <c r="B45" s="24" t="str">
        <f t="shared" si="0"/>
        <v>Véhicules neufs</v>
      </c>
      <c r="C45" s="299" t="s">
        <v>115</v>
      </c>
      <c r="D45" s="295"/>
      <c r="E45" s="172"/>
      <c r="F45" s="173">
        <f>+SUMPRODUCT(('Budget original'!$A$8:$A$500=$A45)*('Budget original'!$C$3:$AO$3=F$2),'Budget original'!$C$8:$AO$500)</f>
        <v>0</v>
      </c>
      <c r="G45" s="296"/>
      <c r="H45" s="172"/>
      <c r="I45" s="173">
        <f>+SUMPRODUCT(('Budget révisé'!$A$8:$A$500=$A45)*('Budget révisé'!$C$3:$AO$3=I$2),'Budget révisé'!$C$8:$AO$500)</f>
        <v>0</v>
      </c>
      <c r="J45" s="297"/>
      <c r="K45" s="172"/>
      <c r="L45" s="174">
        <f>SUMIFS(BV_Data_An_Cour!$P:$P,BV_Data_An_Cour!$U:$U,$B45,BV_Data_An_Cour!$V:$V,$C45,BV_Data_An_Cour!$W:$W,L$2)</f>
        <v>0</v>
      </c>
      <c r="M45" s="297"/>
      <c r="N45" s="298">
        <f t="shared" si="29"/>
        <v>0</v>
      </c>
      <c r="O45" s="297"/>
      <c r="P45" s="172"/>
      <c r="Q45" s="174">
        <f>SUMIFS(BV_Data_An_Prec!$P:$P,BV_Data_An_Prec!$U:$U,$B45,BV_Data_An_Prec!$V:$V,$C45,BV_Data_An_Prec!$W:$W,Q$2)</f>
        <v>0</v>
      </c>
      <c r="R45" s="297"/>
      <c r="S45" s="193">
        <f t="shared" si="39"/>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ht="15.75" hidden="1" customHeight="1">
      <c r="A46" s="564" t="str">
        <f t="shared" ref="A46:A48" si="40">+B46&amp;C46</f>
        <v>Véhicules neufs[...]</v>
      </c>
      <c r="B46" s="24" t="str">
        <f t="shared" si="0"/>
        <v>Véhicules neufs</v>
      </c>
      <c r="C46" s="299" t="s">
        <v>42</v>
      </c>
      <c r="D46" s="295"/>
      <c r="E46" s="172"/>
      <c r="F46" s="173">
        <f>+SUMPRODUCT(('Budget original'!$A$8:$A$500=$A46)*('Budget original'!$C$3:$AO$3=F$2),'Budget original'!$C$8:$AO$500)</f>
        <v>0</v>
      </c>
      <c r="G46" s="296"/>
      <c r="H46" s="172"/>
      <c r="I46" s="173">
        <f>+SUMPRODUCT(('Budget révisé'!$A$8:$A$500=$A46)*('Budget révisé'!$C$3:$AO$3=I$2),'Budget révisé'!$C$8:$AO$500)</f>
        <v>0</v>
      </c>
      <c r="J46" s="297"/>
      <c r="K46" s="172"/>
      <c r="L46" s="174">
        <f>SUMIFS(BV_Data_An_Cour!$P:$P,BV_Data_An_Cour!$U:$U,$B46,BV_Data_An_Cour!$V:$V,$C46,BV_Data_An_Cour!$W:$W,L$2)</f>
        <v>0</v>
      </c>
      <c r="M46" s="297"/>
      <c r="N46" s="298">
        <f t="shared" ref="N46:N48" si="41">L46-I46</f>
        <v>0</v>
      </c>
      <c r="O46" s="297"/>
      <c r="P46" s="172"/>
      <c r="Q46" s="174">
        <f>SUMIFS(BV_Data_An_Prec!$P:$P,BV_Data_An_Prec!$U:$U,$B46,BV_Data_An_Prec!$V:$V,$C46,BV_Data_An_Prec!$W:$W,Q$2)</f>
        <v>0</v>
      </c>
      <c r="R46" s="297"/>
      <c r="S46" s="193">
        <f t="shared" ref="S46:S48" si="42">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ht="15.75" hidden="1" customHeight="1">
      <c r="A47" s="564" t="str">
        <f t="shared" si="40"/>
        <v>Véhicules neufs[...]</v>
      </c>
      <c r="B47" s="24" t="str">
        <f t="shared" si="0"/>
        <v>Véhicules neufs</v>
      </c>
      <c r="C47" s="299" t="s">
        <v>42</v>
      </c>
      <c r="D47" s="295"/>
      <c r="E47" s="172"/>
      <c r="F47" s="173">
        <f>+SUMPRODUCT(('Budget original'!$A$8:$A$500=$A47)*('Budget original'!$C$3:$AO$3=F$2),'Budget original'!$C$8:$AO$500)</f>
        <v>0</v>
      </c>
      <c r="G47" s="296"/>
      <c r="H47" s="172"/>
      <c r="I47" s="173">
        <f>+SUMPRODUCT(('Budget révisé'!$A$8:$A$500=$A47)*('Budget révisé'!$C$3:$AO$3=I$2),'Budget révisé'!$C$8:$AO$500)</f>
        <v>0</v>
      </c>
      <c r="J47" s="297"/>
      <c r="K47" s="172"/>
      <c r="L47" s="174">
        <f>SUMIFS(BV_Data_An_Cour!$P:$P,BV_Data_An_Cour!$U:$U,$B47,BV_Data_An_Cour!$V:$V,$C47,BV_Data_An_Cour!$W:$W,L$2)</f>
        <v>0</v>
      </c>
      <c r="M47" s="297"/>
      <c r="N47" s="298">
        <f t="shared" si="41"/>
        <v>0</v>
      </c>
      <c r="O47" s="297"/>
      <c r="P47" s="172"/>
      <c r="Q47" s="174">
        <f>SUMIFS(BV_Data_An_Prec!$P:$P,BV_Data_An_Prec!$U:$U,$B47,BV_Data_An_Prec!$V:$V,$C47,BV_Data_An_Prec!$W:$W,Q$2)</f>
        <v>0</v>
      </c>
      <c r="R47" s="297"/>
      <c r="S47" s="193">
        <f t="shared" si="42"/>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ht="15.75" hidden="1" customHeight="1">
      <c r="A48" s="564" t="str">
        <f t="shared" si="40"/>
        <v>Véhicules neufs[...]</v>
      </c>
      <c r="B48" s="24" t="str">
        <f t="shared" si="0"/>
        <v>Véhicules neufs</v>
      </c>
      <c r="C48" s="299" t="s">
        <v>42</v>
      </c>
      <c r="D48" s="295"/>
      <c r="E48" s="172"/>
      <c r="F48" s="173">
        <f>+SUMPRODUCT(('Budget original'!$A$8:$A$500=$A48)*('Budget original'!$C$3:$AO$3=F$2),'Budget original'!$C$8:$AO$500)</f>
        <v>0</v>
      </c>
      <c r="G48" s="296"/>
      <c r="H48" s="172"/>
      <c r="I48" s="173">
        <f>+SUMPRODUCT(('Budget révisé'!$A$8:$A$500=$A48)*('Budget révisé'!$C$3:$AO$3=I$2),'Budget révisé'!$C$8:$AO$500)</f>
        <v>0</v>
      </c>
      <c r="J48" s="297"/>
      <c r="K48" s="172"/>
      <c r="L48" s="174">
        <f>SUMIFS(BV_Data_An_Cour!$P:$P,BV_Data_An_Cour!$U:$U,$B48,BV_Data_An_Cour!$V:$V,$C48,BV_Data_An_Cour!$W:$W,L$2)</f>
        <v>0</v>
      </c>
      <c r="M48" s="297"/>
      <c r="N48" s="298">
        <f t="shared" si="41"/>
        <v>0</v>
      </c>
      <c r="O48" s="297"/>
      <c r="P48" s="172"/>
      <c r="Q48" s="174">
        <f>SUMIFS(BV_Data_An_Prec!$P:$P,BV_Data_An_Prec!$U:$U,$B48,BV_Data_An_Prec!$V:$V,$C48,BV_Data_An_Prec!$W:$W,Q$2)</f>
        <v>0</v>
      </c>
      <c r="R48" s="297"/>
      <c r="S48" s="193">
        <f t="shared" si="42"/>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tr">
        <f t="shared" si="1"/>
        <v>Véhicules neufsSalaires en absences</v>
      </c>
      <c r="B49" s="24" t="str">
        <f t="shared" si="0"/>
        <v>Véhicules neufs</v>
      </c>
      <c r="C49" s="300" t="s">
        <v>116</v>
      </c>
      <c r="D49" s="295"/>
      <c r="E49" s="172"/>
      <c r="F49" s="171">
        <f>+SUMPRODUCT(('Budget original'!$A$8:$A$500=$A49)*('Budget original'!$C$3:$AO$3=F$2),'Budget original'!$C$8:$AO$500)</f>
        <v>56077.221287190441</v>
      </c>
      <c r="G49" s="296"/>
      <c r="H49" s="172"/>
      <c r="I49" s="171">
        <f>+SUMPRODUCT(('Budget révisé'!$A$8:$A$500=$A49)*('Budget révisé'!$C$3:$AO$3=I$2),'Budget révisé'!$C$8:$AO$500)</f>
        <v>56077.221287190441</v>
      </c>
      <c r="J49" s="297"/>
      <c r="K49" s="172"/>
      <c r="L49" s="171">
        <f>SUMIFS(BV_Data_An_Cour!$P:$P,BV_Data_An_Cour!$U:$U,$B49,BV_Data_An_Cour!$V:$V,$C49,BV_Data_An_Cour!$W:$W,L$2)</f>
        <v>59846.85</v>
      </c>
      <c r="M49" s="297"/>
      <c r="N49" s="298">
        <f t="shared" si="29"/>
        <v>3769.6287128095573</v>
      </c>
      <c r="O49" s="297"/>
      <c r="P49" s="172"/>
      <c r="Q49" s="171">
        <f>SUMIFS(BV_Data_An_Prec!$P:$P,BV_Data_An_Prec!$U:$U,$B49,BV_Data_An_Prec!$V:$V,$C49,BV_Data_An_Prec!$W:$W,Q$2)</f>
        <v>56717.83</v>
      </c>
      <c r="R49" s="297"/>
      <c r="S49" s="193">
        <f t="shared" si="39"/>
        <v>3129.0199999999968</v>
      </c>
      <c r="T49" s="216"/>
      <c r="U49" s="216"/>
      <c r="V49" s="216"/>
      <c r="W49" s="216"/>
      <c r="X49" s="216"/>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tr">
        <f t="shared" si="1"/>
        <v>Véhicules neufsDéduction à la source</v>
      </c>
      <c r="B50" s="24" t="str">
        <f t="shared" si="0"/>
        <v>Véhicules neufs</v>
      </c>
      <c r="C50" s="274" t="s">
        <v>117</v>
      </c>
      <c r="D50" s="386"/>
      <c r="E50" s="346"/>
      <c r="F50" s="173">
        <f>+SUMPRODUCT(('Budget original'!$A$8:$A$500=$A50)*('Budget original'!$C$3:$AO$3=F$2),'Budget original'!$C$8:$AO$500)</f>
        <v>50222.899899138145</v>
      </c>
      <c r="G50" s="387"/>
      <c r="H50" s="346"/>
      <c r="I50" s="173">
        <f>+SUMPRODUCT(('Budget révisé'!$A$8:$A$500=$A50)*('Budget révisé'!$C$3:$AO$3=I$2),'Budget révisé'!$C$8:$AO$500)</f>
        <v>50222.899899138145</v>
      </c>
      <c r="J50" s="362"/>
      <c r="K50" s="346"/>
      <c r="L50" s="174">
        <f>SUMIFS(BV_Data_An_Cour!$P:$P,BV_Data_An_Cour!$U:$U,$B50,BV_Data_An_Cour!$V:$V,$C50,BV_Data_An_Cour!$W:$W,L$2)</f>
        <v>77176.399999999994</v>
      </c>
      <c r="M50" s="362"/>
      <c r="N50" s="350">
        <f t="shared" si="29"/>
        <v>26953.500100861849</v>
      </c>
      <c r="O50" s="362"/>
      <c r="P50" s="346"/>
      <c r="Q50" s="174">
        <f>SUMIFS(BV_Data_An_Prec!$P:$P,BV_Data_An_Prec!$U:$U,$B50,BV_Data_An_Prec!$V:$V,$C50,BV_Data_An_Prec!$W:$W,Q$2)</f>
        <v>50328.06</v>
      </c>
      <c r="R50" s="362"/>
      <c r="S50" s="195">
        <f t="shared" si="39"/>
        <v>26848.339999999997</v>
      </c>
      <c r="T50" s="216"/>
      <c r="U50" s="955">
        <f>L50-Print_Mois!L50</f>
        <v>58840.53</v>
      </c>
      <c r="V50" s="216"/>
      <c r="W50" s="216"/>
      <c r="X50" s="216"/>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tr">
        <f t="shared" si="1"/>
        <v>Véhicules neufsBénéfices marginaux</v>
      </c>
      <c r="B51" s="24" t="str">
        <f t="shared" si="0"/>
        <v>Véhicules neufs</v>
      </c>
      <c r="C51" s="274" t="s">
        <v>118</v>
      </c>
      <c r="D51" s="295"/>
      <c r="E51" s="172"/>
      <c r="F51" s="173">
        <f>+SUMPRODUCT(('Budget original'!$A$8:$A$500=$A51)*('Budget original'!$C$3:$AO$3=F$2),'Budget original'!$C$8:$AO$500)</f>
        <v>39882.891096374413</v>
      </c>
      <c r="G51" s="296"/>
      <c r="H51" s="172"/>
      <c r="I51" s="173">
        <f>+SUMPRODUCT(('Budget révisé'!$A$8:$A$500=$A51)*('Budget révisé'!$C$3:$AO$3=I$2),'Budget révisé'!$C$8:$AO$500)</f>
        <v>39882.891096374413</v>
      </c>
      <c r="J51" s="297"/>
      <c r="K51" s="172"/>
      <c r="L51" s="174">
        <f>SUMIFS(BV_Data_An_Cour!$P:$P,BV_Data_An_Cour!$U:$U,$B51,BV_Data_An_Cour!$V:$V,$C51,BV_Data_An_Cour!$W:$W,L$2)</f>
        <v>30159.8</v>
      </c>
      <c r="M51" s="297"/>
      <c r="N51" s="298">
        <f t="shared" si="29"/>
        <v>-9723.0910963744136</v>
      </c>
      <c r="O51" s="297"/>
      <c r="P51" s="172"/>
      <c r="Q51" s="174">
        <f>SUMIFS(BV_Data_An_Prec!$P:$P,BV_Data_An_Prec!$U:$U,$B51,BV_Data_An_Prec!$V:$V,$C51,BV_Data_An_Prec!$W:$W,Q$2)</f>
        <v>36068.43</v>
      </c>
      <c r="R51" s="297"/>
      <c r="S51" s="193">
        <f t="shared" si="39"/>
        <v>-5908.630000000001</v>
      </c>
      <c r="T51" s="216"/>
      <c r="U51" s="955">
        <f>L51-Print_Mois!L51</f>
        <v>23509.119999999999</v>
      </c>
      <c r="V51" s="216"/>
      <c r="W51" s="216"/>
      <c r="X51" s="216"/>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tr">
        <f t="shared" si="1"/>
        <v>Véhicules neufsCsst</v>
      </c>
      <c r="B52" s="24" t="str">
        <f t="shared" si="0"/>
        <v>Véhicules neufs</v>
      </c>
      <c r="C52" s="274" t="s">
        <v>119</v>
      </c>
      <c r="D52" s="295"/>
      <c r="E52" s="172"/>
      <c r="F52" s="173">
        <f>+SUMPRODUCT(('Budget original'!$A$8:$A$500=$A52)*('Budget original'!$C$3:$AO$3=F$2),'Budget original'!$C$8:$AO$500)</f>
        <v>16248.585261485872</v>
      </c>
      <c r="G52" s="296"/>
      <c r="H52" s="172"/>
      <c r="I52" s="173">
        <f>+SUMPRODUCT(('Budget révisé'!$A$8:$A$500=$A52)*('Budget révisé'!$C$3:$AO$3=I$2),'Budget révisé'!$C$8:$AO$500)</f>
        <v>16248.585261485872</v>
      </c>
      <c r="J52" s="297"/>
      <c r="K52" s="172"/>
      <c r="L52" s="174">
        <f>SUMIFS(BV_Data_An_Cour!$P:$P,BV_Data_An_Cour!$U:$U,$B52,BV_Data_An_Cour!$V:$V,$C52,BV_Data_An_Cour!$W:$W,L$2)</f>
        <v>12874.51</v>
      </c>
      <c r="M52" s="297"/>
      <c r="N52" s="298">
        <f t="shared" si="29"/>
        <v>-3374.075261485872</v>
      </c>
      <c r="O52" s="297"/>
      <c r="P52" s="172"/>
      <c r="Q52" s="174">
        <f>SUMIFS(BV_Data_An_Prec!$P:$P,BV_Data_An_Prec!$U:$U,$B52,BV_Data_An_Prec!$V:$V,$C52,BV_Data_An_Prec!$W:$W,Q$2)</f>
        <v>17388.02</v>
      </c>
      <c r="R52" s="297"/>
      <c r="S52" s="193">
        <f t="shared" si="39"/>
        <v>-4513.51</v>
      </c>
      <c r="T52" s="216"/>
      <c r="U52" s="955">
        <f>L52-Print_Mois!L52</f>
        <v>10757.99</v>
      </c>
      <c r="V52" s="216"/>
      <c r="W52" s="216"/>
      <c r="X52" s="216"/>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tr">
        <f t="shared" si="1"/>
        <v>Véhicules neufs[...]</v>
      </c>
      <c r="B53" s="24" t="str">
        <f t="shared" si="0"/>
        <v>Véhicules neufs</v>
      </c>
      <c r="C53" s="258" t="s">
        <v>42</v>
      </c>
      <c r="D53" s="301"/>
      <c r="E53" s="302"/>
      <c r="F53" s="173">
        <f>+SUMPRODUCT(('Budget original'!$A$8:$A$500=$A53)*('Budget original'!$C$3:$AO$3=F$2),'Budget original'!$C$8:$AO$500)</f>
        <v>0</v>
      </c>
      <c r="G53" s="303"/>
      <c r="H53" s="302"/>
      <c r="I53" s="173">
        <f>+SUMPRODUCT(('Budget révisé'!$A$8:$A$500=$A53)*('Budget révisé'!$C$3:$AO$3=I$2),'Budget révisé'!$C$8:$AO$500)</f>
        <v>0</v>
      </c>
      <c r="J53" s="304"/>
      <c r="K53" s="302"/>
      <c r="L53" s="174">
        <f>SUMIFS(BV_Data_An_Cour!$P:$P,BV_Data_An_Cour!$U:$U,$B53,BV_Data_An_Cour!$V:$V,$C53,BV_Data_An_Cour!$W:$W,L$2)</f>
        <v>0</v>
      </c>
      <c r="M53" s="304"/>
      <c r="N53" s="305">
        <f t="shared" si="29"/>
        <v>0</v>
      </c>
      <c r="O53" s="304"/>
      <c r="P53" s="302"/>
      <c r="Q53" s="174">
        <f>SUMIFS(BV_Data_An_Prec!$P:$P,BV_Data_An_Prec!$U:$U,$B53,BV_Data_An_Prec!$V:$V,$C53,BV_Data_An_Prec!$W:$W,Q$2)</f>
        <v>0</v>
      </c>
      <c r="R53" s="304"/>
      <c r="S53" s="196">
        <f t="shared" si="39"/>
        <v>0</v>
      </c>
      <c r="T53" s="216"/>
      <c r="U53" s="216"/>
      <c r="V53" s="216"/>
      <c r="W53" s="216"/>
      <c r="X53" s="216"/>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tr">
        <f t="shared" si="1"/>
        <v>Véhicules neufsTOTAL PERSONNEL</v>
      </c>
      <c r="B54" s="24" t="str">
        <f t="shared" si="0"/>
        <v>Véhicules neufs</v>
      </c>
      <c r="C54" s="292" t="s">
        <v>120</v>
      </c>
      <c r="D54" s="39" t="s">
        <v>111</v>
      </c>
      <c r="E54" s="40">
        <f>F54/F$27</f>
        <v>0.35431199565331528</v>
      </c>
      <c r="F54" s="41">
        <f>+SUM(F42:F53)</f>
        <v>331474.65084708162</v>
      </c>
      <c r="G54" s="42" t="s">
        <v>111</v>
      </c>
      <c r="H54" s="40">
        <f>I54/I$27</f>
        <v>0.35431199565331528</v>
      </c>
      <c r="I54" s="41">
        <f>+SUM(I42:I53)</f>
        <v>331474.65084708162</v>
      </c>
      <c r="J54" s="42" t="s">
        <v>111</v>
      </c>
      <c r="K54" s="40">
        <f>L54/L$27</f>
        <v>0.36566624501497041</v>
      </c>
      <c r="L54" s="41">
        <f>+SUM(L42:L53)</f>
        <v>307361.34000000003</v>
      </c>
      <c r="M54" s="44"/>
      <c r="N54" s="41">
        <f>+SUM(N42:N53)</f>
        <v>-24113.310847081604</v>
      </c>
      <c r="O54" s="42" t="s">
        <v>111</v>
      </c>
      <c r="P54" s="40">
        <f>Q54/Q$27</f>
        <v>0.4458818433459879</v>
      </c>
      <c r="Q54" s="41">
        <f>+SUM(Q42:Q53)</f>
        <v>344502.46</v>
      </c>
      <c r="R54" s="44"/>
      <c r="S54" s="310">
        <f>+SUM(S42:S53)</f>
        <v>-1465.7800000000079</v>
      </c>
      <c r="T54" s="223"/>
      <c r="U54" s="216"/>
      <c r="V54" s="508"/>
      <c r="W54" s="508"/>
      <c r="X54" s="508"/>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tr">
        <f t="shared" si="1"/>
        <v>Véhicules neufsPublicité 2</v>
      </c>
      <c r="B55" s="24" t="str">
        <f t="shared" si="0"/>
        <v>Véhicules neufs</v>
      </c>
      <c r="C55" s="258" t="s">
        <v>121</v>
      </c>
      <c r="D55" s="295"/>
      <c r="E55" s="172"/>
      <c r="F55" s="173">
        <f>+SUMPRODUCT(('Budget original'!$A$8:$A$500=$A55)*('Budget original'!$C$3:$AO$3=F$2),'Budget original'!$C$8:$AO$500)</f>
        <v>0</v>
      </c>
      <c r="G55" s="296"/>
      <c r="H55" s="172"/>
      <c r="I55" s="173">
        <f>+SUMPRODUCT(('Budget révisé'!$A$8:$A$500=$A55)*('Budget révisé'!$C$3:$AO$3=I$2),'Budget révisé'!$C$8:$AO$500)</f>
        <v>0</v>
      </c>
      <c r="J55" s="297"/>
      <c r="K55" s="172"/>
      <c r="L55" s="174">
        <f>SUMIFS(BV_Data_An_Cour!$P:$P,BV_Data_An_Cour!$U:$U,$B55,BV_Data_An_Cour!$V:$V,$C55,BV_Data_An_Cour!$W:$W,L$2)</f>
        <v>0</v>
      </c>
      <c r="M55" s="297"/>
      <c r="N55" s="427">
        <f t="shared" ref="N55:N71" si="43">L55-I55</f>
        <v>0</v>
      </c>
      <c r="O55" s="297"/>
      <c r="P55" s="172"/>
      <c r="Q55" s="174">
        <f>SUMIFS(BV_Data_An_Prec!$P:$P,BV_Data_An_Prec!$U:$U,$B55,BV_Data_An_Prec!$V:$V,$C55,BV_Data_An_Prec!$W:$W,Q$2)</f>
        <v>0</v>
      </c>
      <c r="R55" s="297"/>
      <c r="S55" s="193">
        <f t="shared" ref="S55:S71" si="44">L55-Q55</f>
        <v>0</v>
      </c>
      <c r="T55" s="223"/>
      <c r="U55" s="216"/>
      <c r="V55" s="508"/>
      <c r="W55" s="508"/>
      <c r="X55" s="508"/>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tr">
        <f t="shared" si="1"/>
        <v>Véhicules neufsService gratuit 2</v>
      </c>
      <c r="B56" s="24" t="str">
        <f t="shared" si="0"/>
        <v>Véhicules neufs</v>
      </c>
      <c r="C56" s="258" t="s">
        <v>122</v>
      </c>
      <c r="D56" s="295"/>
      <c r="E56" s="172"/>
      <c r="F56" s="173">
        <f>+SUMPRODUCT(('Budget original'!$A$8:$A$500=$A56)*('Budget original'!$C$3:$AO$3=F$2),'Budget original'!$C$8:$AO$500)</f>
        <v>0</v>
      </c>
      <c r="G56" s="296"/>
      <c r="H56" s="172"/>
      <c r="I56" s="173">
        <f>+SUMPRODUCT(('Budget révisé'!$A$8:$A$500=$A56)*('Budget révisé'!$C$3:$AO$3=I$2),'Budget révisé'!$C$8:$AO$500)</f>
        <v>0</v>
      </c>
      <c r="J56" s="297"/>
      <c r="K56" s="172"/>
      <c r="L56" s="174">
        <f>SUMIFS(BV_Data_An_Cour!$P:$P,BV_Data_An_Cour!$U:$U,$B56,BV_Data_An_Cour!$V:$V,$C56,BV_Data_An_Cour!$W:$W,L$2)</f>
        <v>0</v>
      </c>
      <c r="M56" s="297"/>
      <c r="N56" s="427">
        <f t="shared" si="43"/>
        <v>0</v>
      </c>
      <c r="O56" s="297"/>
      <c r="P56" s="172"/>
      <c r="Q56" s="174">
        <f>SUMIFS(BV_Data_An_Prec!$P:$P,BV_Data_An_Prec!$U:$U,$B56,BV_Data_An_Prec!$V:$V,$C56,BV_Data_An_Prec!$W:$W,Q$2)</f>
        <v>0</v>
      </c>
      <c r="R56" s="297"/>
      <c r="S56" s="193">
        <f t="shared" si="44"/>
        <v>0</v>
      </c>
      <c r="T56" s="223"/>
      <c r="U56" s="216"/>
      <c r="V56" s="508"/>
      <c r="W56" s="508"/>
      <c r="X56" s="508"/>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tr">
        <f t="shared" si="1"/>
        <v>Véhicules neufsFrais véhicules de cie</v>
      </c>
      <c r="B57" s="24" t="str">
        <f t="shared" si="0"/>
        <v>Véhicules neufs</v>
      </c>
      <c r="C57" s="320" t="s">
        <v>123</v>
      </c>
      <c r="D57" s="301"/>
      <c r="E57" s="302"/>
      <c r="F57" s="171">
        <f>+SUMPRODUCT(('Budget original'!$A$8:$A$500=$A57)*('Budget original'!$C$3:$AO$3=F$2),'Budget original'!$C$8:$AO$500)</f>
        <v>36614.700000000004</v>
      </c>
      <c r="G57" s="303"/>
      <c r="H57" s="302"/>
      <c r="I57" s="171">
        <f>+SUMPRODUCT(('Budget révisé'!$A$8:$A$500=$A57)*('Budget révisé'!$C$3:$AO$3=I$2),'Budget révisé'!$C$8:$AO$500)</f>
        <v>36614.700000000004</v>
      </c>
      <c r="J57" s="304"/>
      <c r="K57" s="302"/>
      <c r="L57" s="171">
        <f>SUMIFS(BV_Data_An_Cour!$P:$P,BV_Data_An_Cour!$U:$U,$B57,BV_Data_An_Cour!$V:$V,$C57,BV_Data_An_Cour!$W:$W,L$2)</f>
        <v>41436.14</v>
      </c>
      <c r="M57" s="304"/>
      <c r="N57" s="428">
        <f t="shared" si="43"/>
        <v>4821.4399999999951</v>
      </c>
      <c r="O57" s="304"/>
      <c r="P57" s="302"/>
      <c r="Q57" s="171">
        <f>SUMIFS(BV_Data_An_Prec!$P:$P,BV_Data_An_Prec!$U:$U,$B57,BV_Data_An_Prec!$V:$V,$C57,BV_Data_An_Prec!$W:$W,Q$2)</f>
        <v>28053.67</v>
      </c>
      <c r="R57" s="304"/>
      <c r="S57" s="196">
        <f t="shared" si="44"/>
        <v>13382.470000000001</v>
      </c>
      <c r="T57" s="519"/>
      <c r="U57" s="216"/>
      <c r="V57" s="508"/>
      <c r="W57" s="508"/>
      <c r="X57" s="508"/>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tr">
        <f t="shared" si="1"/>
        <v>Véhicules neufsInformatique</v>
      </c>
      <c r="B58" s="24" t="str">
        <f t="shared" si="0"/>
        <v>Véhicules neufs</v>
      </c>
      <c r="C58" s="258" t="s">
        <v>124</v>
      </c>
      <c r="D58" s="295"/>
      <c r="E58" s="172"/>
      <c r="F58" s="173">
        <f>+SUMPRODUCT(('Budget original'!$A$8:$A$500=$A58)*('Budget original'!$C$3:$AO$3=F$2),'Budget original'!$C$8:$AO$500)</f>
        <v>34170.953216666669</v>
      </c>
      <c r="G58" s="296"/>
      <c r="H58" s="172"/>
      <c r="I58" s="173">
        <f>+SUMPRODUCT(('Budget révisé'!$A$8:$A$500=$A58)*('Budget révisé'!$C$3:$AO$3=I$2),'Budget révisé'!$C$8:$AO$500)</f>
        <v>34170.953216666669</v>
      </c>
      <c r="J58" s="297"/>
      <c r="K58" s="172"/>
      <c r="L58" s="174">
        <f>SUMIFS(BV_Data_An_Cour!$P:$P,BV_Data_An_Cour!$U:$U,$B58,BV_Data_An_Cour!$V:$V,$C58,BV_Data_An_Cour!$W:$W,L$2)</f>
        <v>34936.949999999997</v>
      </c>
      <c r="M58" s="297"/>
      <c r="N58" s="298">
        <f t="shared" si="43"/>
        <v>765.99678333332849</v>
      </c>
      <c r="O58" s="297"/>
      <c r="P58" s="172"/>
      <c r="Q58" s="174">
        <f>SUMIFS(BV_Data_An_Prec!$P:$P,BV_Data_An_Prec!$U:$U,$B58,BV_Data_An_Prec!$V:$V,$C58,BV_Data_An_Prec!$W:$W,Q$2)</f>
        <v>28441.96</v>
      </c>
      <c r="R58" s="297"/>
      <c r="S58" s="193">
        <f t="shared" si="44"/>
        <v>6494.989999999998</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tr">
        <f t="shared" si="1"/>
        <v>Véhicules neufsFrais de déplacement</v>
      </c>
      <c r="B59" s="24" t="str">
        <f t="shared" si="0"/>
        <v>Véhicules neufs</v>
      </c>
      <c r="C59" s="258" t="s">
        <v>125</v>
      </c>
      <c r="D59" s="295"/>
      <c r="E59" s="172"/>
      <c r="F59" s="173">
        <f>+SUMPRODUCT(('Budget original'!$A$8:$A$500=$A59)*('Budget original'!$C$3:$AO$3=F$2),'Budget original'!$C$8:$AO$500)</f>
        <v>3960.7090000000007</v>
      </c>
      <c r="G59" s="296"/>
      <c r="H59" s="172"/>
      <c r="I59" s="173">
        <f>+SUMPRODUCT(('Budget révisé'!$A$8:$A$500=$A59)*('Budget révisé'!$C$3:$AO$3=I$2),'Budget révisé'!$C$8:$AO$500)</f>
        <v>3960.7090000000007</v>
      </c>
      <c r="J59" s="297"/>
      <c r="K59" s="172"/>
      <c r="L59" s="174">
        <f>SUMIFS(BV_Data_An_Cour!$P:$P,BV_Data_An_Cour!$U:$U,$B59,BV_Data_An_Cour!$V:$V,$C59,BV_Data_An_Cour!$W:$W,L$2)</f>
        <v>3876.11</v>
      </c>
      <c r="M59" s="297"/>
      <c r="N59" s="298">
        <f t="shared" si="43"/>
        <v>-84.599000000000615</v>
      </c>
      <c r="O59" s="297"/>
      <c r="P59" s="172"/>
      <c r="Q59" s="174">
        <f>SUMIFS(BV_Data_An_Prec!$P:$P,BV_Data_An_Prec!$U:$U,$B59,BV_Data_An_Prec!$V:$V,$C59,BV_Data_An_Prec!$W:$W,Q$2)</f>
        <v>1580.69</v>
      </c>
      <c r="R59" s="297"/>
      <c r="S59" s="193">
        <f t="shared" si="44"/>
        <v>2295.42</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tr">
        <f t="shared" si="1"/>
        <v>Véhicules neufsServices extérieurs</v>
      </c>
      <c r="B60" s="24" t="str">
        <f t="shared" si="0"/>
        <v>Véhicules neufs</v>
      </c>
      <c r="C60" s="320" t="s">
        <v>126</v>
      </c>
      <c r="D60" s="301"/>
      <c r="E60" s="302"/>
      <c r="F60" s="171">
        <f>+SUMPRODUCT(('Budget original'!$A$8:$A$500=$A60)*('Budget original'!$C$3:$AO$3=F$2),'Budget original'!$C$8:$AO$500)</f>
        <v>33430.445688888889</v>
      </c>
      <c r="G60" s="303"/>
      <c r="H60" s="302"/>
      <c r="I60" s="171">
        <f>+SUMPRODUCT(('Budget révisé'!$A$8:$A$500=$A60)*('Budget révisé'!$C$3:$AO$3=I$2),'Budget révisé'!$C$8:$AO$500)</f>
        <v>33430.445688888889</v>
      </c>
      <c r="J60" s="304"/>
      <c r="K60" s="302"/>
      <c r="L60" s="171">
        <f>SUMIFS(BV_Data_An_Cour!$P:$P,BV_Data_An_Cour!$U:$U,$B60,BV_Data_An_Cour!$V:$V,$C60,BV_Data_An_Cour!$W:$W,L$2)</f>
        <v>33124.120000000003</v>
      </c>
      <c r="M60" s="304"/>
      <c r="N60" s="305">
        <f t="shared" si="43"/>
        <v>-306.32568888888636</v>
      </c>
      <c r="O60" s="304"/>
      <c r="P60" s="302"/>
      <c r="Q60" s="171">
        <f>SUMIFS(BV_Data_An_Prec!$P:$P,BV_Data_An_Prec!$U:$U,$B60,BV_Data_An_Prec!$V:$V,$C60,BV_Data_An_Prec!$W:$W,Q$2)</f>
        <v>37227.06</v>
      </c>
      <c r="R60" s="304"/>
      <c r="S60" s="196">
        <f t="shared" si="44"/>
        <v>-4102.9399999999951</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tr">
        <f t="shared" si="1"/>
        <v>Véhicules neufsFournitures autres</v>
      </c>
      <c r="B61" s="24" t="str">
        <f t="shared" si="0"/>
        <v>Véhicules neufs</v>
      </c>
      <c r="C61" s="258" t="s">
        <v>127</v>
      </c>
      <c r="D61" s="295"/>
      <c r="E61" s="172"/>
      <c r="F61" s="173">
        <f>+SUMPRODUCT(('Budget original'!$A$8:$A$500=$A61)*('Budget original'!$C$3:$AO$3=F$2),'Budget original'!$C$8:$AO$500)</f>
        <v>397.64807519158052</v>
      </c>
      <c r="G61" s="296"/>
      <c r="H61" s="172"/>
      <c r="I61" s="173">
        <f>+SUMPRODUCT(('Budget révisé'!$A$8:$A$500=$A61)*('Budget révisé'!$C$3:$AO$3=I$2),'Budget révisé'!$C$8:$AO$500)</f>
        <v>397.64807519158052</v>
      </c>
      <c r="J61" s="297"/>
      <c r="K61" s="172"/>
      <c r="L61" s="174">
        <f>SUMIFS(BV_Data_An_Cour!$P:$P,BV_Data_An_Cour!$U:$U,$B61,BV_Data_An_Cour!$V:$V,$C61,BV_Data_An_Cour!$W:$W,L$2)</f>
        <v>28.03</v>
      </c>
      <c r="M61" s="297"/>
      <c r="N61" s="298">
        <f t="shared" si="43"/>
        <v>-369.61807519158049</v>
      </c>
      <c r="O61" s="297"/>
      <c r="P61" s="172"/>
      <c r="Q61" s="174">
        <f>SUMIFS(BV_Data_An_Prec!$P:$P,BV_Data_An_Prec!$U:$U,$B61,BV_Data_An_Prec!$V:$V,$C61,BV_Data_An_Prec!$W:$W,Q$2)</f>
        <v>551.94000000000005</v>
      </c>
      <c r="R61" s="297"/>
      <c r="S61" s="193">
        <f t="shared" si="44"/>
        <v>-523.91000000000008</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tr">
        <f t="shared" si="1"/>
        <v>Véhicules neufsUniformes</v>
      </c>
      <c r="B62" s="24" t="str">
        <f t="shared" si="0"/>
        <v>Véhicules neufs</v>
      </c>
      <c r="C62" s="258" t="s">
        <v>128</v>
      </c>
      <c r="D62" s="295"/>
      <c r="E62" s="172"/>
      <c r="F62" s="173">
        <f>+SUMPRODUCT(('Budget original'!$A$8:$A$500=$A62)*('Budget original'!$C$3:$AO$3=F$2),'Budget original'!$C$8:$AO$500)</f>
        <v>211.29973387094014</v>
      </c>
      <c r="G62" s="296"/>
      <c r="H62" s="172"/>
      <c r="I62" s="173">
        <f>+SUMPRODUCT(('Budget révisé'!$A$8:$A$500=$A62)*('Budget révisé'!$C$3:$AO$3=I$2),'Budget révisé'!$C$8:$AO$500)</f>
        <v>211.29973387094014</v>
      </c>
      <c r="J62" s="297"/>
      <c r="K62" s="172"/>
      <c r="L62" s="174">
        <f>SUMIFS(BV_Data_An_Cour!$P:$P,BV_Data_An_Cour!$U:$U,$B62,BV_Data_An_Cour!$V:$V,$C62,BV_Data_An_Cour!$W:$W,L$2)</f>
        <v>0</v>
      </c>
      <c r="M62" s="297"/>
      <c r="N62" s="298">
        <f t="shared" si="43"/>
        <v>-211.29973387094014</v>
      </c>
      <c r="O62" s="297"/>
      <c r="P62" s="172"/>
      <c r="Q62" s="174">
        <f>SUMIFS(BV_Data_An_Prec!$P:$P,BV_Data_An_Prec!$U:$U,$B62,BV_Data_An_Prec!$V:$V,$C62,BV_Data_An_Prec!$W:$W,Q$2)</f>
        <v>0</v>
      </c>
      <c r="R62" s="297"/>
      <c r="S62" s="193">
        <f t="shared" si="44"/>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tr">
        <f t="shared" si="1"/>
        <v>Véhicules neufsPapeterie</v>
      </c>
      <c r="B63" s="24" t="str">
        <f t="shared" si="0"/>
        <v>Véhicules neufs</v>
      </c>
      <c r="C63" s="258" t="s">
        <v>129</v>
      </c>
      <c r="D63" s="295"/>
      <c r="E63" s="172"/>
      <c r="F63" s="173">
        <f>+SUMPRODUCT(('Budget original'!$A$8:$A$500=$A63)*('Budget original'!$C$3:$AO$3=F$2),'Budget original'!$C$8:$AO$500)</f>
        <v>3264.3216000000002</v>
      </c>
      <c r="G63" s="296"/>
      <c r="H63" s="172"/>
      <c r="I63" s="173">
        <f>+SUMPRODUCT(('Budget révisé'!$A$8:$A$500=$A63)*('Budget révisé'!$C$3:$AO$3=I$2),'Budget révisé'!$C$8:$AO$500)</f>
        <v>3264.3216000000002</v>
      </c>
      <c r="J63" s="297"/>
      <c r="K63" s="172"/>
      <c r="L63" s="548">
        <f>SUMIFS(BV_Data_An_Cour!$P:$P,BV_Data_An_Cour!$U:$U,$B63,BV_Data_An_Cour!$V:$V,$C63,BV_Data_An_Cour!$W:$W,L$2)</f>
        <v>3138.04</v>
      </c>
      <c r="M63" s="297"/>
      <c r="N63" s="298">
        <f t="shared" si="43"/>
        <v>-126.28160000000025</v>
      </c>
      <c r="O63" s="297"/>
      <c r="P63" s="172"/>
      <c r="Q63" s="548">
        <f>SUMIFS(BV_Data_An_Prec!$P:$P,BV_Data_An_Prec!$U:$U,$B63,BV_Data_An_Prec!$V:$V,$C63,BV_Data_An_Prec!$W:$W,Q$2)</f>
        <v>2728.86</v>
      </c>
      <c r="R63" s="297"/>
      <c r="S63" s="193">
        <f t="shared" si="44"/>
        <v>409.17999999999984</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tr">
        <f t="shared" si="1"/>
        <v>Véhicules neufsTéléphone</v>
      </c>
      <c r="B64" s="24" t="str">
        <f t="shared" si="0"/>
        <v>Véhicules neufs</v>
      </c>
      <c r="C64" s="258" t="s">
        <v>130</v>
      </c>
      <c r="D64" s="295"/>
      <c r="E64" s="172"/>
      <c r="F64" s="173">
        <f>+SUMPRODUCT(('Budget original'!$A$8:$A$500=$A64)*('Budget original'!$C$3:$AO$3=F$2),'Budget original'!$C$8:$AO$500)</f>
        <v>1507.3226333333334</v>
      </c>
      <c r="G64" s="296"/>
      <c r="H64" s="172"/>
      <c r="I64" s="173">
        <f>+SUMPRODUCT(('Budget révisé'!$A$8:$A$500=$A64)*('Budget révisé'!$C$3:$AO$3=I$2),'Budget révisé'!$C$8:$AO$500)</f>
        <v>1507.3226333333334</v>
      </c>
      <c r="J64" s="297"/>
      <c r="K64" s="172"/>
      <c r="L64" s="174">
        <f>SUMIFS(BV_Data_An_Cour!$P:$P,BV_Data_An_Cour!$U:$U,$B64,BV_Data_An_Cour!$V:$V,$C64,BV_Data_An_Cour!$W:$W,L$2)</f>
        <v>1263.58</v>
      </c>
      <c r="M64" s="297"/>
      <c r="N64" s="298">
        <f t="shared" si="43"/>
        <v>-243.74263333333352</v>
      </c>
      <c r="O64" s="297"/>
      <c r="P64" s="172"/>
      <c r="Q64" s="174">
        <f>SUMIFS(BV_Data_An_Prec!$P:$P,BV_Data_An_Prec!$U:$U,$B64,BV_Data_An_Prec!$V:$V,$C64,BV_Data_An_Prec!$W:$W,Q$2)</f>
        <v>1544.47</v>
      </c>
      <c r="R64" s="297"/>
      <c r="S64" s="193">
        <f t="shared" si="44"/>
        <v>-280.8900000000001</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tr">
        <f t="shared" si="1"/>
        <v>Véhicules neufsFrais postaux</v>
      </c>
      <c r="B65" s="24" t="str">
        <f t="shared" si="0"/>
        <v>Véhicules neufs</v>
      </c>
      <c r="C65" s="258" t="s">
        <v>131</v>
      </c>
      <c r="D65" s="295"/>
      <c r="E65" s="172"/>
      <c r="F65" s="173">
        <f>+SUMPRODUCT(('Budget original'!$A$8:$A$500=$A65)*('Budget original'!$C$3:$AO$3=F$2),'Budget original'!$C$8:$AO$500)</f>
        <v>804.58536666666646</v>
      </c>
      <c r="G65" s="296"/>
      <c r="H65" s="172"/>
      <c r="I65" s="173">
        <f>+SUMPRODUCT(('Budget révisé'!$A$8:$A$500=$A65)*('Budget révisé'!$C$3:$AO$3=I$2),'Budget révisé'!$C$8:$AO$500)</f>
        <v>804.58536666666646</v>
      </c>
      <c r="J65" s="297"/>
      <c r="K65" s="172"/>
      <c r="L65" s="275">
        <f>SUMIFS(BV_Data_An_Cour!$P:$P,BV_Data_An_Cour!$U:$U,$B65,BV_Data_An_Cour!$V:$V,$C65,BV_Data_An_Cour!$W:$W,L$2)</f>
        <v>598.9</v>
      </c>
      <c r="M65" s="297"/>
      <c r="N65" s="298">
        <f t="shared" si="43"/>
        <v>-205.68536666666648</v>
      </c>
      <c r="O65" s="297"/>
      <c r="P65" s="172"/>
      <c r="Q65" s="174">
        <f>SUMIFS(BV_Data_An_Prec!$P:$P,BV_Data_An_Prec!$U:$U,$B65,BV_Data_An_Prec!$V:$V,$C65,BV_Data_An_Prec!$W:$W,Q$2)</f>
        <v>577.35</v>
      </c>
      <c r="R65" s="297"/>
      <c r="S65" s="193">
        <f t="shared" si="44"/>
        <v>21.549999999999955</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tr">
        <f t="shared" si="1"/>
        <v>Véhicules neufsDivers</v>
      </c>
      <c r="B66" s="24" t="str">
        <f t="shared" si="0"/>
        <v>Véhicules neufs</v>
      </c>
      <c r="C66" s="258" t="s">
        <v>132</v>
      </c>
      <c r="D66" s="295"/>
      <c r="E66" s="172"/>
      <c r="F66" s="173">
        <f>+SUMPRODUCT(('Budget original'!$A$8:$A$500=$A66)*('Budget original'!$C$3:$AO$3=F$2),'Budget original'!$C$8:$AO$500)</f>
        <v>3881.167966666666</v>
      </c>
      <c r="G66" s="296"/>
      <c r="H66" s="172"/>
      <c r="I66" s="173">
        <f>+SUMPRODUCT(('Budget révisé'!$A$8:$A$500=$A66)*('Budget révisé'!$C$3:$AO$3=I$2),'Budget révisé'!$C$8:$AO$500)</f>
        <v>3881.167966666666</v>
      </c>
      <c r="J66" s="297"/>
      <c r="K66" s="172"/>
      <c r="L66" s="275">
        <f>SUMIFS(BV_Data_An_Cour!$P:$P,BV_Data_An_Cour!$U:$U,$B66,BV_Data_An_Cour!$V:$V,$C66,BV_Data_An_Cour!$W:$W,L$2)</f>
        <v>1931.72</v>
      </c>
      <c r="M66" s="297"/>
      <c r="N66" s="298">
        <f t="shared" si="43"/>
        <v>-1949.4479666666659</v>
      </c>
      <c r="O66" s="297"/>
      <c r="P66" s="172"/>
      <c r="Q66" s="174">
        <f>SUMIFS(BV_Data_An_Prec!$P:$P,BV_Data_An_Prec!$U:$U,$B66,BV_Data_An_Prec!$V:$V,$C66,BV_Data_An_Prec!$W:$W,Q$2)</f>
        <v>5542.32</v>
      </c>
      <c r="R66" s="297"/>
      <c r="S66" s="193">
        <f t="shared" si="44"/>
        <v>-3610.5999999999995</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ht="15.75" customHeight="1">
      <c r="A67" s="564" t="str">
        <f t="shared" ref="A67:A69" si="45">+B67&amp;C67</f>
        <v>Véhicules neufsFormation</v>
      </c>
      <c r="B67" s="24" t="str">
        <f t="shared" si="0"/>
        <v>Véhicules neufs</v>
      </c>
      <c r="C67" s="258" t="s">
        <v>133</v>
      </c>
      <c r="D67" s="295"/>
      <c r="E67" s="172"/>
      <c r="F67" s="173">
        <f>+SUMPRODUCT(('Budget original'!$A$8:$A$500=$A67)*('Budget original'!$C$3:$AO$3=F$2),'Budget original'!$C$8:$AO$500)</f>
        <v>5766.2813333333343</v>
      </c>
      <c r="G67" s="296"/>
      <c r="H67" s="172"/>
      <c r="I67" s="173">
        <f>+SUMPRODUCT(('Budget révisé'!$A$8:$A$500=$A67)*('Budget révisé'!$C$3:$AO$3=I$2),'Budget révisé'!$C$8:$AO$500)</f>
        <v>5766.2813333333343</v>
      </c>
      <c r="J67" s="297"/>
      <c r="K67" s="172"/>
      <c r="L67" s="275">
        <f>SUMIFS(BV_Data_An_Cour!$P:$P,BV_Data_An_Cour!$U:$U,$B67,BV_Data_An_Cour!$V:$V,$C67,BV_Data_An_Cour!$W:$W,L$2)</f>
        <v>3267.26</v>
      </c>
      <c r="M67" s="297"/>
      <c r="N67" s="298">
        <f t="shared" ref="N67" si="46">L67-I67</f>
        <v>-2499.021333333334</v>
      </c>
      <c r="O67" s="297"/>
      <c r="P67" s="172"/>
      <c r="Q67" s="174">
        <f>SUMIFS(BV_Data_An_Prec!$P:$P,BV_Data_An_Prec!$U:$U,$B67,BV_Data_An_Prec!$V:$V,$C67,BV_Data_An_Prec!$W:$W,Q$2)</f>
        <v>2936.65</v>
      </c>
      <c r="R67" s="297"/>
      <c r="S67" s="193">
        <f t="shared" ref="S67" si="47">L67-Q67</f>
        <v>330.61000000000013</v>
      </c>
      <c r="T67" s="216"/>
      <c r="U67" s="216"/>
      <c r="V67" s="216"/>
      <c r="W67" s="216"/>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ht="15.75" customHeight="1">
      <c r="A68" s="564" t="str">
        <f t="shared" si="45"/>
        <v>Véhicules neufsFrais bancaires</v>
      </c>
      <c r="B68" s="24" t="str">
        <f t="shared" si="0"/>
        <v>Véhicules neufs</v>
      </c>
      <c r="C68" s="258" t="s">
        <v>134</v>
      </c>
      <c r="D68" s="295"/>
      <c r="E68" s="172"/>
      <c r="F68" s="173">
        <f>+SUMPRODUCT(('Budget original'!$A$8:$A$500=$A68)*('Budget original'!$C$3:$AO$3=F$2),'Budget original'!$C$8:$AO$500)</f>
        <v>11220.997095767183</v>
      </c>
      <c r="G68" s="296"/>
      <c r="H68" s="172"/>
      <c r="I68" s="173">
        <f>+SUMPRODUCT(('Budget révisé'!$A$8:$A$500=$A68)*('Budget révisé'!$C$3:$AO$3=I$2),'Budget révisé'!$C$8:$AO$500)</f>
        <v>11220.997095767183</v>
      </c>
      <c r="J68" s="297"/>
      <c r="K68" s="172"/>
      <c r="L68" s="958">
        <f>AF447*W3</f>
        <v>16504.938000000002</v>
      </c>
      <c r="M68" s="297"/>
      <c r="N68" s="298">
        <f t="shared" ref="N68:N69" si="48">L68-I68</f>
        <v>5283.9409042328189</v>
      </c>
      <c r="O68" s="297"/>
      <c r="P68" s="172"/>
      <c r="Q68" s="174">
        <f>AL447*W3</f>
        <v>14470.128000000001</v>
      </c>
      <c r="R68" s="297"/>
      <c r="S68" s="193">
        <f t="shared" ref="S68:S69" si="49">L68-Q68</f>
        <v>2034.8100000000013</v>
      </c>
      <c r="T68" s="216"/>
      <c r="U68" s="216"/>
      <c r="V68" s="216"/>
      <c r="W68" s="216"/>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ht="15.75" hidden="1" customHeight="1">
      <c r="A69" s="564" t="str">
        <f t="shared" si="45"/>
        <v>Véhicules neufs[...]</v>
      </c>
      <c r="B69" s="24" t="str">
        <f t="shared" si="0"/>
        <v>Véhicules neufs</v>
      </c>
      <c r="C69" s="258" t="s">
        <v>42</v>
      </c>
      <c r="D69" s="295"/>
      <c r="E69" s="172"/>
      <c r="F69" s="173">
        <f>+SUMPRODUCT(('Budget original'!$A$8:$A$500=$A69)*('Budget original'!$C$3:$AO$3=F$2),'Budget original'!$C$8:$AO$500)</f>
        <v>0</v>
      </c>
      <c r="G69" s="296"/>
      <c r="H69" s="172"/>
      <c r="I69" s="173">
        <f>+SUMPRODUCT(('Budget révisé'!$A$8:$A$500=$A69)*('Budget révisé'!$C$3:$AO$3=I$2),'Budget révisé'!$C$8:$AO$500)</f>
        <v>0</v>
      </c>
      <c r="J69" s="297"/>
      <c r="K69" s="172"/>
      <c r="L69" s="275"/>
      <c r="M69" s="297"/>
      <c r="N69" s="298">
        <f t="shared" si="48"/>
        <v>0</v>
      </c>
      <c r="O69" s="297"/>
      <c r="P69" s="172"/>
      <c r="Q69" s="174">
        <f>SUMIFS(BV_Data_An_Prec!$P:$P,BV_Data_An_Prec!$U:$U,$B69,BV_Data_An_Prec!$V:$V,$C69,BV_Data_An_Prec!$W:$W,Q$2)</f>
        <v>0</v>
      </c>
      <c r="R69" s="297"/>
      <c r="S69" s="193">
        <f t="shared" si="49"/>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tr">
        <f t="shared" si="1"/>
        <v>Véhicules neufs[...]</v>
      </c>
      <c r="B70" s="24" t="str">
        <f t="shared" si="0"/>
        <v>Véhicules neufs</v>
      </c>
      <c r="C70" s="258" t="s">
        <v>42</v>
      </c>
      <c r="D70" s="295"/>
      <c r="E70" s="172"/>
      <c r="F70" s="173">
        <f>+SUMPRODUCT(('Budget original'!$A$8:$A$500=$A70)*('Budget original'!$C$3:$AO$3=F$2),'Budget original'!$C$8:$AO$500)</f>
        <v>0</v>
      </c>
      <c r="G70" s="296"/>
      <c r="H70" s="172"/>
      <c r="I70" s="173">
        <f>+SUMPRODUCT(('Budget révisé'!$A$8:$A$500=$A70)*('Budget révisé'!$C$3:$AO$3=I$2),'Budget révisé'!$C$8:$AO$500)</f>
        <v>0</v>
      </c>
      <c r="J70" s="297"/>
      <c r="K70" s="172"/>
      <c r="L70" s="275">
        <f>SUMIFS(BV_Data_An_Cour!$P:$P,BV_Data_An_Cour!$U:$U,$B70,BV_Data_An_Cour!$V:$V,$C70,BV_Data_An_Cour!$W:$W,L$2)</f>
        <v>0</v>
      </c>
      <c r="M70" s="297"/>
      <c r="N70" s="298">
        <f t="shared" si="43"/>
        <v>0</v>
      </c>
      <c r="O70" s="297"/>
      <c r="P70" s="172"/>
      <c r="Q70" s="174">
        <f>SUMIFS(BV_Data_An_Prec!$P:$P,BV_Data_An_Prec!$U:$U,$B70,BV_Data_An_Prec!$V:$V,$C70,BV_Data_An_Prec!$W:$W,Q$2)</f>
        <v>0</v>
      </c>
      <c r="R70" s="297"/>
      <c r="S70" s="193">
        <f t="shared" si="44"/>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tr">
        <f t="shared" si="1"/>
        <v>Véhicules neufs[...]</v>
      </c>
      <c r="B71" s="24" t="str">
        <f t="shared" si="0"/>
        <v>Véhicules neufs</v>
      </c>
      <c r="C71" s="258" t="s">
        <v>42</v>
      </c>
      <c r="D71" s="295"/>
      <c r="E71" s="172"/>
      <c r="F71" s="173">
        <f>+SUMPRODUCT(('Budget original'!$A$8:$A$500=$A71)*('Budget original'!$C$3:$AO$3=F$2),'Budget original'!$C$8:$AO$500)</f>
        <v>0</v>
      </c>
      <c r="G71" s="296"/>
      <c r="H71" s="172"/>
      <c r="I71" s="173">
        <f>+SUMPRODUCT(('Budget révisé'!$A$8:$A$500=$A71)*('Budget révisé'!$C$3:$AO$3=I$2),'Budget révisé'!$C$8:$AO$500)</f>
        <v>0</v>
      </c>
      <c r="J71" s="297"/>
      <c r="K71" s="172"/>
      <c r="L71" s="174">
        <f>SUMIFS(BV_Data_An_Cour!$P:$P,BV_Data_An_Cour!$U:$U,$B71,BV_Data_An_Cour!$V:$V,$C71,BV_Data_An_Cour!$W:$W,L$2)*0.32</f>
        <v>0</v>
      </c>
      <c r="M71" s="297"/>
      <c r="N71" s="298">
        <f t="shared" si="43"/>
        <v>0</v>
      </c>
      <c r="O71" s="297"/>
      <c r="P71" s="172"/>
      <c r="Q71" s="174">
        <f>SUMIFS(BV_Data_An_Prec!$P:$P,BV_Data_An_Prec!$U:$U,$B71,BV_Data_An_Prec!$V:$V,$C71,BV_Data_An_Prec!$W:$W,Q$2)*0.32</f>
        <v>0</v>
      </c>
      <c r="R71" s="297"/>
      <c r="S71" s="193">
        <f t="shared" si="44"/>
        <v>0</v>
      </c>
      <c r="T71" s="216"/>
      <c r="U71" s="216"/>
      <c r="V71" s="508"/>
      <c r="W71" s="508"/>
      <c r="X71" s="508"/>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tr">
        <f t="shared" si="1"/>
        <v>Véhicules neufsTOTAL SEMI-FIXES</v>
      </c>
      <c r="B72" s="24" t="str">
        <f t="shared" si="0"/>
        <v>Véhicules neufs</v>
      </c>
      <c r="C72" s="292" t="s">
        <v>135</v>
      </c>
      <c r="D72" s="39" t="s">
        <v>111</v>
      </c>
      <c r="E72" s="40">
        <f>F72/F$27</f>
        <v>0.14454729497390709</v>
      </c>
      <c r="F72" s="41">
        <f>+SUM(F55:F71)</f>
        <v>135230.43171038525</v>
      </c>
      <c r="G72" s="42" t="s">
        <v>111</v>
      </c>
      <c r="H72" s="40">
        <f>I72/I$27</f>
        <v>0.14454729497390709</v>
      </c>
      <c r="I72" s="41">
        <f>+SUM(I55:I71)</f>
        <v>135230.43171038525</v>
      </c>
      <c r="J72" s="42" t="s">
        <v>111</v>
      </c>
      <c r="K72" s="40">
        <f>L72/L$27</f>
        <v>0.1666831534597796</v>
      </c>
      <c r="L72" s="41">
        <f>+SUM(L55:L71)</f>
        <v>140105.788</v>
      </c>
      <c r="M72" s="44"/>
      <c r="N72" s="41">
        <f>+SUM(N55:N71)</f>
        <v>4875.356289614735</v>
      </c>
      <c r="O72" s="42" t="s">
        <v>111</v>
      </c>
      <c r="P72" s="40">
        <f>Q72/Q$27</f>
        <v>0.16004403287967459</v>
      </c>
      <c r="Q72" s="41">
        <f>+SUM(Q55:Q71)</f>
        <v>123655.098</v>
      </c>
      <c r="R72" s="44"/>
      <c r="S72" s="310">
        <f>+SUM(S55:S71)</f>
        <v>16450.690000000006</v>
      </c>
      <c r="T72" s="216"/>
      <c r="U72" s="216"/>
      <c r="V72" s="508"/>
      <c r="W72" s="508"/>
      <c r="X72" s="508"/>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tr">
        <f t="shared" si="1"/>
        <v>Véhicules neufs</v>
      </c>
      <c r="B73" s="24" t="str">
        <f t="shared" si="0"/>
        <v>Véhicules neufs</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tr">
        <f t="shared" si="1"/>
        <v>Véhicules neufsTOTAL DES DÉPENSES</v>
      </c>
      <c r="B74" s="24" t="str">
        <f t="shared" si="0"/>
        <v>Véhicules neufs</v>
      </c>
      <c r="C74" s="292" t="s">
        <v>136</v>
      </c>
      <c r="D74" s="39" t="s">
        <v>111</v>
      </c>
      <c r="E74" s="40">
        <f>F74/F$27</f>
        <v>0.98140712213530801</v>
      </c>
      <c r="F74" s="41">
        <f>F41+F54+F72</f>
        <v>918150.06869524391</v>
      </c>
      <c r="G74" s="42" t="s">
        <v>111</v>
      </c>
      <c r="H74" s="40">
        <f>I74/I$27</f>
        <v>0.98140712213530801</v>
      </c>
      <c r="I74" s="41">
        <f>I41+I54+I72</f>
        <v>918150.06869524391</v>
      </c>
      <c r="J74" s="42" t="s">
        <v>111</v>
      </c>
      <c r="K74" s="40">
        <f>L74/L$27</f>
        <v>0.98701078879656789</v>
      </c>
      <c r="L74" s="41">
        <f>L41+L54+L72</f>
        <v>829633.47800000012</v>
      </c>
      <c r="M74" s="44"/>
      <c r="N74" s="46">
        <f>L74-I74</f>
        <v>-88516.590695243794</v>
      </c>
      <c r="O74" s="42" t="s">
        <v>111</v>
      </c>
      <c r="P74" s="40">
        <f>Q74/Q$27</f>
        <v>1.1413998205846385</v>
      </c>
      <c r="Q74" s="41">
        <f>Q41+Q54+Q72</f>
        <v>881881.71799999999</v>
      </c>
      <c r="R74" s="44"/>
      <c r="S74" s="293">
        <f>L74-Q74</f>
        <v>-52248.239999999874</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tr">
        <f t="shared" si="1"/>
        <v>Véhicules neufsProgramme neuf 1</v>
      </c>
      <c r="B75" s="24" t="str">
        <f t="shared" si="0"/>
        <v>Véhicules neufs</v>
      </c>
      <c r="C75" s="258" t="s">
        <v>137</v>
      </c>
      <c r="D75" s="295"/>
      <c r="E75" s="172"/>
      <c r="F75" s="173">
        <f>+SUMPRODUCT(('Budget original'!$A$8:$A$500=$A75)*('Budget original'!$C$3:$AO$3=F$2),'Budget original'!$C$8:$AO$500)</f>
        <v>12255.3</v>
      </c>
      <c r="G75" s="296"/>
      <c r="H75" s="172"/>
      <c r="I75" s="173">
        <f>+SUMPRODUCT(('Budget révisé'!$A$8:$A$500=$A75)*('Budget révisé'!$C$3:$AO$3=I$2),'Budget révisé'!$C$8:$AO$500)</f>
        <v>12255.3</v>
      </c>
      <c r="J75" s="297"/>
      <c r="K75" s="172"/>
      <c r="L75" s="548">
        <f>-SUMIFS(BV_Data_An_Cour!$P:$P,BV_Data_An_Cour!$U:$U,$B75,BV_Data_An_Cour!$V:$V,$C75,BV_Data_An_Cour!$W:$W,L$2)</f>
        <v>0</v>
      </c>
      <c r="M75" s="297"/>
      <c r="N75" s="298">
        <f>L75-I75</f>
        <v>-12255.3</v>
      </c>
      <c r="O75" s="297"/>
      <c r="P75" s="172"/>
      <c r="Q75" s="548">
        <f>-SUMIFS(BV_Data_An_Prec!$P:$P,BV_Data_An_Prec!$U:$U,$B75,BV_Data_An_Prec!$V:$V,$C75,BV_Data_An_Prec!$W:$W,Q$2)-Q155</f>
        <v>65776.52</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tr">
        <f t="shared" si="1"/>
        <v>Véhicules neufsProgramme neuf 2</v>
      </c>
      <c r="B76" s="24" t="str">
        <f t="shared" si="0"/>
        <v>Véhicules neufs</v>
      </c>
      <c r="C76" s="258" t="s">
        <v>138</v>
      </c>
      <c r="D76" s="295"/>
      <c r="E76" s="172"/>
      <c r="F76" s="173">
        <f>+SUMPRODUCT(('Budget original'!$A$8:$A$500=$A76)*('Budget original'!$C$3:$AO$3=F$2),'Budget original'!$C$8:$AO$500)</f>
        <v>0</v>
      </c>
      <c r="G76" s="296"/>
      <c r="H76" s="172"/>
      <c r="I76" s="173">
        <f>+SUMPRODUCT(('Budget révisé'!$A$8:$A$500=$A76)*('Budget révisé'!$C$3:$AO$3=I$2),'Budget révisé'!$C$8:$AO$500)</f>
        <v>0</v>
      </c>
      <c r="J76" s="297"/>
      <c r="K76" s="172"/>
      <c r="L76" s="958">
        <f>-SUMIFS(BV_Data_An_Cour!$P:$P,BV_Data_An_Cour!$U:$U,$B76,BV_Data_An_Cour!$V:$V,$C76,BV_Data_An_Cour!$W:$W,L$2)</f>
        <v>0</v>
      </c>
      <c r="M76" s="297"/>
      <c r="N76" s="298">
        <f>L76-I76</f>
        <v>0</v>
      </c>
      <c r="O76" s="297"/>
      <c r="P76" s="172"/>
      <c r="Q76" s="548">
        <f>-SUMIFS(BV_Data_An_Prec!$P:$P,BV_Data_An_Prec!$U:$U,$B76,BV_Data_An_Prec!$V:$V,$C76,BV_Data_An_Prec!$W:$W,Q$2)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tr">
        <f t="shared" si="1"/>
        <v>Véhicules neufsProgramme neuf 3</v>
      </c>
      <c r="B77" s="24" t="str">
        <f t="shared" si="0"/>
        <v>Véhicules neufs</v>
      </c>
      <c r="C77" s="258" t="s">
        <v>139</v>
      </c>
      <c r="D77" s="295"/>
      <c r="E77" s="172"/>
      <c r="F77" s="173">
        <f>+SUMPRODUCT(('Budget original'!$A$8:$A$500=$A77)*('Budget original'!$C$3:$AO$3=F$2),'Budget original'!$C$8:$AO$500)</f>
        <v>0</v>
      </c>
      <c r="G77" s="296"/>
      <c r="H77" s="172"/>
      <c r="I77" s="173">
        <f>+SUMPRODUCT(('Budget révisé'!$A$8:$A$500=$A77)*('Budget révisé'!$C$3:$AO$3=I$2),'Budget révisé'!$C$8:$AO$500)</f>
        <v>0</v>
      </c>
      <c r="J77" s="297"/>
      <c r="K77" s="172"/>
      <c r="L77" s="958">
        <f>-SUMIFS(BV_Data_An_Cour!$P:$P,BV_Data_An_Cour!$U:$U,$B77,BV_Data_An_Cour!$V:$V,$C77,BV_Data_An_Cour!$W:$W,L$2)</f>
        <v>0</v>
      </c>
      <c r="M77" s="297"/>
      <c r="N77" s="298">
        <f t="shared" ref="N77:N82" si="50">L77-I77</f>
        <v>0</v>
      </c>
      <c r="O77" s="297"/>
      <c r="P77" s="172"/>
      <c r="Q77" s="548">
        <f>-SUMIFS(BV_Data_An_Prec!$P:$P,BV_Data_An_Prec!$U:$U,$B77,BV_Data_An_Prec!$V:$V,$C77,BV_Data_An_Prec!$W:$W,Q$2)</f>
        <v>0</v>
      </c>
      <c r="R77" s="297"/>
      <c r="S77" s="193">
        <f t="shared" ref="S77:S82" si="51">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tr">
        <f t="shared" si="1"/>
        <v>Véhicules neufsHoldbacks</v>
      </c>
      <c r="B78" s="24" t="str">
        <f t="shared" si="0"/>
        <v>Véhicules neufs</v>
      </c>
      <c r="C78" s="258" t="s">
        <v>140</v>
      </c>
      <c r="D78" s="295"/>
      <c r="E78" s="172"/>
      <c r="F78" s="173">
        <f>+SUMPRODUCT(('Budget original'!$A$8:$A$500=$A78)*('Budget original'!$C$3:$AO$3=F$2),'Budget original'!$C$8:$AO$500)</f>
        <v>346241.61482530111</v>
      </c>
      <c r="G78" s="296"/>
      <c r="H78" s="172"/>
      <c r="I78" s="173">
        <f>+SUMPRODUCT(('Budget révisé'!$A$8:$A$500=$A78)*('Budget révisé'!$C$3:$AO$3=I$2),'Budget révisé'!$C$8:$AO$500)</f>
        <v>346241.61482530111</v>
      </c>
      <c r="J78" s="297"/>
      <c r="K78" s="172"/>
      <c r="L78" s="275">
        <f>-SUMIFS(BV_Data_An_Cour!$P:$P,BV_Data_An_Cour!$U:$U,$B78,BV_Data_An_Cour!$V:$V,$C78,BV_Data_An_Cour!$W:$W,L$2)</f>
        <v>203762.85</v>
      </c>
      <c r="M78" s="297"/>
      <c r="N78" s="298">
        <f t="shared" si="50"/>
        <v>-142478.7648253011</v>
      </c>
      <c r="O78" s="297"/>
      <c r="P78" s="172"/>
      <c r="Q78" s="548">
        <f>-SUMIFS(BV_Data_An_Prec!$P:$P,BV_Data_An_Prec!$U:$U,$B78,BV_Data_An_Prec!$V:$V,$C78,BV_Data_An_Prec!$W:$W,Q$2)</f>
        <v>397247</v>
      </c>
      <c r="R78" s="297"/>
      <c r="S78" s="193">
        <f t="shared" si="51"/>
        <v>-193484.15</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ht="15.75" hidden="1" customHeight="1">
      <c r="A79" s="564" t="str">
        <f t="shared" ref="A79:A81" si="52">+B79&amp;C79</f>
        <v>Véhicules neufs[...]</v>
      </c>
      <c r="B79" s="24" t="str">
        <f t="shared" si="0"/>
        <v>Véhicules neufs</v>
      </c>
      <c r="C79" s="258" t="s">
        <v>42</v>
      </c>
      <c r="D79" s="295"/>
      <c r="E79" s="172"/>
      <c r="F79" s="173">
        <f>+SUMPRODUCT(('Budget original'!$A$8:$A$500=$A79)*('Budget original'!$C$3:$AO$3=F$2),'Budget original'!$C$8:$AO$500)</f>
        <v>0</v>
      </c>
      <c r="G79" s="296"/>
      <c r="H79" s="172"/>
      <c r="I79" s="173">
        <f>+SUMPRODUCT(('Budget révisé'!$A$8:$A$500=$A79)*('Budget révisé'!$C$3:$AO$3=I$2),'Budget révisé'!$C$8:$AO$500)</f>
        <v>0</v>
      </c>
      <c r="J79" s="297"/>
      <c r="K79" s="172"/>
      <c r="L79" s="275">
        <f>-SUMIFS(BV_Data_An_Cour!$P:$P,BV_Data_An_Cour!$U:$U,$B79,BV_Data_An_Cour!$V:$V,$C79,BV_Data_An_Cour!$W:$W,L$2)</f>
        <v>0</v>
      </c>
      <c r="M79" s="297"/>
      <c r="N79" s="298">
        <f t="shared" ref="N79:N81" si="53">L79-I79</f>
        <v>0</v>
      </c>
      <c r="O79" s="297"/>
      <c r="P79" s="172"/>
      <c r="Q79" s="548">
        <f>-SUMIFS(BV_Data_An_Prec!$P:$P,BV_Data_An_Prec!$U:$U,$B79,BV_Data_An_Prec!$V:$V,$C79,BV_Data_An_Prec!$W:$W,Q$2)</f>
        <v>0</v>
      </c>
      <c r="R79" s="297"/>
      <c r="S79" s="193">
        <f t="shared" ref="S79:S81" si="54">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ht="15.75" hidden="1" customHeight="1">
      <c r="A80" s="564" t="str">
        <f t="shared" si="52"/>
        <v>Véhicules neufs[...]</v>
      </c>
      <c r="B80" s="24" t="str">
        <f t="shared" si="0"/>
        <v>Véhicules neufs</v>
      </c>
      <c r="C80" s="258" t="s">
        <v>42</v>
      </c>
      <c r="D80" s="295"/>
      <c r="E80" s="172"/>
      <c r="F80" s="173">
        <f>+SUMPRODUCT(('Budget original'!$A$8:$A$500=$A80)*('Budget original'!$C$3:$AO$3=F$2),'Budget original'!$C$8:$AO$500)</f>
        <v>0</v>
      </c>
      <c r="G80" s="296"/>
      <c r="H80" s="172"/>
      <c r="I80" s="173">
        <f>+SUMPRODUCT(('Budget révisé'!$A$8:$A$500=$A80)*('Budget révisé'!$C$3:$AO$3=I$2),'Budget révisé'!$C$8:$AO$500)</f>
        <v>0</v>
      </c>
      <c r="J80" s="297"/>
      <c r="K80" s="172"/>
      <c r="L80" s="275">
        <f>-SUMIFS(BV_Data_An_Cour!$P:$P,BV_Data_An_Cour!$U:$U,$B80,BV_Data_An_Cour!$V:$V,$C80,BV_Data_An_Cour!$W:$W,L$2)</f>
        <v>0</v>
      </c>
      <c r="M80" s="297"/>
      <c r="N80" s="298">
        <f t="shared" si="53"/>
        <v>0</v>
      </c>
      <c r="O80" s="297"/>
      <c r="P80" s="172"/>
      <c r="Q80" s="548">
        <f>-SUMIFS(BV_Data_An_Prec!$P:$P,BV_Data_An_Prec!$U:$U,$B80,BV_Data_An_Prec!$V:$V,$C80,BV_Data_An_Prec!$W:$W,Q$2)</f>
        <v>0</v>
      </c>
      <c r="R80" s="297"/>
      <c r="S80" s="193">
        <f t="shared" si="54"/>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ht="15.75" hidden="1" customHeight="1">
      <c r="A81" s="564" t="str">
        <f t="shared" si="52"/>
        <v>Véhicules neufs[...]</v>
      </c>
      <c r="B81" s="24" t="str">
        <f t="shared" si="0"/>
        <v>Véhicules neufs</v>
      </c>
      <c r="C81" s="258" t="s">
        <v>42</v>
      </c>
      <c r="D81" s="295"/>
      <c r="E81" s="172"/>
      <c r="F81" s="173">
        <f>+SUMPRODUCT(('Budget original'!$A$8:$A$500=$A81)*('Budget original'!$C$3:$AO$3=F$2),'Budget original'!$C$8:$AO$500)</f>
        <v>0</v>
      </c>
      <c r="G81" s="296"/>
      <c r="H81" s="172"/>
      <c r="I81" s="173">
        <f>+SUMPRODUCT(('Budget révisé'!$A$8:$A$500=$A81)*('Budget révisé'!$C$3:$AO$3=I$2),'Budget révisé'!$C$8:$AO$500)</f>
        <v>0</v>
      </c>
      <c r="J81" s="297"/>
      <c r="K81" s="172"/>
      <c r="L81" s="275">
        <f>-SUMIFS(BV_Data_An_Cour!$P:$P,BV_Data_An_Cour!$U:$U,$B81,BV_Data_An_Cour!$V:$V,$C81,BV_Data_An_Cour!$W:$W,L$2)</f>
        <v>0</v>
      </c>
      <c r="M81" s="297"/>
      <c r="N81" s="298">
        <f t="shared" si="53"/>
        <v>0</v>
      </c>
      <c r="O81" s="297"/>
      <c r="P81" s="172"/>
      <c r="Q81" s="548">
        <f>-SUMIFS(BV_Data_An_Prec!$P:$P,BV_Data_An_Prec!$U:$U,$B81,BV_Data_An_Prec!$V:$V,$C81,BV_Data_An_Prec!$W:$W,Q$2)</f>
        <v>0</v>
      </c>
      <c r="R81" s="297"/>
      <c r="S81" s="193">
        <f t="shared" si="54"/>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564" t="str">
        <f t="shared" si="1"/>
        <v>Véhicules neufsFrais administration</v>
      </c>
      <c r="B82" s="24" t="str">
        <f t="shared" si="0"/>
        <v>Véhicules neufs</v>
      </c>
      <c r="C82" s="258" t="s">
        <v>141</v>
      </c>
      <c r="D82" s="295"/>
      <c r="E82" s="172"/>
      <c r="F82" s="173">
        <f>+SUMPRODUCT(('Budget original'!$A$8:$A$500=$A82)*('Budget original'!$C$3:$AO$3=F$2),'Budget original'!$C$8:$AO$500)</f>
        <v>118734.36578952981</v>
      </c>
      <c r="G82" s="296"/>
      <c r="H82" s="172"/>
      <c r="I82" s="173">
        <f>+SUMPRODUCT(('Budget révisé'!$A$8:$A$500=$A82)*('Budget révisé'!$C$3:$AO$3=I$2),'Budget révisé'!$C$8:$AO$500)</f>
        <v>118734.36578952981</v>
      </c>
      <c r="J82" s="297"/>
      <c r="K82" s="172"/>
      <c r="L82" s="958">
        <f>-SUMIFS(BV_Data_An_Cour!$P:$P,BV_Data_An_Cour!$U:$U,$B82,BV_Data_An_Cour!$V:$V,$C82,BV_Data_An_Cour!$W:$W,L$2)-L158</f>
        <v>57081</v>
      </c>
      <c r="M82" s="297"/>
      <c r="N82" s="298">
        <f t="shared" si="50"/>
        <v>-61653.365789529809</v>
      </c>
      <c r="O82" s="297"/>
      <c r="P82" s="172"/>
      <c r="Q82" s="548">
        <f>-SUMIFS(BV_Data_An_Prec!$P:$P,BV_Data_An_Prec!$U:$U,$B82,BV_Data_An_Prec!$V:$V,$C82,BV_Data_An_Prec!$W:$W,Q$2)-Q158</f>
        <v>86091.700000000012</v>
      </c>
      <c r="R82" s="297"/>
      <c r="S82" s="193">
        <f t="shared" si="51"/>
        <v>-29010.700000000012</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tr">
        <f t="shared" si="1"/>
        <v>Véhicules neufsAUTRES REVENUS</v>
      </c>
      <c r="B83" s="24" t="str">
        <f t="shared" si="0"/>
        <v>Véhicules neufs</v>
      </c>
      <c r="C83" s="292" t="s">
        <v>142</v>
      </c>
      <c r="D83" s="39"/>
      <c r="E83" s="40"/>
      <c r="F83" s="41">
        <f>+SUM(F75:F82)</f>
        <v>477231.2806148309</v>
      </c>
      <c r="G83" s="42"/>
      <c r="H83" s="40"/>
      <c r="I83" s="41">
        <f>+SUM(I75:I82)</f>
        <v>477231.2806148309</v>
      </c>
      <c r="J83" s="42"/>
      <c r="K83" s="40"/>
      <c r="L83" s="41">
        <f>+SUM(L75:L82)</f>
        <v>260843.85</v>
      </c>
      <c r="M83" s="44"/>
      <c r="N83" s="41">
        <f>+SUM(N75:N82)</f>
        <v>-216387.4306148309</v>
      </c>
      <c r="O83" s="42"/>
      <c r="P83" s="40"/>
      <c r="Q83" s="41">
        <f>+SUM(Q75:Q82)</f>
        <v>549115.22</v>
      </c>
      <c r="R83" s="44"/>
      <c r="S83" s="310">
        <f>+SUM(S75:S82)</f>
        <v>-222494.85</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tr">
        <f t="shared" si="1"/>
        <v>Véhicules neufs</v>
      </c>
      <c r="B84" s="24" t="str">
        <f t="shared" si="0"/>
        <v>Véhicules neufs</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tr">
        <f t="shared" si="1"/>
        <v>Véhicules neufsPROFIT DÉPARTEMENTAL</v>
      </c>
      <c r="B85" s="24" t="str">
        <f t="shared" si="0"/>
        <v>Véhicules neufs</v>
      </c>
      <c r="C85" s="334" t="s">
        <v>143</v>
      </c>
      <c r="D85" s="336"/>
      <c r="E85" s="340"/>
      <c r="F85" s="337">
        <f>F27-F74+F83</f>
        <v>494625.74587158056</v>
      </c>
      <c r="G85" s="430"/>
      <c r="H85" s="340"/>
      <c r="I85" s="337">
        <f>I27-I74+I83</f>
        <v>494625.74587158056</v>
      </c>
      <c r="J85" s="430"/>
      <c r="K85" s="336"/>
      <c r="L85" s="337">
        <f>L27-L74+L83</f>
        <v>271761.95199999854</v>
      </c>
      <c r="M85" s="430"/>
      <c r="N85" s="337">
        <f>N27-N41-N54-N72+N83</f>
        <v>-222863.79387158185</v>
      </c>
      <c r="O85" s="430"/>
      <c r="P85" s="336"/>
      <c r="Q85" s="337">
        <f>Q27-Q74+Q83</f>
        <v>439865.23200000089</v>
      </c>
      <c r="R85" s="430"/>
      <c r="S85" s="341">
        <f>S27-S41-S54-S72+S83</f>
        <v>-138002.10000000231</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54"/>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4"/>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159"/>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AAJ, Mai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159"/>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426" t="s">
        <v>77</v>
      </c>
      <c r="E91" s="1427"/>
      <c r="F91" s="1428"/>
      <c r="G91" s="1429" t="s">
        <v>145</v>
      </c>
      <c r="H91" s="1427"/>
      <c r="I91" s="1428"/>
      <c r="J91" s="1429" t="s">
        <v>79</v>
      </c>
      <c r="K91" s="1427"/>
      <c r="L91" s="1428"/>
      <c r="M91" s="1429" t="s">
        <v>80</v>
      </c>
      <c r="N91" s="1428"/>
      <c r="O91" s="1426" t="s">
        <v>81</v>
      </c>
      <c r="P91" s="1427"/>
      <c r="Q91" s="1428"/>
      <c r="R91" s="1429" t="s">
        <v>82</v>
      </c>
      <c r="S91" s="1430"/>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tr">
        <f t="shared" ref="A93:A157" si="55">+B93&amp;C93</f>
        <v>Véhicules usagésVentes nettes</v>
      </c>
      <c r="B93" s="24" t="s">
        <v>144</v>
      </c>
      <c r="C93" s="320" t="s">
        <v>88</v>
      </c>
      <c r="D93" s="178"/>
      <c r="E93" s="178"/>
      <c r="F93" s="171">
        <f>+SUMPRODUCT(('Budget original'!$A$8:$A$500=$A93)*('Budget original'!$C$3:$AO$3=F$2),'Budget original'!$C$8:$AO$500)</f>
        <v>5944864.6480348865</v>
      </c>
      <c r="G93" s="177"/>
      <c r="H93" s="178"/>
      <c r="I93" s="171">
        <f>+SUMPRODUCT(('Budget révisé'!$A$8:$A$500=$A93)*('Budget révisé'!$C$3:$AO$3=I$2),'Budget révisé'!$C$8:$AO$500)</f>
        <v>5944864.6480348865</v>
      </c>
      <c r="J93" s="562"/>
      <c r="K93" s="178"/>
      <c r="L93" s="171">
        <f>-SUMIFS(BV_Data_An_Cour!$P:$P,BV_Data_An_Cour!$X:$X,"Oui",BV_Data_An_Cour!$U:$U,$B93)</f>
        <v>6555709</v>
      </c>
      <c r="M93" s="389"/>
      <c r="N93" s="390"/>
      <c r="O93" s="562"/>
      <c r="P93" s="178"/>
      <c r="Q93" s="171">
        <f>-SUMIFS(BV_Data_An_Prec!$P:$P,BV_Data_An_Prec!$X:$X,"Oui",BV_Data_An_Prec!$U:$U,$B93)</f>
        <v>5722637.4299999997</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tr">
        <f t="shared" si="55"/>
        <v>Véhicules usagésCertifié</v>
      </c>
      <c r="B94" s="24" t="s">
        <v>144</v>
      </c>
      <c r="C94" s="258" t="s">
        <v>146</v>
      </c>
      <c r="D94" s="173">
        <f>+SUMPRODUCT(('Budget original'!$A$8:$A$500=$A94)*('Budget original'!$C$3:$AO$3=D$2),'Budget original'!$C$8:$AO$500)</f>
        <v>181.45631067961165</v>
      </c>
      <c r="E94" s="173">
        <f>IF(D94=0,0,F94/D94)</f>
        <v>1300</v>
      </c>
      <c r="F94" s="173">
        <f>+SUMPRODUCT(('Budget original'!$A$8:$A$500=$A94)*('Budget original'!$C$3:$AO$3=F$2),'Budget original'!$C$8:$AO$500)</f>
        <v>235893.20388349512</v>
      </c>
      <c r="G94" s="176">
        <f>+SUMPRODUCT(('Budget révisé'!$A$8:$A$500=$A94)*('Budget révisé'!$C$3:$AO$3=G$2),'Budget révisé'!$C$8:$AO$500)</f>
        <v>181.45631067961165</v>
      </c>
      <c r="H94" s="173">
        <f>IF(G94=0,0,I94/G94)</f>
        <v>1300</v>
      </c>
      <c r="I94" s="173">
        <f>+SUMPRODUCT(('Budget révisé'!$A$8:$A$500=$A94)*('Budget révisé'!$C$3:$AO$3=I$2),'Budget révisé'!$C$8:$AO$500)</f>
        <v>235893.20388349512</v>
      </c>
      <c r="J94" s="563">
        <f>-SUMIFS(BV_Data_An_Cour!$P:$P,BV_Data_An_Cour!$U:$U,$B94,BV_Data_An_Cour!$V:$V,$C94,BV_Data_An_Cour!$W:$W,J$2)</f>
        <v>149</v>
      </c>
      <c r="K94" s="173">
        <f t="shared" ref="K94:K95" si="56">IF(J94=0,0,L94/J94)</f>
        <v>2269.9940939597304</v>
      </c>
      <c r="L94" s="174">
        <f>-SUMIFS(BV_Data_An_Cour!$P:$P,BV_Data_An_Cour!$U:$U,$B94,BV_Data_An_Cour!$V:$V,$C94,BV_Data_An_Cour!$W:$W,$L2)</f>
        <v>338229.11999999982</v>
      </c>
      <c r="M94" s="176">
        <f>J94-G94</f>
        <v>-32.456310679611647</v>
      </c>
      <c r="N94" s="174">
        <f>L94-I94</f>
        <v>102335.9161165047</v>
      </c>
      <c r="O94" s="563">
        <f>-SUMIFS(BV_Data_An_Prec!$P:$P,BV_Data_An_Prec!$U:$U,$B94,BV_Data_An_Prec!$V:$V,$C94,BV_Data_An_Prec!$W:$W,O$2)</f>
        <v>163</v>
      </c>
      <c r="P94" s="173">
        <f t="shared" ref="P94:P95" si="57">IF(O94=0,0,Q94/O94)</f>
        <v>1019.3822699386482</v>
      </c>
      <c r="Q94" s="174">
        <f>-SUMIFS(BV_Data_An_Prec!$P:$P,BV_Data_An_Prec!$U:$U,$B94,BV_Data_An_Prec!$V:$V,$C94,BV_Data_An_Prec!$W:$W,$L2)</f>
        <v>166159.30999999965</v>
      </c>
      <c r="R94" s="176">
        <f t="shared" ref="R94:R95" si="58">J94-O94</f>
        <v>-14</v>
      </c>
      <c r="S94" s="393">
        <f t="shared" ref="S94:S95" si="59">L94-Q94</f>
        <v>172069.81000000017</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tr">
        <f t="shared" si="55"/>
        <v>Véhicules usagésNon Certifié</v>
      </c>
      <c r="B95" s="24" t="s">
        <v>144</v>
      </c>
      <c r="C95" s="258" t="s">
        <v>147</v>
      </c>
      <c r="D95" s="173">
        <f>+SUMPRODUCT(('Budget original'!$A$8:$A$500=$A95)*('Budget original'!$C$3:$AO$3=D$2),'Budget original'!$C$8:$AO$500)</f>
        <v>10.194174757281553</v>
      </c>
      <c r="E95" s="178">
        <f t="shared" ref="E95:E104" si="60">IF(D95=0,0,F95/D95)</f>
        <v>899.99999999999989</v>
      </c>
      <c r="F95" s="173">
        <f>+SUMPRODUCT(('Budget original'!$A$8:$A$500=$A95)*('Budget original'!$C$3:$AO$3=F$2),'Budget original'!$C$8:$AO$500)</f>
        <v>9174.7572815533968</v>
      </c>
      <c r="G95" s="176">
        <f>+SUMPRODUCT(('Budget révisé'!$A$8:$A$500=$A95)*('Budget révisé'!$C$3:$AO$3=G$2),'Budget révisé'!$C$8:$AO$500)</f>
        <v>10.194174757281553</v>
      </c>
      <c r="H95" s="173">
        <f t="shared" ref="H95:H104" si="61">IF(G95=0,0,I95/G95)</f>
        <v>899.99999999999989</v>
      </c>
      <c r="I95" s="173">
        <f>+SUMPRODUCT(('Budget révisé'!$A$8:$A$500=$A95)*('Budget révisé'!$C$3:$AO$3=I$2),'Budget révisé'!$C$8:$AO$500)</f>
        <v>9174.7572815533968</v>
      </c>
      <c r="J95" s="176">
        <f>-SUMIFS(BV_Data_An_Cour!$P:$P,BV_Data_An_Cour!$U:$U,$B95,BV_Data_An_Cour!$V:$V,$C95,BV_Data_An_Cour!$W:$W,J$2)</f>
        <v>8</v>
      </c>
      <c r="K95" s="173">
        <f t="shared" si="56"/>
        <v>1654.7474999999984</v>
      </c>
      <c r="L95" s="548">
        <f>-SUMIFS(BV_Data_An_Cour!$P:$P,BV_Data_An_Cour!$U:$U,$B95,BV_Data_An_Cour!$V:$V,$C95,BV_Data_An_Cour!$W:$W,$L2)</f>
        <v>13237.979999999987</v>
      </c>
      <c r="M95" s="176"/>
      <c r="N95" s="174"/>
      <c r="O95" s="176">
        <f>-SUMIFS(BV_Data_An_Prec!$P:$P,BV_Data_An_Prec!$U:$U,$B95,BV_Data_An_Prec!$V:$V,$C95,BV_Data_An_Prec!$W:$W,O$2)</f>
        <v>4</v>
      </c>
      <c r="P95" s="173">
        <f t="shared" si="57"/>
        <v>424.57250000000045</v>
      </c>
      <c r="Q95" s="548">
        <f>-SUMIFS(BV_Data_An_Prec!$P:$P,BV_Data_An_Prec!$U:$U,$B95,BV_Data_An_Prec!$V:$V,$C95,BV_Data_An_Prec!$W:$W,$L2)</f>
        <v>1698.2900000000018</v>
      </c>
      <c r="R95" s="176">
        <f t="shared" si="58"/>
        <v>4</v>
      </c>
      <c r="S95" s="393">
        <f t="shared" si="59"/>
        <v>11539.689999999984</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tr">
        <f t="shared" si="55"/>
        <v>Véhicules usagésTotal Usagés</v>
      </c>
      <c r="B96" s="24" t="s">
        <v>144</v>
      </c>
      <c r="C96" s="394" t="s">
        <v>148</v>
      </c>
      <c r="D96" s="395">
        <f>+D95+D94</f>
        <v>191.65048543689321</v>
      </c>
      <c r="E96" s="173">
        <f t="shared" si="60"/>
        <v>1278.7234042553191</v>
      </c>
      <c r="F96" s="396">
        <f t="shared" ref="F96" si="62">+F94+F95</f>
        <v>245067.96116504853</v>
      </c>
      <c r="G96" s="397">
        <f>+G95+G94</f>
        <v>191.65048543689321</v>
      </c>
      <c r="H96" s="395">
        <f t="shared" si="61"/>
        <v>1278.7234042553191</v>
      </c>
      <c r="I96" s="396">
        <f t="shared" ref="I96" si="63">+I94+I95</f>
        <v>245067.96116504853</v>
      </c>
      <c r="J96" s="397">
        <f t="shared" ref="J96" si="64">+J94+J95</f>
        <v>157</v>
      </c>
      <c r="K96" s="395">
        <f>IF(J96&lt;=0,0,L96/J96)</f>
        <v>2238.6439490445846</v>
      </c>
      <c r="L96" s="396">
        <f>+L94+L95</f>
        <v>351467.0999999998</v>
      </c>
      <c r="M96" s="397">
        <f>J96-G96</f>
        <v>-34.650485436893206</v>
      </c>
      <c r="N96" s="396">
        <f>L96-I96</f>
        <v>106399.13883495127</v>
      </c>
      <c r="O96" s="397">
        <f t="shared" ref="O96" si="65">+O94+O95</f>
        <v>167</v>
      </c>
      <c r="P96" s="395">
        <f>IF(O96&lt;=0,0,Q96/O96)</f>
        <v>1005.1353293413154</v>
      </c>
      <c r="Q96" s="396">
        <f>+Q94+Q95</f>
        <v>167857.59999999966</v>
      </c>
      <c r="R96" s="397">
        <f t="shared" ref="R96:S96" si="66">R94+R95</f>
        <v>-10</v>
      </c>
      <c r="S96" s="398">
        <f t="shared" si="66"/>
        <v>183609.50000000015</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tr">
        <f t="shared" si="55"/>
        <v>Véhicules usagés</v>
      </c>
      <c r="B97" s="24" t="s">
        <v>144</v>
      </c>
      <c r="C97" s="258"/>
      <c r="D97" s="172"/>
      <c r="E97" s="173">
        <f t="shared" si="60"/>
        <v>0</v>
      </c>
      <c r="F97" s="306"/>
      <c r="G97" s="297"/>
      <c r="H97" s="172">
        <f t="shared" si="61"/>
        <v>0</v>
      </c>
      <c r="I97" s="306"/>
      <c r="J97" s="297"/>
      <c r="K97" s="172"/>
      <c r="L97" s="306"/>
      <c r="M97" s="356">
        <f>M96/G96</f>
        <v>-0.18080040526849039</v>
      </c>
      <c r="N97" s="326">
        <f>N96/I96</f>
        <v>0.43416176610411145</v>
      </c>
      <c r="O97" s="297"/>
      <c r="P97" s="172"/>
      <c r="Q97" s="306"/>
      <c r="R97" s="356">
        <f>R96/O96</f>
        <v>-5.9880239520958084E-2</v>
      </c>
      <c r="S97" s="327">
        <f>IF(Q96=0,0,(S96/Q96))</f>
        <v>1.0938408508164095</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tr">
        <f t="shared" si="55"/>
        <v>Véhicules usagésUS</v>
      </c>
      <c r="B98" s="24" t="s">
        <v>144</v>
      </c>
      <c r="C98" s="258" t="s">
        <v>149</v>
      </c>
      <c r="D98" s="173">
        <f>+SUMPRODUCT(('Budget original'!$A$8:$A$500=$A98)*('Budget original'!$C$3:$AO$3=D$2),'Budget original'!$C$8:$AO$500)</f>
        <v>0</v>
      </c>
      <c r="E98" s="173">
        <f t="shared" si="60"/>
        <v>0</v>
      </c>
      <c r="F98" s="173">
        <f>+SUMPRODUCT(('Budget original'!$A$8:$A$500=$A98)*('Budget original'!$C$3:$AO$3=F$2),'Budget original'!$C$8:$AO$500)</f>
        <v>0</v>
      </c>
      <c r="G98" s="297">
        <f>+SUMPRODUCT(('Budget révisé'!$A$8:$A$500=$A98)*('Budget révisé'!$C$3:$AO$3=G$2),'Budget révisé'!$C$8:$AO$500)</f>
        <v>0</v>
      </c>
      <c r="H98" s="173">
        <f t="shared" si="61"/>
        <v>0</v>
      </c>
      <c r="I98" s="173">
        <f>+SUMPRODUCT(('Budget révisé'!$A$8:$A$500=$A98)*('Budget révisé'!$C$3:$AO$3=I$2),'Budget révisé'!$C$8:$AO$500)</f>
        <v>0</v>
      </c>
      <c r="J98" s="176">
        <f>-SUMIFS(BV_Data_An_Cour!$P:$P,BV_Data_An_Cour!$U:$U,$B98,BV_Data_An_Cour!$V:$V,$C98,BV_Data_An_Cour!$W:$W,J$2)</f>
        <v>0</v>
      </c>
      <c r="K98" s="173">
        <f t="shared" ref="K98:K99" si="67">IF(J98=0,0,L98/J98)</f>
        <v>0</v>
      </c>
      <c r="L98" s="174">
        <f>-SUMIFS(BV_Data_An_Cour!$P:$P,BV_Data_An_Cour!$U:$U,$B98,BV_Data_An_Cour!$V:$V,$C98,BV_Data_An_Cour!$W:$W,$L2)</f>
        <v>0</v>
      </c>
      <c r="M98" s="176">
        <f t="shared" ref="M98:M99" si="68">J98-G98</f>
        <v>0</v>
      </c>
      <c r="N98" s="174">
        <f t="shared" ref="N98:N99" si="69">L98-I98</f>
        <v>0</v>
      </c>
      <c r="O98" s="176">
        <f>-SUMIFS(BV_Data_An_Prec!$P:$P,BV_Data_An_Prec!$U:$U,$B98,BV_Data_An_Prec!$V:$V,$C98,BV_Data_An_Prec!$W:$W,O$2)</f>
        <v>0</v>
      </c>
      <c r="P98" s="173">
        <f t="shared" ref="P98:P99" si="70">IF(O98=0,0,Q98/O98)</f>
        <v>0</v>
      </c>
      <c r="Q98" s="174">
        <f>-SUMIFS(BV_Data_An_Prec!$P:$P,BV_Data_An_Prec!$U:$U,$B98,BV_Data_An_Prec!$V:$V,$C98,BV_Data_An_Prec!$W:$W,$L2)</f>
        <v>0</v>
      </c>
      <c r="R98" s="176">
        <f t="shared" ref="R98:R99" si="71">J98-O98</f>
        <v>0</v>
      </c>
      <c r="S98" s="393">
        <f t="shared" ref="S98:S99" si="72">L98-Q98</f>
        <v>0</v>
      </c>
      <c r="T98" s="216"/>
      <c r="U98" s="216"/>
      <c r="V98" s="216"/>
      <c r="W98" s="216"/>
      <c r="X98" s="216"/>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tr">
        <f t="shared" si="55"/>
        <v>Véhicules usagésVentes au Gros</v>
      </c>
      <c r="B99" s="24" t="s">
        <v>144</v>
      </c>
      <c r="C99" s="258" t="s">
        <v>150</v>
      </c>
      <c r="D99" s="173">
        <f>+SUMPRODUCT(('Budget original'!$A$8:$A$500=$A99)*('Budget original'!$C$3:$AO$3=D$2),'Budget original'!$C$8:$AO$500)</f>
        <v>166.77289458142579</v>
      </c>
      <c r="E99" s="173">
        <f t="shared" si="60"/>
        <v>212</v>
      </c>
      <c r="F99" s="173">
        <f>+SUMPRODUCT(('Budget original'!$A$8:$A$500=$A99)*('Budget original'!$C$3:$AO$3=F$2),'Budget original'!$C$8:$AO$500)</f>
        <v>35355.853651262267</v>
      </c>
      <c r="G99" s="173">
        <f>+SUMPRODUCT(('Budget révisé'!$A$8:$A$500=$A99)*('Budget révisé'!$C$3:$AO$3=G$2),'Budget révisé'!$C$8:$AO$500)</f>
        <v>166.77289458142579</v>
      </c>
      <c r="H99" s="173">
        <f t="shared" si="61"/>
        <v>212</v>
      </c>
      <c r="I99" s="173">
        <f>+SUMPRODUCT(('Budget révisé'!$A$8:$A$500=$A99)*('Budget révisé'!$C$3:$AO$3=I$2),'Budget révisé'!$C$8:$AO$500)</f>
        <v>35355.853651262267</v>
      </c>
      <c r="J99" s="176">
        <f>-SUMIFS(BV_Data_An_Cour!$P:$P,BV_Data_An_Cour!$U:$U,$B99,BV_Data_An_Cour!$V:$V,$C99,BV_Data_An_Cour!$W:$W,J$2)</f>
        <v>111</v>
      </c>
      <c r="K99" s="173">
        <f t="shared" si="67"/>
        <v>554.40234234234163</v>
      </c>
      <c r="L99" s="174">
        <f>-SUMIFS(BV_Data_An_Cour!$P:$P,BV_Data_An_Cour!$U:$U,$B99,BV_Data_An_Cour!$V:$V,$C99,BV_Data_An_Cour!$W:$W,L$2)</f>
        <v>61538.659999999916</v>
      </c>
      <c r="M99" s="176">
        <f t="shared" si="68"/>
        <v>-55.772894581425788</v>
      </c>
      <c r="N99" s="174">
        <f t="shared" si="69"/>
        <v>26182.806348737649</v>
      </c>
      <c r="O99" s="176">
        <f>-SUMIFS(BV_Data_An_Prec!$P:$P,BV_Data_An_Prec!$U:$U,$B99,BV_Data_An_Prec!$V:$V,$C99,BV_Data_An_Prec!$W:$W,O$2)</f>
        <v>158</v>
      </c>
      <c r="P99" s="173">
        <f t="shared" si="70"/>
        <v>262.08613924050695</v>
      </c>
      <c r="Q99" s="174">
        <f>-SUMIFS(BV_Data_An_Prec!$P:$P,BV_Data_An_Prec!$U:$U,$B99,BV_Data_An_Prec!$V:$V,$C99,BV_Data_An_Prec!$W:$W,Q$2)</f>
        <v>41409.610000000102</v>
      </c>
      <c r="R99" s="176">
        <f t="shared" si="71"/>
        <v>-47</v>
      </c>
      <c r="S99" s="393">
        <f t="shared" si="72"/>
        <v>20129.049999999814</v>
      </c>
      <c r="T99" s="216"/>
      <c r="U99" s="216"/>
      <c r="V99" s="216"/>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tr">
        <f t="shared" si="55"/>
        <v>Véhicules usagés</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tr">
        <f t="shared" si="55"/>
        <v>Véhicules usagésRev. Finances</v>
      </c>
      <c r="B101" s="24" t="s">
        <v>144</v>
      </c>
      <c r="C101" s="258" t="s">
        <v>97</v>
      </c>
      <c r="D101" s="173">
        <f>+SUMPRODUCT(('Budget original'!$A$8:$A$500=$A101)*('Budget original'!$C$3:$AO$3=D$2),'Budget original'!$C$8:$AO$500)</f>
        <v>0</v>
      </c>
      <c r="E101" s="173">
        <f t="shared" si="60"/>
        <v>0</v>
      </c>
      <c r="F101" s="174">
        <f>+SUMPRODUCT(('Budget original'!$A$8:$A$500=$A101)*('Budget original'!$C$3:$AO$3=F$2),'Budget original'!$C$8:$AO$500)</f>
        <v>126290.17868552815</v>
      </c>
      <c r="G101" s="176">
        <f>+SUMPRODUCT(('Budget révisé'!$A$8:$A$500=$A101)*('Budget révisé'!$C$3:$AO$3=G$2),'Budget révisé'!$C$8:$AO$500)</f>
        <v>0</v>
      </c>
      <c r="H101" s="173">
        <f t="shared" si="61"/>
        <v>0</v>
      </c>
      <c r="I101" s="173">
        <f>+SUMPRODUCT(('Budget révisé'!$A$8:$A$500=$A101)*('Budget révisé'!$C$3:$AO$3=I$2),'Budget révisé'!$C$8:$AO$500)</f>
        <v>126290.17868552815</v>
      </c>
      <c r="J101" s="176"/>
      <c r="K101" s="173">
        <f>IF(J96=0,0,L101/J96)</f>
        <v>1293.0691082802548</v>
      </c>
      <c r="L101" s="174">
        <f>-SUMIFS(BV_Data_An_Cour!$P:$P,BV_Data_An_Cour!$U:$U,$B101,BV_Data_An_Cour!$V:$V,$C101,BV_Data_An_Cour!$W:$W,$L2)</f>
        <v>203011.85</v>
      </c>
      <c r="M101" s="176"/>
      <c r="N101" s="174">
        <f t="shared" ref="N101:N104" si="73">L101-I101</f>
        <v>76721.671314471852</v>
      </c>
      <c r="O101" s="176"/>
      <c r="P101" s="173">
        <f>IF(O96=0,0,Q101/O96)</f>
        <v>579.27281437125748</v>
      </c>
      <c r="Q101" s="174">
        <f>-SUMIFS(BV_Data_An_Prec!$P:$P,BV_Data_An_Prec!$U:$U,$B101,BV_Data_An_Prec!$V:$V,$C101,BV_Data_An_Prec!$W:$W,$L2)</f>
        <v>96738.559999999998</v>
      </c>
      <c r="R101" s="176">
        <f t="shared" ref="R101:R103" si="74">O101-K101</f>
        <v>-1293.0691082802548</v>
      </c>
      <c r="S101" s="393">
        <f t="shared" ref="S101:S104" si="75">L101-Q101</f>
        <v>106273.29000000001</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tr">
        <f t="shared" si="55"/>
        <v>Véhicules usagésRev. Protections</v>
      </c>
      <c r="B102" s="24" t="s">
        <v>144</v>
      </c>
      <c r="C102" s="258" t="s">
        <v>98</v>
      </c>
      <c r="D102" s="173">
        <f>+SUMPRODUCT(('Budget original'!$A$8:$A$500=$A102)*('Budget original'!$C$3:$AO$3=D$2),'Budget original'!$C$8:$AO$500)</f>
        <v>0</v>
      </c>
      <c r="E102" s="173">
        <f t="shared" si="60"/>
        <v>0</v>
      </c>
      <c r="F102" s="174">
        <f>+SUMPRODUCT(('Budget original'!$A$8:$A$500=$A102)*('Budget original'!$C$3:$AO$3=F$2),'Budget original'!$C$8:$AO$500)</f>
        <v>222668.09691003326</v>
      </c>
      <c r="G102" s="176">
        <f>+SUMPRODUCT(('Budget révisé'!$A$8:$A$500=$A102)*('Budget révisé'!$C$3:$AO$3=G$2),'Budget révisé'!$C$8:$AO$500)</f>
        <v>0</v>
      </c>
      <c r="H102" s="173">
        <f t="shared" si="61"/>
        <v>0</v>
      </c>
      <c r="I102" s="173">
        <f>+SUMPRODUCT(('Budget révisé'!$A$8:$A$500=$A102)*('Budget révisé'!$C$3:$AO$3=I$2),'Budget révisé'!$C$8:$AO$500)</f>
        <v>222668.09691003326</v>
      </c>
      <c r="J102" s="176"/>
      <c r="K102" s="173">
        <f>IF(J96=0,0,L102/J96)</f>
        <v>1352.6412738853503</v>
      </c>
      <c r="L102" s="174">
        <f>-SUMIFS(BV_Data_An_Cour!$P:$P,BV_Data_An_Cour!$U:$U,$B102,BV_Data_An_Cour!$V:$V,$C102,BV_Data_An_Cour!$W:$W,$L2)</f>
        <v>212364.68</v>
      </c>
      <c r="M102" s="176"/>
      <c r="N102" s="174">
        <f t="shared" si="73"/>
        <v>-10303.416910033266</v>
      </c>
      <c r="O102" s="176"/>
      <c r="P102" s="173">
        <f>IF(O96=0,0,Q102/O96)</f>
        <v>1112.4313173652695</v>
      </c>
      <c r="Q102" s="174">
        <f>-SUMIFS(BV_Data_An_Prec!$P:$P,BV_Data_An_Prec!$U:$U,$B102,BV_Data_An_Prec!$V:$V,$C102,BV_Data_An_Prec!$W:$W,$L2)</f>
        <v>185776.03</v>
      </c>
      <c r="R102" s="176">
        <f t="shared" si="74"/>
        <v>-1352.6412738853503</v>
      </c>
      <c r="S102" s="393">
        <f t="shared" si="75"/>
        <v>26588.649999999994</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tr">
        <f t="shared" si="55"/>
        <v>Véhicules usagésRev. Autres</v>
      </c>
      <c r="B103" s="24" t="s">
        <v>144</v>
      </c>
      <c r="C103" s="258" t="s">
        <v>99</v>
      </c>
      <c r="D103" s="173">
        <f>+SUMPRODUCT(('Budget original'!$A$8:$A$500=$A103)*('Budget original'!$C$3:$AO$3=D$2),'Budget original'!$C$8:$AO$500)</f>
        <v>0</v>
      </c>
      <c r="E103" s="178">
        <f t="shared" si="60"/>
        <v>0</v>
      </c>
      <c r="F103" s="174">
        <f>+SUMPRODUCT(('Budget original'!$A$8:$A$500=$A103)*('Budget original'!$C$3:$AO$3=F$2),'Budget original'!$C$8:$AO$500)</f>
        <v>6315.4982231177873</v>
      </c>
      <c r="G103" s="176">
        <f>+SUMPRODUCT(('Budget révisé'!$A$8:$A$500=$A103)*('Budget révisé'!$C$3:$AO$3=G$2),'Budget révisé'!$C$8:$AO$500)</f>
        <v>0</v>
      </c>
      <c r="H103" s="401">
        <f t="shared" si="61"/>
        <v>0</v>
      </c>
      <c r="I103" s="173">
        <f>+SUMPRODUCT(('Budget révisé'!$A$8:$A$500=$A103)*('Budget révisé'!$C$3:$AO$3=I$2),'Budget révisé'!$C$8:$AO$500)</f>
        <v>6315.4982231177873</v>
      </c>
      <c r="J103" s="176"/>
      <c r="K103" s="401">
        <f>IF(J96=0,0,L103/J96)</f>
        <v>75.305541401273885</v>
      </c>
      <c r="L103" s="174">
        <f>-SUMIFS(BV_Data_An_Cour!$P:$P,BV_Data_An_Cour!$U:$U,$B103,BV_Data_An_Cour!$V:$V,$C103,BV_Data_An_Cour!$W:$W,$L$2)</f>
        <v>11822.97</v>
      </c>
      <c r="M103" s="400"/>
      <c r="N103" s="174">
        <f t="shared" si="73"/>
        <v>5507.471776882212</v>
      </c>
      <c r="O103" s="176"/>
      <c r="P103" s="401">
        <f>IF(O96=0,0,Q103/O96)</f>
        <v>39.438622754491021</v>
      </c>
      <c r="Q103" s="174">
        <f>-SUMIFS(BV_Data_An_Prec!$P:$P,BV_Data_An_Prec!$U:$U,$B103,BV_Data_An_Prec!$V:$V,$C103,BV_Data_An_Prec!$W:$W,$L$2)</f>
        <v>6586.25</v>
      </c>
      <c r="R103" s="176">
        <f t="shared" si="74"/>
        <v>-75.305541401273885</v>
      </c>
      <c r="S103" s="393">
        <f t="shared" si="75"/>
        <v>5236.7199999999993</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tr">
        <f t="shared" si="55"/>
        <v>Véhicules usagésTotal F&amp;I</v>
      </c>
      <c r="B104" s="24" t="s">
        <v>144</v>
      </c>
      <c r="C104" s="394" t="s">
        <v>100</v>
      </c>
      <c r="D104" s="395">
        <f>D96</f>
        <v>191.65048543689321</v>
      </c>
      <c r="E104" s="173">
        <f t="shared" si="60"/>
        <v>1853.7587995604842</v>
      </c>
      <c r="F104" s="396">
        <f>F101+F102+F103</f>
        <v>355273.77381867921</v>
      </c>
      <c r="G104" s="397">
        <f>G96</f>
        <v>191.65048543689321</v>
      </c>
      <c r="H104" s="395">
        <f t="shared" si="61"/>
        <v>1853.7587995604842</v>
      </c>
      <c r="I104" s="396">
        <f>I101+I102+I103</f>
        <v>355273.77381867921</v>
      </c>
      <c r="J104" s="397">
        <f>J96</f>
        <v>157</v>
      </c>
      <c r="K104" s="395">
        <f>IF(J104&lt;=0,0,L104/J104)</f>
        <v>2721.0159235668789</v>
      </c>
      <c r="L104" s="396">
        <f>L101+L102+L103</f>
        <v>427199.5</v>
      </c>
      <c r="M104" s="176">
        <f>J104-G104</f>
        <v>-34.650485436893206</v>
      </c>
      <c r="N104" s="396">
        <f t="shared" si="73"/>
        <v>71925.726181320788</v>
      </c>
      <c r="O104" s="397">
        <f>O96</f>
        <v>167</v>
      </c>
      <c r="P104" s="395">
        <f>IF(O104&lt;=0,0,Q104/O104)</f>
        <v>1731.1427544910177</v>
      </c>
      <c r="Q104" s="396">
        <f>Q101+Q102+Q103</f>
        <v>289100.83999999997</v>
      </c>
      <c r="R104" s="405"/>
      <c r="S104" s="398">
        <f t="shared" si="75"/>
        <v>138098.66000000003</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tr">
        <f t="shared" si="55"/>
        <v>Véhicules usagés</v>
      </c>
      <c r="B105" s="24" t="s">
        <v>144</v>
      </c>
      <c r="C105" s="258"/>
      <c r="D105" s="172"/>
      <c r="E105" s="172"/>
      <c r="F105" s="298"/>
      <c r="G105" s="297"/>
      <c r="H105" s="343"/>
      <c r="I105" s="298"/>
      <c r="J105" s="297"/>
      <c r="K105" s="172"/>
      <c r="L105" s="298"/>
      <c r="M105" s="356"/>
      <c r="N105" s="326">
        <f>N104/I104</f>
        <v>0.20245154999262474</v>
      </c>
      <c r="O105" s="297"/>
      <c r="P105" s="172"/>
      <c r="Q105" s="298"/>
      <c r="R105" s="319"/>
      <c r="S105" s="327">
        <f>IF(Q104=0,0,(S104/Q104))</f>
        <v>0.47768335782075227</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tr">
        <f t="shared" si="55"/>
        <v>Véhicules usagés</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15.75" customHeight="1" thickTop="1">
      <c r="A107" s="564" t="str">
        <f t="shared" si="55"/>
        <v>Véhicules usagésTotal Dépt. Usagés</v>
      </c>
      <c r="B107" s="24" t="s">
        <v>144</v>
      </c>
      <c r="C107" s="263" t="s">
        <v>151</v>
      </c>
      <c r="D107" s="26">
        <f>D96+D99</f>
        <v>358.42338001831899</v>
      </c>
      <c r="E107" s="30">
        <f>IF(D107&lt;=0,0,F107/D107)</f>
        <v>1773.5940903255239</v>
      </c>
      <c r="F107" s="28">
        <f>F96+F104+F99</f>
        <v>635697.58863499004</v>
      </c>
      <c r="G107" s="29">
        <f>G96+G99</f>
        <v>358.42338001831899</v>
      </c>
      <c r="H107" s="30">
        <f>IF(G107&lt;=0,0,I107/G107)</f>
        <v>1773.5940903255239</v>
      </c>
      <c r="I107" s="28">
        <f>I96+I104+I99</f>
        <v>635697.58863499004</v>
      </c>
      <c r="J107" s="29">
        <f>J96+J99</f>
        <v>268</v>
      </c>
      <c r="K107" s="30">
        <f>IF(J107&lt;=0,0,L107/J107)</f>
        <v>3135.0942537313426</v>
      </c>
      <c r="L107" s="28">
        <f>L96+L104+L99</f>
        <v>840205.25999999978</v>
      </c>
      <c r="M107" s="29">
        <f>J107-G107</f>
        <v>-90.423380018318994</v>
      </c>
      <c r="N107" s="28">
        <f>L107-I107</f>
        <v>204507.67136500974</v>
      </c>
      <c r="O107" s="29">
        <f>O96+O99</f>
        <v>325</v>
      </c>
      <c r="P107" s="30">
        <f>IF(O107&lt;=0,0,Q107/O107)</f>
        <v>1533.440153846153</v>
      </c>
      <c r="Q107" s="28">
        <f>Q96+Q104+Q99</f>
        <v>498368.0499999997</v>
      </c>
      <c r="R107" s="29">
        <f>J107-O107</f>
        <v>-57</v>
      </c>
      <c r="S107" s="357">
        <f>L107-Q107</f>
        <v>341837.21000000008</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tr">
        <f t="shared" si="55"/>
        <v>Véhicules usagés</v>
      </c>
      <c r="B108" s="24" t="s">
        <v>144</v>
      </c>
      <c r="C108" s="358"/>
      <c r="D108" s="359"/>
      <c r="E108" s="359"/>
      <c r="F108" s="32"/>
      <c r="G108" s="31"/>
      <c r="H108" s="359"/>
      <c r="I108" s="32"/>
      <c r="J108" s="31"/>
      <c r="K108" s="359"/>
      <c r="L108" s="32"/>
      <c r="M108" s="33">
        <f>M107/G107</f>
        <v>-0.25228091988222828</v>
      </c>
      <c r="N108" s="34">
        <f>N107/I107</f>
        <v>0.3217059102019586</v>
      </c>
      <c r="O108" s="31"/>
      <c r="P108" s="359"/>
      <c r="Q108" s="32"/>
      <c r="R108" s="33">
        <f>O107/R107</f>
        <v>-5.7017543859649127</v>
      </c>
      <c r="S108" s="406">
        <f>IF(Q107=0,0,(S107/Q107))</f>
        <v>0.68591317200209823</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tr">
        <f t="shared" si="55"/>
        <v>Véhicules usagés</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tr">
        <f t="shared" si="55"/>
        <v>Véhicules usagésDEPENSES</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tr">
        <f t="shared" si="55"/>
        <v>Véhicules usagésComm. vendeurs</v>
      </c>
      <c r="B111" s="24" t="s">
        <v>144</v>
      </c>
      <c r="C111" s="258" t="s">
        <v>103</v>
      </c>
      <c r="D111" s="295"/>
      <c r="E111" s="191">
        <f t="shared" ref="E111:E116" si="76">F111/D$96</f>
        <v>512.07624113475185</v>
      </c>
      <c r="F111" s="173">
        <f>+SUMPRODUCT(('Budget original'!$A$8:$A$500=$A111)*('Budget original'!$C$3:$AO$3=F$2),'Budget original'!$C$8:$AO$500)</f>
        <v>98139.660194174765</v>
      </c>
      <c r="G111" s="296"/>
      <c r="H111" s="191">
        <f t="shared" ref="H111:H116" si="77">I111/G$96</f>
        <v>512.07624113475185</v>
      </c>
      <c r="I111" s="173">
        <f>+SUMPRODUCT(('Budget révisé'!$A$8:$A$500=$A111)*('Budget révisé'!$C$3:$AO$3=I$2),'Budget révisé'!$C$8:$AO$500)</f>
        <v>98139.660194174765</v>
      </c>
      <c r="J111" s="952">
        <f>L111/L96</f>
        <v>0.37728330759835016</v>
      </c>
      <c r="K111" s="191">
        <f t="shared" ref="K111:K116" si="78">IF($J$96=0,0,L111/(J$94+J$95))</f>
        <v>844.60299363057334</v>
      </c>
      <c r="L111" s="174">
        <f>SUMIFS(BV_Data_An_Cour!$P:$P,BV_Data_An_Cour!$U:$U,$B111,BV_Data_An_Cour!$V:$V,$C111,BV_Data_An_Cour!$W:$W,$L$2)</f>
        <v>132602.67000000001</v>
      </c>
      <c r="M111" s="297"/>
      <c r="N111" s="298">
        <f t="shared" ref="N111:N121" si="79">L111-I111</f>
        <v>34463.009805825248</v>
      </c>
      <c r="O111" s="297"/>
      <c r="P111" s="191">
        <f t="shared" ref="P111:P116" si="80">IF($J$96=0,0,Q111/(O$94+O$95))</f>
        <v>452.08910179640719</v>
      </c>
      <c r="Q111" s="174">
        <f>SUMIFS(BV_Data_An_Prec!$P:$P,BV_Data_An_Prec!$U:$U,$B111,BV_Data_An_Prec!$V:$V,$C111,BV_Data_An_Prec!$W:$W,$L$2)</f>
        <v>75498.880000000005</v>
      </c>
      <c r="R111" s="297"/>
      <c r="S111" s="193">
        <f t="shared" ref="S111:S121" si="81">L111-Q111</f>
        <v>57103.790000000008</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tr">
        <f t="shared" si="55"/>
        <v>Véhicules usagésComm. F&amp;I</v>
      </c>
      <c r="B112" s="24" t="s">
        <v>144</v>
      </c>
      <c r="C112" s="320" t="s">
        <v>104</v>
      </c>
      <c r="D112" s="301"/>
      <c r="E112" s="407">
        <f t="shared" si="76"/>
        <v>556.12763986814525</v>
      </c>
      <c r="F112" s="171">
        <f>+SUMPRODUCT(('Budget original'!$A$8:$A$500=$A112)*('Budget original'!$C$3:$AO$3=F$2),'Budget original'!$C$8:$AO$500)</f>
        <v>106582.13214560375</v>
      </c>
      <c r="G112" s="303"/>
      <c r="H112" s="407">
        <f t="shared" si="77"/>
        <v>556.12763986814525</v>
      </c>
      <c r="I112" s="171">
        <f>+SUMPRODUCT(('Budget révisé'!$A$8:$A$500=$A112)*('Budget révisé'!$C$3:$AO$3=I$2),'Budget révisé'!$C$8:$AO$500)</f>
        <v>106582.13214560375</v>
      </c>
      <c r="J112" s="953">
        <f>L112/L104</f>
        <v>0.3035309030090157</v>
      </c>
      <c r="K112" s="407">
        <f t="shared" si="78"/>
        <v>825.91242038216558</v>
      </c>
      <c r="L112" s="174">
        <f>SUMIFS(BV_Data_An_Cour!$P:$P,BV_Data_An_Cour!$U:$U,$B112,BV_Data_An_Cour!$V:$V,$C112,BV_Data_An_Cour!$W:$W,$L$2)</f>
        <v>129668.25</v>
      </c>
      <c r="M112" s="304"/>
      <c r="N112" s="305">
        <f t="shared" si="79"/>
        <v>23086.117854396245</v>
      </c>
      <c r="O112" s="304"/>
      <c r="P112" s="407">
        <f t="shared" si="80"/>
        <v>526.80473053892217</v>
      </c>
      <c r="Q112" s="174">
        <f>SUMIFS(BV_Data_An_Prec!$P:$P,BV_Data_An_Prec!$U:$U,$B112,BV_Data_An_Prec!$V:$V,$C112,BV_Data_An_Prec!$W:$W,$L$2)</f>
        <v>87976.39</v>
      </c>
      <c r="R112" s="304"/>
      <c r="S112" s="196">
        <f t="shared" si="81"/>
        <v>41691.86</v>
      </c>
      <c r="T112" s="216"/>
      <c r="U112" s="216"/>
      <c r="V112" s="216"/>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tr">
        <f t="shared" si="55"/>
        <v>Véhicules usagésFrais de livraison</v>
      </c>
      <c r="B113" s="24" t="s">
        <v>144</v>
      </c>
      <c r="C113" s="258" t="s">
        <v>105</v>
      </c>
      <c r="D113" s="295"/>
      <c r="E113" s="191">
        <f t="shared" si="76"/>
        <v>69.809353301886802</v>
      </c>
      <c r="F113" s="173">
        <f>+SUMPRODUCT(('Budget original'!$A$8:$A$500=$A113)*('Budget original'!$C$3:$AO$3=F$2),'Budget original'!$C$8:$AO$500)</f>
        <v>13378.996448342188</v>
      </c>
      <c r="G113" s="296"/>
      <c r="H113" s="191">
        <f t="shared" si="77"/>
        <v>69.809353301886802</v>
      </c>
      <c r="I113" s="173">
        <f>+SUMPRODUCT(('Budget révisé'!$A$8:$A$500=$A113)*('Budget révisé'!$C$3:$AO$3=I$2),'Budget révisé'!$C$8:$AO$500)</f>
        <v>13378.996448342188</v>
      </c>
      <c r="J113" s="297"/>
      <c r="K113" s="191">
        <f t="shared" si="78"/>
        <v>35.699044585987259</v>
      </c>
      <c r="L113" s="175">
        <f>SUMIFS(BV_Data_An_Cour!$P:$P,BV_Data_An_Cour!$U:$U,$B113,BV_Data_An_Cour!$V:$V,$C113,BV_Data_An_Cour!$W:$W,$L$2)</f>
        <v>5604.75</v>
      </c>
      <c r="M113" s="297"/>
      <c r="N113" s="298">
        <f t="shared" si="79"/>
        <v>-7774.2464483421882</v>
      </c>
      <c r="O113" s="297"/>
      <c r="P113" s="191">
        <f t="shared" si="80"/>
        <v>66.849161676646702</v>
      </c>
      <c r="Q113" s="175">
        <f>SUMIFS(BV_Data_An_Prec!$P:$P,BV_Data_An_Prec!$U:$U,$B113,BV_Data_An_Prec!$V:$V,$C113,BV_Data_An_Prec!$W:$W,$L$2)</f>
        <v>11163.81</v>
      </c>
      <c r="R113" s="297"/>
      <c r="S113" s="193">
        <f t="shared" si="81"/>
        <v>-5559.0599999999995</v>
      </c>
      <c r="T113" s="216"/>
      <c r="U113" s="216"/>
      <c r="V113" s="216"/>
      <c r="W113" s="216"/>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tr">
        <f t="shared" si="55"/>
        <v>Véhicules usagésService gratuit 1</v>
      </c>
      <c r="B114" s="24" t="s">
        <v>144</v>
      </c>
      <c r="C114" s="258" t="s">
        <v>106</v>
      </c>
      <c r="D114" s="295"/>
      <c r="E114" s="191">
        <f t="shared" si="76"/>
        <v>33.51101497641509</v>
      </c>
      <c r="F114" s="173">
        <f>+SUMPRODUCT(('Budget original'!$A$8:$A$500=$A114)*('Budget original'!$C$3:$AO$3=F$2),'Budget original'!$C$8:$AO$500)</f>
        <v>6422.402287712951</v>
      </c>
      <c r="G114" s="296"/>
      <c r="H114" s="191">
        <f t="shared" si="77"/>
        <v>33.51101497641509</v>
      </c>
      <c r="I114" s="173">
        <f>+SUMPRODUCT(('Budget révisé'!$A$8:$A$500=$A114)*('Budget révisé'!$C$3:$AO$3=I$2),'Budget révisé'!$C$8:$AO$500)</f>
        <v>6422.402287712951</v>
      </c>
      <c r="J114" s="297"/>
      <c r="K114" s="191">
        <f t="shared" si="78"/>
        <v>8.5549681528662429</v>
      </c>
      <c r="L114" s="174">
        <f>SUMIFS(BV_Data_An_Cour!$P:$P,BV_Data_An_Cour!$U:$U,$B114,BV_Data_An_Cour!$V:$V,$C114,BV_Data_An_Cour!$W:$W,$L$2)</f>
        <v>1343.13</v>
      </c>
      <c r="M114" s="297"/>
      <c r="N114" s="298">
        <f t="shared" si="79"/>
        <v>-5079.2722877129509</v>
      </c>
      <c r="O114" s="297"/>
      <c r="P114" s="191">
        <f t="shared" si="80"/>
        <v>8.3636526946107779</v>
      </c>
      <c r="Q114" s="174">
        <f>SUMIFS(BV_Data_An_Prec!$P:$P,BV_Data_An_Prec!$U:$U,$B114,BV_Data_An_Prec!$V:$V,$C114,BV_Data_An_Prec!$W:$W,$L$2)</f>
        <v>1396.73</v>
      </c>
      <c r="R114" s="297"/>
      <c r="S114" s="193">
        <f t="shared" si="81"/>
        <v>-53.599999999999909</v>
      </c>
      <c r="T114" s="216"/>
      <c r="U114" s="216"/>
      <c r="V114" s="216"/>
      <c r="W114" s="955"/>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tr">
        <f t="shared" si="55"/>
        <v>Véhicules usagésEntretien stock</v>
      </c>
      <c r="B115" s="24" t="s">
        <v>144</v>
      </c>
      <c r="C115" s="320" t="s">
        <v>107</v>
      </c>
      <c r="D115" s="301"/>
      <c r="E115" s="407">
        <f t="shared" si="76"/>
        <v>88.549952830188673</v>
      </c>
      <c r="F115" s="171">
        <f>+SUMPRODUCT(('Budget original'!$A$8:$A$500=$A115)*('Budget original'!$C$3:$AO$3=F$2),'Budget original'!$C$8:$AO$500)</f>
        <v>16970.641445319656</v>
      </c>
      <c r="G115" s="303"/>
      <c r="H115" s="407">
        <f t="shared" si="77"/>
        <v>88.549952830188673</v>
      </c>
      <c r="I115" s="171">
        <f>+SUMPRODUCT(('Budget révisé'!$A$8:$A$500=$A115)*('Budget révisé'!$C$3:$AO$3=I$2),'Budget révisé'!$C$8:$AO$500)</f>
        <v>16970.641445319656</v>
      </c>
      <c r="J115" s="304"/>
      <c r="K115" s="407">
        <f t="shared" si="78"/>
        <v>134.31936305732484</v>
      </c>
      <c r="L115" s="399">
        <f>SUMIFS(BV_Data_An_Cour!$P:$P,BV_Data_An_Cour!$U:$U,$B115,BV_Data_An_Cour!$V:$V,$C115,BV_Data_An_Cour!$W:$W,$L$2)</f>
        <v>21088.14</v>
      </c>
      <c r="M115" s="304"/>
      <c r="N115" s="305">
        <f t="shared" si="79"/>
        <v>4117.4985546803437</v>
      </c>
      <c r="O115" s="304"/>
      <c r="P115" s="407">
        <f t="shared" si="80"/>
        <v>105.7854491017964</v>
      </c>
      <c r="Q115" s="399">
        <f>SUMIFS(BV_Data_An_Prec!$P:$P,BV_Data_An_Prec!$U:$U,$B115,BV_Data_An_Prec!$V:$V,$C115,BV_Data_An_Prec!$W:$W,$L$2)</f>
        <v>17666.169999999998</v>
      </c>
      <c r="R115" s="304"/>
      <c r="S115" s="196">
        <f t="shared" si="81"/>
        <v>3421.9700000000012</v>
      </c>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5.75" customHeight="1">
      <c r="A116" s="564" t="str">
        <f t="shared" si="55"/>
        <v>Véhicules usagésPublicité 1</v>
      </c>
      <c r="B116" s="24" t="s">
        <v>144</v>
      </c>
      <c r="C116" s="258" t="s">
        <v>108</v>
      </c>
      <c r="D116" s="295"/>
      <c r="E116" s="191">
        <f t="shared" si="76"/>
        <v>42.755319148936188</v>
      </c>
      <c r="F116" s="173">
        <f>+SUMPRODUCT(('Budget original'!$A$8:$A$500=$A116)*('Budget original'!$C$3:$AO$3=F$2),'Budget original'!$C$8:$AO$500)</f>
        <v>8194.0776699029157</v>
      </c>
      <c r="G116" s="296"/>
      <c r="H116" s="191">
        <f t="shared" si="77"/>
        <v>42.755319148936188</v>
      </c>
      <c r="I116" s="173">
        <f>+SUMPRODUCT(('Budget révisé'!$A$8:$A$500=$A116)*('Budget révisé'!$C$3:$AO$3=I$2),'Budget révisé'!$C$8:$AO$500)</f>
        <v>8194.0776699029157</v>
      </c>
      <c r="J116" s="297"/>
      <c r="K116" s="191">
        <f t="shared" si="78"/>
        <v>113.84713375796179</v>
      </c>
      <c r="L116" s="174">
        <f>SUMIFS(BV_Data_An_Cour!$P:$P,BV_Data_An_Cour!$U:$U,$B116,BV_Data_An_Cour!$V:$V,$C116,BV_Data_An_Cour!$W:$W,$L$2)</f>
        <v>17874</v>
      </c>
      <c r="M116" s="297"/>
      <c r="N116" s="298">
        <f t="shared" si="79"/>
        <v>9679.9223300970843</v>
      </c>
      <c r="O116" s="297"/>
      <c r="P116" s="191">
        <f t="shared" si="80"/>
        <v>115.19658682634731</v>
      </c>
      <c r="Q116" s="174">
        <f>SUMIFS(BV_Data_An_Prec!$P:$P,BV_Data_An_Prec!$U:$U,$B116,BV_Data_An_Prec!$V:$V,$C116,BV_Data_An_Prec!$W:$W,$L$2)</f>
        <v>19237.830000000002</v>
      </c>
      <c r="R116" s="297"/>
      <c r="S116" s="193">
        <f t="shared" si="81"/>
        <v>-1363.8300000000017</v>
      </c>
      <c r="T116" s="216"/>
      <c r="U116" s="216"/>
      <c r="V116" s="216"/>
      <c r="W116" s="216"/>
      <c r="X116" s="216"/>
      <c r="Y116" s="216"/>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ht="15.75" customHeight="1">
      <c r="A117" s="564" t="str">
        <f t="shared" ref="A117:A120" si="82">+B117&amp;C117</f>
        <v>Véhicules usagésIntérêt de gros</v>
      </c>
      <c r="B117" s="24" t="s">
        <v>144</v>
      </c>
      <c r="C117" s="258" t="s">
        <v>109</v>
      </c>
      <c r="D117" s="295"/>
      <c r="E117" s="191">
        <f t="shared" ref="E117:E119" si="83">F117/D$96</f>
        <v>22.170435032781693</v>
      </c>
      <c r="F117" s="173">
        <f>+SUMPRODUCT(('Budget original'!$A$8:$A$500=$A117)*('Budget original'!$C$3:$AO$3=F$2),'Budget original'!$C$8:$AO$500)</f>
        <v>4248.9746363797149</v>
      </c>
      <c r="G117" s="296"/>
      <c r="H117" s="191">
        <f t="shared" ref="H117:H119" si="84">I117/G$96</f>
        <v>22.170435032781693</v>
      </c>
      <c r="I117" s="173">
        <f>+SUMPRODUCT(('Budget révisé'!$A$8:$A$500=$A117)*('Budget révisé'!$C$3:$AO$3=I$2),'Budget révisé'!$C$8:$AO$500)</f>
        <v>4248.9746363797149</v>
      </c>
      <c r="J117" s="297"/>
      <c r="K117" s="191">
        <f t="shared" ref="K117:K119" si="85">IF($J$96=0,0,L117/(J$94+J$95))</f>
        <v>37.974713375796178</v>
      </c>
      <c r="L117" s="174">
        <f>SUMIFS(BV_Data_An_Cour!$P:$P,BV_Data_An_Cour!$U:$U,$B117,BV_Data_An_Cour!$V:$V,$C117,BV_Data_An_Cour!$W:$W,$L$2)</f>
        <v>5962.03</v>
      </c>
      <c r="M117" s="297"/>
      <c r="N117" s="298">
        <f t="shared" ref="N117:N119" si="86">L117-I117</f>
        <v>1713.0553636202849</v>
      </c>
      <c r="O117" s="297"/>
      <c r="P117" s="191">
        <f t="shared" ref="P117:P119" si="87">IF($J$96=0,0,Q117/(O$94+O$95))</f>
        <v>17.475149700598802</v>
      </c>
      <c r="Q117" s="174">
        <f>SUMIFS(BV_Data_An_Prec!$P:$P,BV_Data_An_Prec!$U:$U,$B117,BV_Data_An_Prec!$V:$V,$C117,BV_Data_An_Prec!$W:$W,$L$2)</f>
        <v>2918.35</v>
      </c>
      <c r="R117" s="297"/>
      <c r="S117" s="193">
        <f t="shared" ref="S117:S119" si="88">L117-Q117</f>
        <v>3043.68</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ht="15.75" hidden="1" customHeight="1">
      <c r="A118" s="564" t="str">
        <f t="shared" si="82"/>
        <v>Véhicules usagés[...]</v>
      </c>
      <c r="B118" s="24" t="s">
        <v>144</v>
      </c>
      <c r="C118" s="258" t="s">
        <v>42</v>
      </c>
      <c r="D118" s="295"/>
      <c r="E118" s="191">
        <f t="shared" si="83"/>
        <v>0</v>
      </c>
      <c r="F118" s="173">
        <f>+SUMPRODUCT(('Budget original'!$A$8:$A$500=$A118)*('Budget original'!$C$3:$AO$3=F$2),'Budget original'!$C$8:$AO$500)</f>
        <v>0</v>
      </c>
      <c r="G118" s="296"/>
      <c r="H118" s="191">
        <f t="shared" si="84"/>
        <v>0</v>
      </c>
      <c r="I118" s="173">
        <f>+SUMPRODUCT(('Budget révisé'!$A$8:$A$500=$A118)*('Budget révisé'!$C$3:$AO$3=I$2),'Budget révisé'!$C$8:$AO$500)</f>
        <v>0</v>
      </c>
      <c r="J118" s="297"/>
      <c r="K118" s="191">
        <f t="shared" si="85"/>
        <v>0</v>
      </c>
      <c r="L118" s="174">
        <f>SUMIFS(BV_Data_An_Cour!$P:$P,BV_Data_An_Cour!$U:$U,$B118,BV_Data_An_Cour!$V:$V,$C118,BV_Data_An_Cour!$W:$W,$L$2)</f>
        <v>0</v>
      </c>
      <c r="M118" s="297"/>
      <c r="N118" s="298">
        <f t="shared" si="86"/>
        <v>0</v>
      </c>
      <c r="O118" s="297"/>
      <c r="P118" s="191">
        <f t="shared" si="87"/>
        <v>0</v>
      </c>
      <c r="Q118" s="174">
        <f>SUMIFS(BV_Data_An_Prec!$P:$P,BV_Data_An_Prec!$U:$U,$B118,BV_Data_An_Prec!$V:$V,$C118,BV_Data_An_Prec!$W:$W,$L$2)</f>
        <v>0</v>
      </c>
      <c r="R118" s="297"/>
      <c r="S118" s="193">
        <f t="shared" si="88"/>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ht="15.75" hidden="1" customHeight="1">
      <c r="A119" s="564" t="str">
        <f t="shared" si="82"/>
        <v>Véhicules usagés[...]</v>
      </c>
      <c r="B119" s="24" t="s">
        <v>144</v>
      </c>
      <c r="C119" s="258" t="s">
        <v>42</v>
      </c>
      <c r="D119" s="295"/>
      <c r="E119" s="191">
        <f t="shared" si="83"/>
        <v>0</v>
      </c>
      <c r="F119" s="173">
        <f>+SUMPRODUCT(('Budget original'!$A$8:$A$500=$A119)*('Budget original'!$C$3:$AO$3=F$2),'Budget original'!$C$8:$AO$500)</f>
        <v>0</v>
      </c>
      <c r="G119" s="296"/>
      <c r="H119" s="191">
        <f t="shared" si="84"/>
        <v>0</v>
      </c>
      <c r="I119" s="173">
        <f>+SUMPRODUCT(('Budget révisé'!$A$8:$A$500=$A119)*('Budget révisé'!$C$3:$AO$3=I$2),'Budget révisé'!$C$8:$AO$500)</f>
        <v>0</v>
      </c>
      <c r="J119" s="297"/>
      <c r="K119" s="191">
        <f t="shared" si="85"/>
        <v>0</v>
      </c>
      <c r="L119" s="174">
        <f>SUMIFS(BV_Data_An_Cour!$P:$P,BV_Data_An_Cour!$U:$U,$B119,BV_Data_An_Cour!$V:$V,$C119,BV_Data_An_Cour!$W:$W,$L$2)</f>
        <v>0</v>
      </c>
      <c r="M119" s="297"/>
      <c r="N119" s="298">
        <f t="shared" si="86"/>
        <v>0</v>
      </c>
      <c r="O119" s="297"/>
      <c r="P119" s="191">
        <f t="shared" si="87"/>
        <v>0</v>
      </c>
      <c r="Q119" s="174">
        <f>SUMIFS(BV_Data_An_Prec!$P:$P,BV_Data_An_Prec!$U:$U,$B119,BV_Data_An_Prec!$V:$V,$C119,BV_Data_An_Prec!$W:$W,$L$2)</f>
        <v>0</v>
      </c>
      <c r="R119" s="297"/>
      <c r="S119" s="193">
        <f t="shared" si="88"/>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tr">
        <f t="shared" si="82"/>
        <v>Véhicules usagés[...]</v>
      </c>
      <c r="B120" s="24" t="s">
        <v>144</v>
      </c>
      <c r="C120" s="258" t="s">
        <v>42</v>
      </c>
      <c r="D120" s="295"/>
      <c r="E120" s="191">
        <f>F120/D$96</f>
        <v>0</v>
      </c>
      <c r="F120" s="173">
        <f>+SUMPRODUCT(('Budget original'!$A$8:$A$500=$A120)*('Budget original'!$C$3:$AO$3=F$2),'Budget original'!$C$8:$AO$500)</f>
        <v>0</v>
      </c>
      <c r="G120" s="296"/>
      <c r="H120" s="191">
        <f>I120/G$96</f>
        <v>0</v>
      </c>
      <c r="I120" s="173">
        <f>+SUMPRODUCT(('Budget révisé'!$A$8:$A$500=$A120)*('Budget révisé'!$C$3:$AO$3=I$2),'Budget révisé'!$C$8:$AO$500)</f>
        <v>0</v>
      </c>
      <c r="J120" s="297"/>
      <c r="K120" s="191">
        <f>IF($J$96=0,0,L120/(J$94+J$95))</f>
        <v>0</v>
      </c>
      <c r="L120" s="174">
        <f>SUMIFS(BV_Data_An_Cour!$P:$P,BV_Data_An_Cour!$U:$U,$B120,BV_Data_An_Cour!$V:$V,$C120,BV_Data_An_Cour!$W:$W,$L$2)</f>
        <v>0</v>
      </c>
      <c r="M120" s="297"/>
      <c r="N120" s="298">
        <f t="shared" si="79"/>
        <v>0</v>
      </c>
      <c r="O120" s="297"/>
      <c r="P120" s="191">
        <f>IF($J$96=0,0,Q120/(O$94+O$95))</f>
        <v>0</v>
      </c>
      <c r="Q120" s="174">
        <f>SUMIFS(BV_Data_An_Prec!$P:$P,BV_Data_An_Prec!$U:$U,$B120,BV_Data_An_Prec!$V:$V,$C120,BV_Data_An_Prec!$W:$W,$L$2)</f>
        <v>0</v>
      </c>
      <c r="R120" s="297"/>
      <c r="S120" s="193">
        <f t="shared" si="81"/>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tr">
        <f t="shared" si="55"/>
        <v>Véhicules usagésTOTAL VARIABLES</v>
      </c>
      <c r="B121" s="24" t="s">
        <v>144</v>
      </c>
      <c r="C121" s="292" t="s">
        <v>110</v>
      </c>
      <c r="D121" s="39" t="s">
        <v>111</v>
      </c>
      <c r="E121" s="40">
        <f>F121/F$107</f>
        <v>0.39946177139464262</v>
      </c>
      <c r="F121" s="41">
        <f>SUM(F111:F120)</f>
        <v>253936.88482743595</v>
      </c>
      <c r="G121" s="42" t="s">
        <v>111</v>
      </c>
      <c r="H121" s="40">
        <f>I121/I$107</f>
        <v>0.39946177139464262</v>
      </c>
      <c r="I121" s="41">
        <f>SUM(I111:I120)</f>
        <v>253936.88482743595</v>
      </c>
      <c r="J121" s="42" t="s">
        <v>111</v>
      </c>
      <c r="K121" s="40">
        <f>L121/L$107</f>
        <v>0.37388836389812674</v>
      </c>
      <c r="L121" s="41">
        <f>SUM(L111:L120)</f>
        <v>314142.97000000009</v>
      </c>
      <c r="M121" s="44"/>
      <c r="N121" s="41">
        <f t="shared" si="79"/>
        <v>60206.085172564141</v>
      </c>
      <c r="O121" s="42" t="s">
        <v>111</v>
      </c>
      <c r="P121" s="40">
        <f>Q121/Q$107</f>
        <v>0.43313001304959298</v>
      </c>
      <c r="Q121" s="41">
        <f>SUM(Q111:Q120)</f>
        <v>215858.16000000006</v>
      </c>
      <c r="R121" s="44"/>
      <c r="S121" s="310">
        <f t="shared" si="81"/>
        <v>98284.810000000027</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15.75" customHeight="1">
      <c r="A122" s="564" t="str">
        <f t="shared" si="55"/>
        <v>Véhicules usagésSalaires cadres</v>
      </c>
      <c r="B122" s="24" t="s">
        <v>144</v>
      </c>
      <c r="C122" s="299" t="s">
        <v>112</v>
      </c>
      <c r="D122" s="172"/>
      <c r="E122" s="172"/>
      <c r="F122" s="173">
        <f>+SUMPRODUCT(('Budget original'!$A$8:$A$500=$A122)*('Budget original'!$C$3:$AO$3=F$2),'Budget original'!$C$8:$AO$500)</f>
        <v>39839.526053639842</v>
      </c>
      <c r="G122" s="297"/>
      <c r="H122" s="172"/>
      <c r="I122" s="173">
        <f>+SUMPRODUCT(('Budget révisé'!$A$8:$A$500=$A122)*('Budget révisé'!$C$3:$AO$3=I$2),'Budget révisé'!$C$8:$AO$500)</f>
        <v>39839.526053639842</v>
      </c>
      <c r="J122" s="297"/>
      <c r="K122" s="172"/>
      <c r="L122" s="275">
        <f>SUMIFS(BV_Data_An_Cour!$P:$P,BV_Data_An_Cour!$U:$U,$B122,BV_Data_An_Cour!$V:$V,$C122,BV_Data_An_Cour!$W:$W,$L$2)</f>
        <v>48794.74</v>
      </c>
      <c r="M122" s="297"/>
      <c r="N122" s="298">
        <f t="shared" ref="N122:N152" si="89">L122-I122</f>
        <v>8955.2139463601561</v>
      </c>
      <c r="O122" s="297"/>
      <c r="P122" s="172"/>
      <c r="Q122" s="174">
        <f>SUMIFS(BV_Data_An_Prec!$P:$P,BV_Data_An_Prec!$U:$U,$B122,BV_Data_An_Prec!$V:$V,$C122,BV_Data_An_Prec!$W:$W,$L$2)</f>
        <v>50219.97</v>
      </c>
      <c r="R122" s="297"/>
      <c r="S122" s="193"/>
      <c r="T122" s="227"/>
      <c r="U122" s="227"/>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15.75" customHeight="1">
      <c r="A123" s="564" t="str">
        <f t="shared" si="55"/>
        <v>Véhicules usagésSalaires commis</v>
      </c>
      <c r="B123" s="24" t="s">
        <v>144</v>
      </c>
      <c r="C123" s="300" t="s">
        <v>113</v>
      </c>
      <c r="D123" s="295"/>
      <c r="E123" s="172"/>
      <c r="F123" s="171">
        <f>+SUMPRODUCT(('Budget original'!$A$8:$A$500=$A123)*('Budget original'!$C$3:$AO$3=F$2),'Budget original'!$C$8:$AO$500)</f>
        <v>10622.749718613028</v>
      </c>
      <c r="G123" s="296"/>
      <c r="H123" s="172"/>
      <c r="I123" s="171">
        <f>+SUMPRODUCT(('Budget révisé'!$A$8:$A$500=$A123)*('Budget révisé'!$C$3:$AO$3=I$2),'Budget révisé'!$C$8:$AO$500)</f>
        <v>10622.749718613028</v>
      </c>
      <c r="J123" s="297"/>
      <c r="K123" s="172"/>
      <c r="L123" s="171">
        <f>SUMIFS(BV_Data_An_Cour!$P:$P,BV_Data_An_Cour!$U:$U,$B123,BV_Data_An_Cour!$V:$V,$C123,BV_Data_An_Cour!$W:$W,$L$2)</f>
        <v>9014.2800000000007</v>
      </c>
      <c r="M123" s="297"/>
      <c r="N123" s="298">
        <f t="shared" si="89"/>
        <v>-1608.469718613027</v>
      </c>
      <c r="O123" s="297"/>
      <c r="P123" s="172"/>
      <c r="Q123" s="171">
        <f>SUMIFS(BV_Data_An_Prec!$P:$P,BV_Data_An_Prec!$U:$U,$B123,BV_Data_An_Prec!$V:$V,$C123,BV_Data_An_Prec!$W:$W,$L$2)</f>
        <v>10045.18</v>
      </c>
      <c r="R123" s="297"/>
      <c r="S123" s="193">
        <f t="shared" ref="S123:S152" si="90">L123-Q123</f>
        <v>-1030.8999999999996</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15.75" customHeight="1">
      <c r="A124" s="564" t="str">
        <f t="shared" si="55"/>
        <v>Véhicules usagésSalaires autres</v>
      </c>
      <c r="B124" s="24" t="s">
        <v>144</v>
      </c>
      <c r="C124" s="299" t="s">
        <v>114</v>
      </c>
      <c r="D124" s="386"/>
      <c r="E124" s="346"/>
      <c r="F124" s="173">
        <f>+SUMPRODUCT(('Budget original'!$A$8:$A$500=$A124)*('Budget original'!$C$3:$AO$3=F$2),'Budget original'!$C$8:$AO$500)</f>
        <v>39832.185430007667</v>
      </c>
      <c r="G124" s="387"/>
      <c r="H124" s="346"/>
      <c r="I124" s="173">
        <f>+SUMPRODUCT(('Budget révisé'!$A$8:$A$500=$A124)*('Budget révisé'!$C$3:$AO$3=I$2),'Budget révisé'!$C$8:$AO$500)</f>
        <v>39832.185430007667</v>
      </c>
      <c r="J124" s="362"/>
      <c r="K124" s="346"/>
      <c r="L124" s="275">
        <f>SUMIFS(BV_Data_An_Cour!$P:$P,BV_Data_An_Cour!$U:$U,$B124,BV_Data_An_Cour!$V:$V,$C124,BV_Data_An_Cour!$W:$W,$L$2)</f>
        <v>34802.36</v>
      </c>
      <c r="M124" s="362"/>
      <c r="N124" s="350">
        <f t="shared" si="89"/>
        <v>-5029.825430007666</v>
      </c>
      <c r="O124" s="362"/>
      <c r="P124" s="346"/>
      <c r="Q124" s="174">
        <f>SUMIFS(BV_Data_An_Prec!$P:$P,BV_Data_An_Prec!$U:$U,$B124,BV_Data_An_Prec!$V:$V,$C124,BV_Data_An_Prec!$W:$W,$L$2)</f>
        <v>33349.06</v>
      </c>
      <c r="R124" s="362"/>
      <c r="S124" s="195">
        <f t="shared" si="90"/>
        <v>1453.3000000000029</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tr">
        <f t="shared" si="55"/>
        <v>Véhicules usagésSalaires spécialistes</v>
      </c>
      <c r="B125" s="24" t="s">
        <v>144</v>
      </c>
      <c r="C125" s="299" t="s">
        <v>115</v>
      </c>
      <c r="D125" s="295"/>
      <c r="E125" s="172"/>
      <c r="F125" s="173">
        <f>+SUMPRODUCT(('Budget original'!$A$8:$A$500=$A125)*('Budget original'!$C$3:$AO$3=F$2),'Budget original'!$C$8:$AO$500)</f>
        <v>0</v>
      </c>
      <c r="G125" s="296"/>
      <c r="H125" s="172"/>
      <c r="I125" s="173">
        <f>+SUMPRODUCT(('Budget révisé'!$A$8:$A$500=$A125)*('Budget révisé'!$C$3:$AO$3=I$2),'Budget révisé'!$C$8:$AO$500)</f>
        <v>0</v>
      </c>
      <c r="J125" s="297"/>
      <c r="K125" s="172"/>
      <c r="L125" s="174">
        <f>SUMIFS(BV_Data_An_Cour!$P:$P,BV_Data_An_Cour!$U:$U,$B125,BV_Data_An_Cour!$V:$V,$C125,BV_Data_An_Cour!$W:$W,$L$2)</f>
        <v>0</v>
      </c>
      <c r="M125" s="297"/>
      <c r="N125" s="298">
        <f t="shared" si="89"/>
        <v>0</v>
      </c>
      <c r="O125" s="297"/>
      <c r="P125" s="172"/>
      <c r="Q125" s="174">
        <f>SUMIFS(BV_Data_An_Prec!$P:$P,BV_Data_An_Prec!$U:$U,$B125,BV_Data_An_Prec!$V:$V,$C125,BV_Data_An_Prec!$W:$W,$L$2)</f>
        <v>0</v>
      </c>
      <c r="R125" s="297"/>
      <c r="S125" s="193">
        <f t="shared" si="90"/>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ht="15.75" hidden="1" customHeight="1">
      <c r="A126" s="564" t="str">
        <f t="shared" ref="A126:A128" si="91">+B126&amp;C126</f>
        <v>Véhicules usagés[...]</v>
      </c>
      <c r="B126" s="24" t="s">
        <v>144</v>
      </c>
      <c r="C126" s="299" t="s">
        <v>42</v>
      </c>
      <c r="D126" s="295"/>
      <c r="E126" s="172"/>
      <c r="F126" s="173">
        <f>+SUMPRODUCT(('Budget original'!$A$8:$A$500=$A126)*('Budget original'!$C$3:$AO$3=F$2),'Budget original'!$C$8:$AO$500)</f>
        <v>0</v>
      </c>
      <c r="G126" s="296"/>
      <c r="H126" s="172"/>
      <c r="I126" s="173">
        <f>+SUMPRODUCT(('Budget révisé'!$A$8:$A$500=$A126)*('Budget révisé'!$C$3:$AO$3=I$2),'Budget révisé'!$C$8:$AO$500)</f>
        <v>0</v>
      </c>
      <c r="J126" s="297"/>
      <c r="K126" s="172"/>
      <c r="L126" s="174">
        <f>SUMIFS(BV_Data_An_Cour!$P:$P,BV_Data_An_Cour!$U:$U,$B126,BV_Data_An_Cour!$V:$V,$C126,BV_Data_An_Cour!$W:$W,$L$2)</f>
        <v>0</v>
      </c>
      <c r="M126" s="297"/>
      <c r="N126" s="298">
        <f t="shared" ref="N126:N129" si="92">L126-I126</f>
        <v>0</v>
      </c>
      <c r="O126" s="297"/>
      <c r="P126" s="172"/>
      <c r="Q126" s="174">
        <f>SUMIFS(BV_Data_An_Prec!$P:$P,BV_Data_An_Prec!$U:$U,$B126,BV_Data_An_Prec!$V:$V,$C126,BV_Data_An_Prec!$W:$W,$L$2)</f>
        <v>0</v>
      </c>
      <c r="R126" s="297"/>
      <c r="S126" s="193">
        <f t="shared" ref="S126:S129" si="93">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ht="15.75" hidden="1" customHeight="1">
      <c r="A127" s="564" t="str">
        <f t="shared" si="91"/>
        <v>Véhicules usagés[...]</v>
      </c>
      <c r="B127" s="24" t="s">
        <v>144</v>
      </c>
      <c r="C127" s="299" t="s">
        <v>42</v>
      </c>
      <c r="D127" s="295"/>
      <c r="E127" s="172"/>
      <c r="F127" s="173">
        <f>+SUMPRODUCT(('Budget original'!$A$8:$A$500=$A127)*('Budget original'!$C$3:$AO$3=F$2),'Budget original'!$C$8:$AO$500)</f>
        <v>0</v>
      </c>
      <c r="G127" s="296"/>
      <c r="H127" s="172"/>
      <c r="I127" s="173">
        <f>+SUMPRODUCT(('Budget révisé'!$A$8:$A$500=$A127)*('Budget révisé'!$C$3:$AO$3=I$2),'Budget révisé'!$C$8:$AO$500)</f>
        <v>0</v>
      </c>
      <c r="J127" s="297"/>
      <c r="K127" s="172"/>
      <c r="L127" s="174">
        <f>SUMIFS(BV_Data_An_Cour!$P:$P,BV_Data_An_Cour!$U:$U,$B127,BV_Data_An_Cour!$V:$V,$C127,BV_Data_An_Cour!$W:$W,$L$2)</f>
        <v>0</v>
      </c>
      <c r="M127" s="297"/>
      <c r="N127" s="298">
        <f t="shared" si="92"/>
        <v>0</v>
      </c>
      <c r="O127" s="297"/>
      <c r="P127" s="172"/>
      <c r="Q127" s="174">
        <f>SUMIFS(BV_Data_An_Prec!$P:$P,BV_Data_An_Prec!$U:$U,$B127,BV_Data_An_Prec!$V:$V,$C127,BV_Data_An_Prec!$W:$W,$L$2)</f>
        <v>0</v>
      </c>
      <c r="R127" s="297"/>
      <c r="S127" s="193">
        <f t="shared" si="93"/>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ht="15.75" hidden="1" customHeight="1">
      <c r="A128" s="564" t="str">
        <f t="shared" si="91"/>
        <v>Véhicules usagés[...]</v>
      </c>
      <c r="B128" s="24" t="s">
        <v>144</v>
      </c>
      <c r="C128" s="299" t="s">
        <v>42</v>
      </c>
      <c r="D128" s="295"/>
      <c r="E128" s="172"/>
      <c r="F128" s="173">
        <f>+SUMPRODUCT(('Budget original'!$A$8:$A$500=$A128)*('Budget original'!$C$3:$AO$3=F$2),'Budget original'!$C$8:$AO$500)</f>
        <v>0</v>
      </c>
      <c r="G128" s="296"/>
      <c r="H128" s="172"/>
      <c r="I128" s="173">
        <f>+SUMPRODUCT(('Budget révisé'!$A$8:$A$500=$A128)*('Budget révisé'!$C$3:$AO$3=I$2),'Budget révisé'!$C$8:$AO$500)</f>
        <v>0</v>
      </c>
      <c r="J128" s="297"/>
      <c r="K128" s="172"/>
      <c r="L128" s="174">
        <f>SUMIFS(BV_Data_An_Cour!$P:$P,BV_Data_An_Cour!$U:$U,$B128,BV_Data_An_Cour!$V:$V,$C128,BV_Data_An_Cour!$W:$W,$L$2)</f>
        <v>0</v>
      </c>
      <c r="M128" s="297"/>
      <c r="N128" s="298">
        <f t="shared" si="92"/>
        <v>0</v>
      </c>
      <c r="O128" s="297"/>
      <c r="P128" s="172"/>
      <c r="Q128" s="174">
        <f>SUMIFS(BV_Data_An_Prec!$P:$P,BV_Data_An_Prec!$U:$U,$B128,BV_Data_An_Prec!$V:$V,$C128,BV_Data_An_Prec!$W:$W,$L$2)</f>
        <v>0</v>
      </c>
      <c r="R128" s="297"/>
      <c r="S128" s="193">
        <f t="shared" si="93"/>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tr">
        <f t="shared" si="55"/>
        <v>Véhicules usagésSalaires en absences</v>
      </c>
      <c r="B129" s="24" t="s">
        <v>144</v>
      </c>
      <c r="C129" s="300" t="s">
        <v>116</v>
      </c>
      <c r="D129" s="295"/>
      <c r="E129" s="172"/>
      <c r="F129" s="173">
        <f>+SUMPRODUCT(('Budget original'!$A$8:$A$500=$A129)*('Budget original'!$C$3:$AO$3=F$2),'Budget original'!$C$8:$AO$500)</f>
        <v>34466.345658552396</v>
      </c>
      <c r="G129" s="296"/>
      <c r="H129" s="172"/>
      <c r="I129" s="173">
        <f>+SUMPRODUCT(('Budget révisé'!$A$8:$A$500=$A129)*('Budget révisé'!$C$3:$AO$3=I$2),'Budget révisé'!$C$8:$AO$500)</f>
        <v>34466.345658552396</v>
      </c>
      <c r="J129" s="297"/>
      <c r="K129" s="172"/>
      <c r="L129" s="174">
        <f>SUMIFS(BV_Data_An_Cour!$P:$P,BV_Data_An_Cour!$U:$U,$B129,BV_Data_An_Cour!$V:$V,$C129,BV_Data_An_Cour!$W:$W,$L$2)</f>
        <v>18588.22</v>
      </c>
      <c r="M129" s="297"/>
      <c r="N129" s="298">
        <f t="shared" si="92"/>
        <v>-15878.125658552395</v>
      </c>
      <c r="O129" s="297"/>
      <c r="P129" s="172"/>
      <c r="Q129" s="174">
        <f>SUMIFS(BV_Data_An_Prec!$P:$P,BV_Data_An_Prec!$U:$U,$B129,BV_Data_An_Prec!$V:$V,$C129,BV_Data_An_Prec!$W:$W,$L$2)</f>
        <v>15831.25</v>
      </c>
      <c r="R129" s="297"/>
      <c r="S129" s="193">
        <f t="shared" si="93"/>
        <v>2756.9700000000012</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tr">
        <f t="shared" si="55"/>
        <v>Véhicules usagésDéduction à la source</v>
      </c>
      <c r="B130" s="24" t="s">
        <v>144</v>
      </c>
      <c r="C130" s="274" t="s">
        <v>117</v>
      </c>
      <c r="D130" s="279"/>
      <c r="E130" s="280"/>
      <c r="F130" s="626">
        <f>+SUMPRODUCT(('Budget original'!$A$8:$A$500=$A130)*('Budget original'!$C$3:$AO$3=F$2),'Budget original'!$C$8:$AO$500)</f>
        <v>30868.14553512798</v>
      </c>
      <c r="G130" s="281"/>
      <c r="H130" s="280"/>
      <c r="I130" s="626">
        <f>+SUMPRODUCT(('Budget révisé'!$A$8:$A$500=$A130)*('Budget révisé'!$C$3:$AO$3=I$2),'Budget révisé'!$C$8:$AO$500)</f>
        <v>30868.14553512798</v>
      </c>
      <c r="J130" s="282"/>
      <c r="K130" s="280"/>
      <c r="L130" s="627">
        <f>SUMIFS(BV_Data_An_Cour!$P:$P,BV_Data_An_Cour!$U:$U,$B130,BV_Data_An_Cour!$V:$V,$C130,BV_Data_An_Cour!$W:$W,$L$2)</f>
        <v>28808.55</v>
      </c>
      <c r="M130" s="282"/>
      <c r="N130" s="350">
        <f t="shared" si="89"/>
        <v>-2059.5955351279808</v>
      </c>
      <c r="O130" s="282"/>
      <c r="P130" s="280"/>
      <c r="Q130" s="627">
        <f>SUMIFS(BV_Data_An_Prec!$P:$P,BV_Data_An_Prec!$U:$U,$B130,BV_Data_An_Prec!$V:$V,$C130,BV_Data_An_Prec!$W:$W,$L$2)</f>
        <v>24167.9</v>
      </c>
      <c r="R130" s="282"/>
      <c r="S130" s="284">
        <f t="shared" si="90"/>
        <v>4640.6499999999978</v>
      </c>
      <c r="T130" s="216"/>
      <c r="U130" s="955">
        <f>L130-Print_Mois!L130</f>
        <v>25424.559999999998</v>
      </c>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tr">
        <f t="shared" si="55"/>
        <v>Véhicules usagésBénéfices marginaux</v>
      </c>
      <c r="B131" s="24" t="s">
        <v>144</v>
      </c>
      <c r="C131" s="274" t="s">
        <v>118</v>
      </c>
      <c r="D131" s="256"/>
      <c r="E131" s="227"/>
      <c r="F131" s="225">
        <f>+SUMPRODUCT(('Budget original'!$A$8:$A$500=$A131)*('Budget original'!$C$3:$AO$3=F$2),'Budget original'!$C$8:$AO$500)</f>
        <v>24512.939101425167</v>
      </c>
      <c r="G131" s="277"/>
      <c r="H131" s="227"/>
      <c r="I131" s="225">
        <f>+SUMPRODUCT(('Budget révisé'!$A$8:$A$500=$A131)*('Budget révisé'!$C$3:$AO$3=I$2),'Budget révisé'!$C$8:$AO$500)</f>
        <v>24512.939101425167</v>
      </c>
      <c r="J131" s="221"/>
      <c r="K131" s="227"/>
      <c r="L131" s="275">
        <f>SUMIFS(BV_Data_An_Cour!$P:$P,BV_Data_An_Cour!$U:$U,$B131,BV_Data_An_Cour!$V:$V,$C131,BV_Data_An_Cour!$W:$W,$L$2)</f>
        <v>16520.05</v>
      </c>
      <c r="M131" s="221"/>
      <c r="N131" s="298">
        <f t="shared" si="89"/>
        <v>-7992.8891014251676</v>
      </c>
      <c r="O131" s="221"/>
      <c r="P131" s="227"/>
      <c r="Q131" s="275">
        <f>SUMIFS(BV_Data_An_Prec!$P:$P,BV_Data_An_Prec!$U:$U,$B131,BV_Data_An_Prec!$V:$V,$C131,BV_Data_An_Prec!$W:$W,$L$2)</f>
        <v>17320.330000000002</v>
      </c>
      <c r="R131" s="221"/>
      <c r="S131" s="278">
        <f t="shared" si="90"/>
        <v>-800.28000000000247</v>
      </c>
      <c r="T131" s="227"/>
      <c r="U131" s="955">
        <f>L131-Print_Mois!L131</f>
        <v>14026.05</v>
      </c>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tr">
        <f t="shared" si="55"/>
        <v>Véhicules usagésCsst</v>
      </c>
      <c r="B132" s="24" t="s">
        <v>144</v>
      </c>
      <c r="C132" s="274" t="s">
        <v>119</v>
      </c>
      <c r="D132" s="256"/>
      <c r="E132" s="227"/>
      <c r="F132" s="225">
        <f>+SUMPRODUCT(('Budget original'!$A$8:$A$500=$A132)*('Budget original'!$C$3:$AO$3=F$2),'Budget original'!$C$8:$AO$500)</f>
        <v>9986.7529672472883</v>
      </c>
      <c r="G132" s="277"/>
      <c r="H132" s="227"/>
      <c r="I132" s="225">
        <f>+SUMPRODUCT(('Budget révisé'!$A$8:$A$500=$A132)*('Budget révisé'!$C$3:$AO$3=I$2),'Budget révisé'!$C$8:$AO$500)</f>
        <v>9986.7529672472883</v>
      </c>
      <c r="J132" s="221"/>
      <c r="K132" s="227"/>
      <c r="L132" s="275">
        <f>SUMIFS(BV_Data_An_Cour!$P:$P,BV_Data_An_Cour!$U:$U,$B132,BV_Data_An_Cour!$V:$V,$C132,BV_Data_An_Cour!$W:$W,$L$2)</f>
        <v>8675.68</v>
      </c>
      <c r="M132" s="221"/>
      <c r="N132" s="298">
        <f t="shared" si="89"/>
        <v>-1311.072967247288</v>
      </c>
      <c r="O132" s="221"/>
      <c r="P132" s="227"/>
      <c r="Q132" s="275">
        <f>SUMIFS(BV_Data_An_Prec!$P:$P,BV_Data_An_Prec!$U:$U,$B132,BV_Data_An_Prec!$V:$V,$C132,BV_Data_An_Prec!$W:$W,$L$2)</f>
        <v>4027.98</v>
      </c>
      <c r="R132" s="221"/>
      <c r="S132" s="278">
        <f t="shared" si="90"/>
        <v>4647.7000000000007</v>
      </c>
      <c r="T132" s="227"/>
      <c r="U132" s="955">
        <f>L132-Print_Mois!L132</f>
        <v>7782.8600000000006</v>
      </c>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tr">
        <f t="shared" si="55"/>
        <v>Véhicules usagés[...]</v>
      </c>
      <c r="B133" s="24" t="s">
        <v>144</v>
      </c>
      <c r="C133" s="285" t="s">
        <v>42</v>
      </c>
      <c r="D133" s="286"/>
      <c r="E133" s="287"/>
      <c r="F133" s="225">
        <f>+SUMPRODUCT(('Budget original'!$A$8:$A$500=$A133)*('Budget original'!$C$3:$AO$3=F$2),'Budget original'!$C$8:$AO$500)</f>
        <v>0</v>
      </c>
      <c r="G133" s="288"/>
      <c r="H133" s="287"/>
      <c r="I133" s="225">
        <f>+SUMPRODUCT(('Budget révisé'!$A$8:$A$500=$A133)*('Budget révisé'!$C$3:$AO$3=I$2),'Budget révisé'!$C$8:$AO$500)</f>
        <v>0</v>
      </c>
      <c r="J133" s="289"/>
      <c r="K133" s="287"/>
      <c r="L133" s="275">
        <f>SUMIFS(BV_Data_An_Cour!$P:$P,BV_Data_An_Cour!$U:$U,$B133,BV_Data_An_Cour!$V:$V,$C133,BV_Data_An_Cour!$W:$W,$L$2)</f>
        <v>0</v>
      </c>
      <c r="M133" s="289"/>
      <c r="N133" s="190">
        <f t="shared" si="89"/>
        <v>0</v>
      </c>
      <c r="O133" s="289"/>
      <c r="P133" s="287"/>
      <c r="Q133" s="275">
        <f>SUMIFS(BV_Data_An_Prec!$P:$P,BV_Data_An_Prec!$U:$U,$B133,BV_Data_An_Prec!$V:$V,$C133,BV_Data_An_Prec!$W:$W,$L$2)</f>
        <v>0</v>
      </c>
      <c r="R133" s="289"/>
      <c r="S133" s="291">
        <f t="shared" si="90"/>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tr">
        <f t="shared" si="55"/>
        <v>Véhicules usagésTOTAL PERSONNEL</v>
      </c>
      <c r="B134" s="24" t="s">
        <v>144</v>
      </c>
      <c r="C134" s="292" t="s">
        <v>120</v>
      </c>
      <c r="D134" s="39" t="s">
        <v>111</v>
      </c>
      <c r="E134" s="40">
        <f>F134/F$107</f>
        <v>0.29908662210418263</v>
      </c>
      <c r="F134" s="41">
        <f>+SUM(F122:F133)</f>
        <v>190128.6444646134</v>
      </c>
      <c r="G134" s="42" t="s">
        <v>111</v>
      </c>
      <c r="H134" s="40">
        <f>I134/I$107</f>
        <v>0.29908662210418263</v>
      </c>
      <c r="I134" s="41">
        <f>+SUM(I122:I133)</f>
        <v>190128.6444646134</v>
      </c>
      <c r="J134" s="42" t="s">
        <v>111</v>
      </c>
      <c r="K134" s="40">
        <f>L134/L$107</f>
        <v>0.19662323942128143</v>
      </c>
      <c r="L134" s="41">
        <f>SUM(L122:L133)</f>
        <v>165203.87999999998</v>
      </c>
      <c r="M134" s="43"/>
      <c r="N134" s="46">
        <f t="shared" si="89"/>
        <v>-24924.764464613429</v>
      </c>
      <c r="O134" s="42" t="s">
        <v>111</v>
      </c>
      <c r="P134" s="40">
        <f>Q134/Q$107</f>
        <v>0.31093821122762605</v>
      </c>
      <c r="Q134" s="41">
        <f>SUM(Q122:Q133)</f>
        <v>154961.67000000001</v>
      </c>
      <c r="R134" s="43"/>
      <c r="S134" s="293">
        <f t="shared" si="90"/>
        <v>10242.209999999963</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tr">
        <f t="shared" si="55"/>
        <v>Véhicules usagésPublicité 2</v>
      </c>
      <c r="B135" s="24" t="s">
        <v>144</v>
      </c>
      <c r="C135" s="258" t="s">
        <v>121</v>
      </c>
      <c r="D135" s="295"/>
      <c r="E135" s="172"/>
      <c r="F135" s="173">
        <f>+SUMPRODUCT(('Budget original'!$A$8:$A$500=$A135)*('Budget original'!$C$3:$AO$3=F$2),'Budget original'!$C$8:$AO$500)</f>
        <v>0</v>
      </c>
      <c r="G135" s="296"/>
      <c r="H135" s="172"/>
      <c r="I135" s="173">
        <f>+SUMPRODUCT(('Budget révisé'!$A$8:$A$500=$A135)*('Budget révisé'!$C$3:$AO$3=I$2),'Budget révisé'!$C$8:$AO$500)</f>
        <v>0</v>
      </c>
      <c r="J135" s="297"/>
      <c r="K135" s="172"/>
      <c r="L135" s="275">
        <f>SUMIFS(BV_Data_An_Cour!$P:$P,BV_Data_An_Cour!$U:$U,$B135,BV_Data_An_Cour!$V:$V,$C135,BV_Data_An_Cour!$W:$W,$L$2)</f>
        <v>0</v>
      </c>
      <c r="M135" s="297"/>
      <c r="N135" s="298">
        <f t="shared" si="89"/>
        <v>0</v>
      </c>
      <c r="O135" s="297"/>
      <c r="P135" s="172"/>
      <c r="Q135" s="275">
        <f>SUMIFS(BV_Data_An_Prec!$P:$P,BV_Data_An_Prec!$U:$U,$B135,BV_Data_An_Prec!$V:$V,$C135,BV_Data_An_Prec!$W:$W,$L$2)</f>
        <v>0</v>
      </c>
      <c r="R135" s="297"/>
      <c r="S135" s="193">
        <f t="shared" si="90"/>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tr">
        <f t="shared" si="55"/>
        <v>Véhicules usagésService gratuit 2</v>
      </c>
      <c r="B136" s="24" t="s">
        <v>144</v>
      </c>
      <c r="C136" s="258" t="s">
        <v>122</v>
      </c>
      <c r="D136" s="295"/>
      <c r="E136" s="172"/>
      <c r="F136" s="173">
        <f>+SUMPRODUCT(('Budget original'!$A$8:$A$500=$A136)*('Budget original'!$C$3:$AO$3=F$2),'Budget original'!$C$8:$AO$500)</f>
        <v>0</v>
      </c>
      <c r="G136" s="296"/>
      <c r="H136" s="172"/>
      <c r="I136" s="173">
        <f>+SUMPRODUCT(('Budget révisé'!$A$8:$A$500=$A136)*('Budget révisé'!$C$3:$AO$3=I$2),'Budget révisé'!$C$8:$AO$500)</f>
        <v>0</v>
      </c>
      <c r="J136" s="297"/>
      <c r="K136" s="172"/>
      <c r="L136" s="275">
        <f>SUMIFS(BV_Data_An_Cour!$P:$P,BV_Data_An_Cour!$U:$U,$B136,BV_Data_An_Cour!$V:$V,$C136,BV_Data_An_Cour!$W:$W,$L$2)</f>
        <v>0</v>
      </c>
      <c r="M136" s="297"/>
      <c r="N136" s="298">
        <f t="shared" si="89"/>
        <v>0</v>
      </c>
      <c r="O136" s="297"/>
      <c r="P136" s="172"/>
      <c r="Q136" s="174">
        <f>SUMIFS(BV_Data_An_Prec!$P:$P,BV_Data_An_Prec!$U:$U,$B136,BV_Data_An_Prec!$V:$V,$C136,BV_Data_An_Prec!$W:$W,$L$2)</f>
        <v>0</v>
      </c>
      <c r="R136" s="297"/>
      <c r="S136" s="193">
        <f t="shared" si="90"/>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tr">
        <f t="shared" si="55"/>
        <v>Véhicules usagésFrais véhicules de cie</v>
      </c>
      <c r="B137" s="24" t="s">
        <v>144</v>
      </c>
      <c r="C137" s="320" t="s">
        <v>123</v>
      </c>
      <c r="D137" s="301"/>
      <c r="E137" s="302"/>
      <c r="F137" s="171">
        <f>+SUMPRODUCT(('Budget original'!$A$8:$A$500=$A137)*('Budget original'!$C$3:$AO$3=F$2),'Budget original'!$C$8:$AO$500)</f>
        <v>625.19999999999993</v>
      </c>
      <c r="G137" s="303"/>
      <c r="H137" s="302"/>
      <c r="I137" s="171">
        <f>+SUMPRODUCT(('Budget révisé'!$A$8:$A$500=$A137)*('Budget révisé'!$C$3:$AO$3=I$2),'Budget révisé'!$C$8:$AO$500)</f>
        <v>625.19999999999993</v>
      </c>
      <c r="J137" s="304"/>
      <c r="K137" s="302"/>
      <c r="L137" s="238">
        <f>SUMIFS(BV_Data_An_Cour!$P:$P,BV_Data_An_Cour!$U:$U,$B137,BV_Data_An_Cour!$V:$V,$C137,BV_Data_An_Cour!$W:$W,$L$2)</f>
        <v>899.13</v>
      </c>
      <c r="M137" s="304"/>
      <c r="N137" s="305">
        <f t="shared" si="89"/>
        <v>273.93000000000006</v>
      </c>
      <c r="O137" s="304"/>
      <c r="P137" s="302"/>
      <c r="Q137" s="171">
        <f>SUMIFS(BV_Data_An_Prec!$P:$P,BV_Data_An_Prec!$U:$U,$B137,BV_Data_An_Prec!$V:$V,$C137,BV_Data_An_Prec!$W:$W,$L$2)</f>
        <v>-1853.48</v>
      </c>
      <c r="R137" s="304"/>
      <c r="S137" s="196">
        <f t="shared" si="90"/>
        <v>2752.61</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tr">
        <f t="shared" si="55"/>
        <v>Véhicules usagésInformatique</v>
      </c>
      <c r="B138" s="24" t="s">
        <v>144</v>
      </c>
      <c r="C138" s="258" t="s">
        <v>124</v>
      </c>
      <c r="D138" s="295"/>
      <c r="E138" s="172"/>
      <c r="F138" s="173">
        <f>+SUMPRODUCT(('Budget original'!$A$8:$A$500=$A138)*('Budget original'!$C$3:$AO$3=F$2),'Budget original'!$C$8:$AO$500)</f>
        <v>12141.844549999998</v>
      </c>
      <c r="G138" s="296"/>
      <c r="H138" s="172"/>
      <c r="I138" s="173">
        <f>+SUMPRODUCT(('Budget révisé'!$A$8:$A$500=$A138)*('Budget révisé'!$C$3:$AO$3=I$2),'Budget révisé'!$C$8:$AO$500)</f>
        <v>12141.844549999998</v>
      </c>
      <c r="J138" s="297"/>
      <c r="K138" s="172"/>
      <c r="L138" s="275">
        <f>SUMIFS(BV_Data_An_Cour!$P:$P,BV_Data_An_Cour!$U:$U,$B138,BV_Data_An_Cour!$V:$V,$C138,BV_Data_An_Cour!$W:$W,$L$2)</f>
        <v>13402.69</v>
      </c>
      <c r="M138" s="297"/>
      <c r="N138" s="298">
        <f t="shared" si="89"/>
        <v>1260.8454500000025</v>
      </c>
      <c r="O138" s="297"/>
      <c r="P138" s="172"/>
      <c r="Q138" s="174">
        <f>SUMIFS(BV_Data_An_Prec!$P:$P,BV_Data_An_Prec!$U:$U,$B138,BV_Data_An_Prec!$V:$V,$C138,BV_Data_An_Prec!$W:$W,$L$2)</f>
        <v>9356.27</v>
      </c>
      <c r="R138" s="297"/>
      <c r="S138" s="193">
        <f t="shared" si="90"/>
        <v>4046.42</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tr">
        <f t="shared" si="55"/>
        <v>Véhicules usagésFrais de déplacement</v>
      </c>
      <c r="B139" s="24" t="s">
        <v>144</v>
      </c>
      <c r="C139" s="258" t="s">
        <v>125</v>
      </c>
      <c r="D139" s="295"/>
      <c r="E139" s="172"/>
      <c r="F139" s="173">
        <f>+SUMPRODUCT(('Budget original'!$A$8:$A$500=$A139)*('Budget original'!$C$3:$AO$3=F$2),'Budget original'!$C$8:$AO$500)</f>
        <v>1485.2658750000001</v>
      </c>
      <c r="G139" s="296"/>
      <c r="H139" s="172"/>
      <c r="I139" s="173">
        <f>+SUMPRODUCT(('Budget révisé'!$A$8:$A$500=$A139)*('Budget révisé'!$C$3:$AO$3=I$2),'Budget révisé'!$C$8:$AO$500)</f>
        <v>1485.2658750000001</v>
      </c>
      <c r="J139" s="297"/>
      <c r="K139" s="172"/>
      <c r="L139" s="275">
        <f>SUMIFS(BV_Data_An_Cour!$P:$P,BV_Data_An_Cour!$U:$U,$B139,BV_Data_An_Cour!$V:$V,$C139,BV_Data_An_Cour!$W:$W,$L$2)</f>
        <v>1172.8699999999999</v>
      </c>
      <c r="M139" s="297"/>
      <c r="N139" s="298">
        <f t="shared" si="89"/>
        <v>-312.39587500000016</v>
      </c>
      <c r="O139" s="297"/>
      <c r="P139" s="172"/>
      <c r="Q139" s="174">
        <f>SUMIFS(BV_Data_An_Prec!$P:$P,BV_Data_An_Prec!$U:$U,$B139,BV_Data_An_Prec!$V:$V,$C139,BV_Data_An_Prec!$W:$W,$L$2)</f>
        <v>579.16999999999996</v>
      </c>
      <c r="R139" s="297"/>
      <c r="S139" s="193">
        <f t="shared" si="90"/>
        <v>593.69999999999993</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tr">
        <f t="shared" si="55"/>
        <v>Véhicules usagésServices extérieurs</v>
      </c>
      <c r="B140" s="24" t="s">
        <v>144</v>
      </c>
      <c r="C140" s="320" t="s">
        <v>126</v>
      </c>
      <c r="D140" s="301"/>
      <c r="E140" s="302"/>
      <c r="F140" s="171">
        <f>+SUMPRODUCT(('Budget original'!$A$8:$A$500=$A140)*('Budget original'!$C$3:$AO$3=F$2),'Budget original'!$C$8:$AO$500)</f>
        <v>7520.7921333333315</v>
      </c>
      <c r="G140" s="303"/>
      <c r="H140" s="302"/>
      <c r="I140" s="171">
        <f>+SUMPRODUCT(('Budget révisé'!$A$8:$A$500=$A140)*('Budget révisé'!$C$3:$AO$3=I$2),'Budget révisé'!$C$8:$AO$500)</f>
        <v>7520.7921333333315</v>
      </c>
      <c r="J140" s="304"/>
      <c r="K140" s="302"/>
      <c r="L140" s="238">
        <f>SUMIFS(BV_Data_An_Cour!$P:$P,BV_Data_An_Cour!$U:$U,$B140,BV_Data_An_Cour!$V:$V,$C140,BV_Data_An_Cour!$W:$W,$L$2)</f>
        <v>4852.9799999999996</v>
      </c>
      <c r="M140" s="304"/>
      <c r="N140" s="305">
        <f t="shared" si="89"/>
        <v>-2667.812133333332</v>
      </c>
      <c r="O140" s="304"/>
      <c r="P140" s="302"/>
      <c r="Q140" s="171">
        <f>SUMIFS(BV_Data_An_Prec!$P:$P,BV_Data_An_Prec!$U:$U,$B140,BV_Data_An_Prec!$V:$V,$C140,BV_Data_An_Prec!$W:$W,$L$2)</f>
        <v>5465.28</v>
      </c>
      <c r="R140" s="304"/>
      <c r="S140" s="196">
        <f t="shared" si="90"/>
        <v>-612.30000000000018</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tr">
        <f t="shared" si="55"/>
        <v>Véhicules usagésFournitures autres</v>
      </c>
      <c r="B141" s="24" t="s">
        <v>144</v>
      </c>
      <c r="C141" s="258" t="s">
        <v>127</v>
      </c>
      <c r="D141" s="295"/>
      <c r="E141" s="172"/>
      <c r="F141" s="173">
        <f>+SUMPRODUCT(('Budget original'!$A$8:$A$500=$A141)*('Budget original'!$C$3:$AO$3=F$2),'Budget original'!$C$8:$AO$500)</f>
        <v>397.64807519158052</v>
      </c>
      <c r="G141" s="296"/>
      <c r="H141" s="172"/>
      <c r="I141" s="173">
        <f>+SUMPRODUCT(('Budget révisé'!$A$8:$A$500=$A141)*('Budget révisé'!$C$3:$AO$3=I$2),'Budget révisé'!$C$8:$AO$500)</f>
        <v>397.64807519158052</v>
      </c>
      <c r="J141" s="297"/>
      <c r="K141" s="172"/>
      <c r="L141" s="275">
        <f>SUMIFS(BV_Data_An_Cour!$P:$P,BV_Data_An_Cour!$U:$U,$B141,BV_Data_An_Cour!$V:$V,$C141,BV_Data_An_Cour!$W:$W,$L$2)</f>
        <v>397.05</v>
      </c>
      <c r="M141" s="297"/>
      <c r="N141" s="298">
        <f t="shared" si="89"/>
        <v>-0.59807519158050582</v>
      </c>
      <c r="O141" s="297"/>
      <c r="P141" s="172"/>
      <c r="Q141" s="174">
        <f>SUMIFS(BV_Data_An_Prec!$P:$P,BV_Data_An_Prec!$U:$U,$B141,BV_Data_An_Prec!$V:$V,$C141,BV_Data_An_Prec!$W:$W,$L$2)</f>
        <v>441.85</v>
      </c>
      <c r="R141" s="297"/>
      <c r="S141" s="193">
        <f t="shared" si="90"/>
        <v>-44.800000000000011</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tr">
        <f t="shared" si="55"/>
        <v>Véhicules usagésUniformes</v>
      </c>
      <c r="B142" s="24" t="s">
        <v>144</v>
      </c>
      <c r="C142" s="258" t="s">
        <v>128</v>
      </c>
      <c r="D142" s="295"/>
      <c r="E142" s="172"/>
      <c r="F142" s="173">
        <f>+SUMPRODUCT(('Budget original'!$A$8:$A$500=$A142)*('Budget original'!$C$3:$AO$3=F$2),'Budget original'!$C$8:$AO$500)</f>
        <v>211.29973387094014</v>
      </c>
      <c r="G142" s="296"/>
      <c r="H142" s="172"/>
      <c r="I142" s="173">
        <f>+SUMPRODUCT(('Budget révisé'!$A$8:$A$500=$A142)*('Budget révisé'!$C$3:$AO$3=I$2),'Budget révisé'!$C$8:$AO$500)</f>
        <v>211.29973387094014</v>
      </c>
      <c r="J142" s="297"/>
      <c r="K142" s="172"/>
      <c r="L142" s="275">
        <f>SUMIFS(BV_Data_An_Cour!$P:$P,BV_Data_An_Cour!$U:$U,$B142,BV_Data_An_Cour!$V:$V,$C142,BV_Data_An_Cour!$W:$W,$L$2)</f>
        <v>0</v>
      </c>
      <c r="M142" s="297"/>
      <c r="N142" s="298">
        <f t="shared" si="89"/>
        <v>-211.29973387094014</v>
      </c>
      <c r="O142" s="297"/>
      <c r="P142" s="172"/>
      <c r="Q142" s="174">
        <f>SUMIFS(BV_Data_An_Prec!$P:$P,BV_Data_An_Prec!$U:$U,$B142,BV_Data_An_Prec!$V:$V,$C142,BV_Data_An_Prec!$W:$W,$L$2)</f>
        <v>0</v>
      </c>
      <c r="R142" s="297"/>
      <c r="S142" s="193">
        <f t="shared" si="90"/>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tr">
        <f t="shared" si="55"/>
        <v>Véhicules usagésPapeterie</v>
      </c>
      <c r="B143" s="24" t="s">
        <v>144</v>
      </c>
      <c r="C143" s="258" t="s">
        <v>129</v>
      </c>
      <c r="D143" s="295"/>
      <c r="E143" s="172"/>
      <c r="F143" s="173">
        <f>+SUMPRODUCT(('Budget original'!$A$8:$A$500=$A143)*('Budget original'!$C$3:$AO$3=F$2),'Budget original'!$C$8:$AO$500)</f>
        <v>1224.1206</v>
      </c>
      <c r="G143" s="296"/>
      <c r="H143" s="172"/>
      <c r="I143" s="173">
        <f>+SUMPRODUCT(('Budget révisé'!$A$8:$A$500=$A143)*('Budget révisé'!$C$3:$AO$3=I$2),'Budget révisé'!$C$8:$AO$500)</f>
        <v>1224.1206</v>
      </c>
      <c r="J143" s="297"/>
      <c r="K143" s="172"/>
      <c r="L143" s="958">
        <f>SUMIFS(BV_Data_An_Cour!$P:$P,BV_Data_An_Cour!$U:$U,$B143,BV_Data_An_Cour!$V:$V,$C143,BV_Data_An_Cour!$W:$W,$L$2)</f>
        <v>1176.78</v>
      </c>
      <c r="M143" s="297"/>
      <c r="N143" s="298">
        <f t="shared" si="89"/>
        <v>-47.340599999999995</v>
      </c>
      <c r="O143" s="297"/>
      <c r="P143" s="172"/>
      <c r="Q143" s="548">
        <f>SUMIFS(BV_Data_An_Prec!$P:$P,BV_Data_An_Prec!$U:$U,$B143,BV_Data_An_Prec!$V:$V,$C143,BV_Data_An_Prec!$W:$W,$L$2)</f>
        <v>1265.6600000000001</v>
      </c>
      <c r="R143" s="297"/>
      <c r="S143" s="193">
        <f t="shared" si="90"/>
        <v>-88.880000000000109</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tr">
        <f t="shared" si="55"/>
        <v>Véhicules usagésTéléphone</v>
      </c>
      <c r="B144" s="24" t="s">
        <v>144</v>
      </c>
      <c r="C144" s="258" t="s">
        <v>130</v>
      </c>
      <c r="D144" s="295"/>
      <c r="E144" s="172"/>
      <c r="F144" s="173">
        <f>+SUMPRODUCT(('Budget original'!$A$8:$A$500=$A144)*('Budget original'!$C$3:$AO$3=F$2),'Budget original'!$C$8:$AO$500)</f>
        <v>565.24598750000007</v>
      </c>
      <c r="G144" s="296"/>
      <c r="H144" s="172"/>
      <c r="I144" s="173">
        <f>+SUMPRODUCT(('Budget révisé'!$A$8:$A$500=$A144)*('Budget révisé'!$C$3:$AO$3=I$2),'Budget révisé'!$C$8:$AO$500)</f>
        <v>565.24598750000007</v>
      </c>
      <c r="J144" s="297"/>
      <c r="K144" s="172"/>
      <c r="L144" s="275">
        <f>SUMIFS(BV_Data_An_Cour!$P:$P,BV_Data_An_Cour!$U:$U,$B144,BV_Data_An_Cour!$V:$V,$C144,BV_Data_An_Cour!$W:$W,$L$2)</f>
        <v>203.8</v>
      </c>
      <c r="M144" s="297"/>
      <c r="N144" s="298">
        <f t="shared" si="89"/>
        <v>-361.44598750000006</v>
      </c>
      <c r="O144" s="297"/>
      <c r="P144" s="172"/>
      <c r="Q144" s="174">
        <f>SUMIFS(BV_Data_An_Prec!$P:$P,BV_Data_An_Prec!$U:$U,$B144,BV_Data_An_Prec!$V:$V,$C144,BV_Data_An_Prec!$W:$W,$L$2)</f>
        <v>435.38</v>
      </c>
      <c r="R144" s="297"/>
      <c r="S144" s="193">
        <f t="shared" si="90"/>
        <v>-231.57999999999998</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tr">
        <f t="shared" si="55"/>
        <v>Véhicules usagésFrais postaux</v>
      </c>
      <c r="B145" s="24" t="s">
        <v>144</v>
      </c>
      <c r="C145" s="258" t="s">
        <v>131</v>
      </c>
      <c r="D145" s="295"/>
      <c r="E145" s="172"/>
      <c r="F145" s="173">
        <f>+SUMPRODUCT(('Budget original'!$A$8:$A$500=$A145)*('Budget original'!$C$3:$AO$3=F$2),'Budget original'!$C$8:$AO$500)</f>
        <v>301.71951249999995</v>
      </c>
      <c r="G145" s="296"/>
      <c r="H145" s="172"/>
      <c r="I145" s="173">
        <f>+SUMPRODUCT(('Budget révisé'!$A$8:$A$500=$A145)*('Budget révisé'!$C$3:$AO$3=I$2),'Budget révisé'!$C$8:$AO$500)</f>
        <v>301.71951249999995</v>
      </c>
      <c r="J145" s="297"/>
      <c r="K145" s="172"/>
      <c r="L145" s="275">
        <f>SUMIFS(BV_Data_An_Cour!$P:$P,BV_Data_An_Cour!$U:$U,$B145,BV_Data_An_Cour!$V:$V,$C145,BV_Data_An_Cour!$W:$W,$L$2)</f>
        <v>298.81</v>
      </c>
      <c r="M145" s="297"/>
      <c r="N145" s="298">
        <f t="shared" si="89"/>
        <v>-2.9095124999999484</v>
      </c>
      <c r="O145" s="297"/>
      <c r="P145" s="172"/>
      <c r="Q145" s="174">
        <f>SUMIFS(BV_Data_An_Prec!$P:$P,BV_Data_An_Prec!$U:$U,$B145,BV_Data_An_Prec!$V:$V,$C145,BV_Data_An_Prec!$W:$W,$L$2)</f>
        <v>294.79000000000002</v>
      </c>
      <c r="R145" s="297"/>
      <c r="S145" s="193">
        <f t="shared" si="90"/>
        <v>4.0199999999999818</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tr">
        <f t="shared" si="55"/>
        <v>Véhicules usagésDivers</v>
      </c>
      <c r="B146" s="24" t="s">
        <v>144</v>
      </c>
      <c r="C146" s="258" t="s">
        <v>132</v>
      </c>
      <c r="D146" s="295"/>
      <c r="E146" s="172"/>
      <c r="F146" s="173">
        <f>+SUMPRODUCT(('Budget original'!$A$8:$A$500=$A146)*('Budget original'!$C$3:$AO$3=F$2),'Budget original'!$C$8:$AO$500)</f>
        <v>1455.4379874999995</v>
      </c>
      <c r="G146" s="296"/>
      <c r="H146" s="172"/>
      <c r="I146" s="173">
        <f>+SUMPRODUCT(('Budget révisé'!$A$8:$A$500=$A146)*('Budget révisé'!$C$3:$AO$3=I$2),'Budget révisé'!$C$8:$AO$500)</f>
        <v>1455.4379874999995</v>
      </c>
      <c r="J146" s="297"/>
      <c r="K146" s="172"/>
      <c r="L146" s="275">
        <f>SUMIFS(BV_Data_An_Cour!$P:$P,BV_Data_An_Cour!$U:$U,$B146,BV_Data_An_Cour!$V:$V,$C146,BV_Data_An_Cour!$W:$W,$L$2)</f>
        <v>724.39</v>
      </c>
      <c r="M146" s="297"/>
      <c r="N146" s="298">
        <f t="shared" si="89"/>
        <v>-731.04798749999952</v>
      </c>
      <c r="O146" s="297"/>
      <c r="P146" s="172"/>
      <c r="Q146" s="174">
        <f>SUMIFS(BV_Data_An_Prec!$P:$P,BV_Data_An_Prec!$U:$U,$B146,BV_Data_An_Prec!$V:$V,$C146,BV_Data_An_Prec!$W:$W,$L$2)</f>
        <v>1502.3</v>
      </c>
      <c r="R146" s="297"/>
      <c r="S146" s="193">
        <f t="shared" si="90"/>
        <v>-777.91</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tr">
        <f t="shared" si="55"/>
        <v>Véhicules usagésFormation</v>
      </c>
      <c r="B147" s="24" t="s">
        <v>144</v>
      </c>
      <c r="C147" s="258" t="s">
        <v>133</v>
      </c>
      <c r="D147" s="295"/>
      <c r="E147" s="172"/>
      <c r="F147" s="173">
        <f>+SUMPRODUCT(('Budget original'!$A$8:$A$500=$A147)*('Budget original'!$C$3:$AO$3=F$2),'Budget original'!$C$8:$AO$500)</f>
        <v>2162.3554999999997</v>
      </c>
      <c r="G147" s="296"/>
      <c r="H147" s="172"/>
      <c r="I147" s="173">
        <f>+SUMPRODUCT(('Budget révisé'!$A$8:$A$500=$A147)*('Budget révisé'!$C$3:$AO$3=I$2),'Budget révisé'!$C$8:$AO$500)</f>
        <v>2162.3554999999997</v>
      </c>
      <c r="J147" s="297"/>
      <c r="K147" s="172"/>
      <c r="L147" s="275">
        <f>SUMIFS(BV_Data_An_Cour!$P:$P,BV_Data_An_Cour!$U:$U,$B147,BV_Data_An_Cour!$V:$V,$C147,BV_Data_An_Cour!$W:$W,$L$2)</f>
        <v>191.4</v>
      </c>
      <c r="M147" s="297"/>
      <c r="N147" s="298">
        <f t="shared" si="89"/>
        <v>-1970.9554999999996</v>
      </c>
      <c r="O147" s="297"/>
      <c r="P147" s="172"/>
      <c r="Q147" s="174">
        <f>SUMIFS(BV_Data_An_Prec!$P:$P,BV_Data_An_Prec!$U:$U,$B147,BV_Data_An_Prec!$V:$V,$C147,BV_Data_An_Prec!$W:$W,$L$2)</f>
        <v>173.1</v>
      </c>
      <c r="R147" s="297"/>
      <c r="S147" s="193">
        <f t="shared" si="90"/>
        <v>18.300000000000011</v>
      </c>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ht="15.75" customHeight="1">
      <c r="A148" s="564" t="str">
        <f t="shared" ref="A148:A151" si="94">+B148&amp;C148</f>
        <v>Véhicules usagésFrais bancaires</v>
      </c>
      <c r="B148" s="24" t="s">
        <v>144</v>
      </c>
      <c r="C148" s="258" t="s">
        <v>134</v>
      </c>
      <c r="D148" s="295"/>
      <c r="E148" s="172"/>
      <c r="F148" s="173">
        <f>+SUMPRODUCT(('Budget original'!$A$8:$A$500=$A148)*('Budget original'!$C$3:$AO$3=F$2),'Budget original'!$C$8:$AO$500)</f>
        <v>4207.8739109126936</v>
      </c>
      <c r="G148" s="296"/>
      <c r="H148" s="172"/>
      <c r="I148" s="173">
        <f>+SUMPRODUCT(('Budget révisé'!$A$8:$A$500=$A148)*('Budget révisé'!$C$3:$AO$3=I$2),'Budget révisé'!$C$8:$AO$500)</f>
        <v>4207.8739109126936</v>
      </c>
      <c r="J148" s="297"/>
      <c r="K148" s="172"/>
      <c r="L148" s="275">
        <f>AF447*W4</f>
        <v>3667.7640000000001</v>
      </c>
      <c r="M148" s="297"/>
      <c r="N148" s="298">
        <f t="shared" ref="N148:N151" si="95">L148-I148</f>
        <v>-540.10991091269352</v>
      </c>
      <c r="O148" s="297"/>
      <c r="P148" s="172"/>
      <c r="Q148" s="174">
        <f>AL447*W4</f>
        <v>3215.5840000000003</v>
      </c>
      <c r="R148" s="297"/>
      <c r="S148" s="193">
        <f t="shared" ref="S148:S151" si="96">L148-Q148</f>
        <v>452.17999999999984</v>
      </c>
      <c r="T148" s="223"/>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ht="15.75" hidden="1" customHeight="1">
      <c r="A149" s="564" t="str">
        <f t="shared" si="94"/>
        <v>Véhicules usagés[...]</v>
      </c>
      <c r="B149" s="24" t="s">
        <v>144</v>
      </c>
      <c r="C149" s="258" t="s">
        <v>42</v>
      </c>
      <c r="D149" s="295"/>
      <c r="E149" s="172"/>
      <c r="F149" s="173">
        <f>+SUMPRODUCT(('Budget original'!$A$8:$A$500=$A149)*('Budget original'!$C$3:$AO$3=F$2),'Budget original'!$C$8:$AO$500)</f>
        <v>0</v>
      </c>
      <c r="G149" s="296"/>
      <c r="H149" s="172"/>
      <c r="I149" s="173">
        <f>+SUMPRODUCT(('Budget révisé'!$A$8:$A$500=$A149)*('Budget révisé'!$C$3:$AO$3=I$2),'Budget révisé'!$C$8:$AO$500)</f>
        <v>0</v>
      </c>
      <c r="J149" s="297"/>
      <c r="K149" s="172"/>
      <c r="L149" s="174">
        <f>SUMIFS(BV_Data_An_Cour!$P:$P,BV_Data_An_Cour!$U:$U,$B149,BV_Data_An_Cour!$V:$V,$C149,BV_Data_An_Cour!$W:$W,$L$2)</f>
        <v>0</v>
      </c>
      <c r="M149" s="297"/>
      <c r="N149" s="298">
        <f t="shared" si="95"/>
        <v>0</v>
      </c>
      <c r="O149" s="297"/>
      <c r="P149" s="172"/>
      <c r="Q149" s="174">
        <f>SUMIFS(BV_Data_An_Prec!$P:$P,BV_Data_An_Prec!$U:$U,$B149,BV_Data_An_Prec!$V:$V,$C149,BV_Data_An_Prec!$W:$W,$L$2)</f>
        <v>0</v>
      </c>
      <c r="R149" s="297"/>
      <c r="S149" s="193">
        <f t="shared" si="96"/>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ht="15.75" hidden="1" customHeight="1">
      <c r="A150" s="564" t="str">
        <f t="shared" si="94"/>
        <v>Véhicules usagés[...]</v>
      </c>
      <c r="B150" s="24" t="s">
        <v>144</v>
      </c>
      <c r="C150" s="258" t="s">
        <v>42</v>
      </c>
      <c r="D150" s="295"/>
      <c r="E150" s="172"/>
      <c r="F150" s="173">
        <f>+SUMPRODUCT(('Budget original'!$A$8:$A$500=$A150)*('Budget original'!$C$3:$AO$3=F$2),'Budget original'!$C$8:$AO$500)</f>
        <v>0</v>
      </c>
      <c r="G150" s="296"/>
      <c r="H150" s="172"/>
      <c r="I150" s="173">
        <f>+SUMPRODUCT(('Budget révisé'!$A$8:$A$500=$A150)*('Budget révisé'!$C$3:$AO$3=I$2),'Budget révisé'!$C$8:$AO$500)</f>
        <v>0</v>
      </c>
      <c r="J150" s="297"/>
      <c r="K150" s="172"/>
      <c r="L150" s="174">
        <f>SUMIFS(BV_Data_An_Cour!$P:$P,BV_Data_An_Cour!$U:$U,$B150,BV_Data_An_Cour!$V:$V,$C150,BV_Data_An_Cour!$W:$W,$L$2)</f>
        <v>0</v>
      </c>
      <c r="M150" s="297"/>
      <c r="N150" s="298">
        <f t="shared" si="95"/>
        <v>0</v>
      </c>
      <c r="O150" s="297"/>
      <c r="P150" s="172"/>
      <c r="Q150" s="174">
        <f>SUMIFS(BV_Data_An_Prec!$P:$P,BV_Data_An_Prec!$U:$U,$B150,BV_Data_An_Prec!$V:$V,$C150,BV_Data_An_Prec!$W:$W,$L$2)</f>
        <v>0</v>
      </c>
      <c r="R150" s="297"/>
      <c r="S150" s="193">
        <f t="shared" si="96"/>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tr">
        <f t="shared" si="94"/>
        <v>Véhicules usagés[...]</v>
      </c>
      <c r="B151" s="24" t="s">
        <v>144</v>
      </c>
      <c r="C151" s="258" t="s">
        <v>42</v>
      </c>
      <c r="D151" s="295"/>
      <c r="E151" s="172"/>
      <c r="F151" s="173">
        <f>+SUMPRODUCT(('Budget original'!$A$8:$A$500=$A151)*('Budget original'!$C$3:$AO$3=F$2),'Budget original'!$C$8:$AO$500)</f>
        <v>0</v>
      </c>
      <c r="G151" s="296"/>
      <c r="H151" s="172"/>
      <c r="I151" s="173">
        <f>+SUMPRODUCT(('Budget révisé'!$A$8:$A$500=$A151)*('Budget révisé'!$C$3:$AO$3=I$2),'Budget révisé'!$C$8:$AO$500)</f>
        <v>0</v>
      </c>
      <c r="J151" s="297"/>
      <c r="K151" s="172"/>
      <c r="L151" s="174">
        <f>SUMIFS(BV_Data_An_Cour!$P:$P,BV_Data_An_Cour!$U:$U,$B151,BV_Data_An_Cour!$V:$V,$C151,BV_Data_An_Cour!$W:$W,$L$2)</f>
        <v>0</v>
      </c>
      <c r="M151" s="297"/>
      <c r="N151" s="298">
        <f t="shared" si="95"/>
        <v>0</v>
      </c>
      <c r="O151" s="297"/>
      <c r="P151" s="172"/>
      <c r="Q151" s="174">
        <f>SUMIFS(BV_Data_An_Prec!$P:$P,BV_Data_An_Prec!$U:$U,$B151,BV_Data_An_Prec!$V:$V,$C151,BV_Data_An_Prec!$W:$W,$L$2)</f>
        <v>0</v>
      </c>
      <c r="R151" s="297"/>
      <c r="S151" s="193">
        <f t="shared" si="96"/>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tr">
        <f t="shared" si="55"/>
        <v>Véhicules usagésTOTAL SEMI-FIXES</v>
      </c>
      <c r="B152" s="24" t="s">
        <v>144</v>
      </c>
      <c r="C152" s="292" t="s">
        <v>135</v>
      </c>
      <c r="D152" s="39" t="s">
        <v>111</v>
      </c>
      <c r="E152" s="40">
        <f>F152/F$107</f>
        <v>5.0808441691846853E-2</v>
      </c>
      <c r="F152" s="41">
        <f>+SUM(F135:F151)</f>
        <v>32298.803865808539</v>
      </c>
      <c r="G152" s="42" t="s">
        <v>111</v>
      </c>
      <c r="H152" s="40">
        <f>I152/I$107</f>
        <v>5.0808441691846853E-2</v>
      </c>
      <c r="I152" s="41">
        <f>+SUM(I135:I151)</f>
        <v>32298.803865808539</v>
      </c>
      <c r="J152" s="42" t="s">
        <v>111</v>
      </c>
      <c r="K152" s="40">
        <f>L152/L$107</f>
        <v>3.2120322598313662E-2</v>
      </c>
      <c r="L152" s="41">
        <f>+SUM(L135:L151)</f>
        <v>26987.663999999997</v>
      </c>
      <c r="M152" s="44"/>
      <c r="N152" s="41">
        <f t="shared" si="89"/>
        <v>-5311.1398658085418</v>
      </c>
      <c r="O152" s="42" t="s">
        <v>111</v>
      </c>
      <c r="P152" s="40">
        <f>Q152/Q$107</f>
        <v>4.1888527966429653E-2</v>
      </c>
      <c r="Q152" s="41">
        <f>+SUM(Q135:Q151)</f>
        <v>20875.903999999999</v>
      </c>
      <c r="R152" s="44"/>
      <c r="S152" s="310">
        <f t="shared" si="90"/>
        <v>6111.7599999999984</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tr">
        <f t="shared" si="55"/>
        <v>Véhicules usagés</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tr">
        <f t="shared" si="55"/>
        <v>Véhicules usagésTOTAL DES DÉPENSES</v>
      </c>
      <c r="B154" s="24" t="s">
        <v>144</v>
      </c>
      <c r="C154" s="292" t="s">
        <v>136</v>
      </c>
      <c r="D154" s="39" t="s">
        <v>111</v>
      </c>
      <c r="E154" s="40">
        <f>F154/F$107</f>
        <v>0.74935683519067209</v>
      </c>
      <c r="F154" s="41">
        <f>F121+F134+F152</f>
        <v>476364.33315785788</v>
      </c>
      <c r="G154" s="42" t="s">
        <v>111</v>
      </c>
      <c r="H154" s="40">
        <f>I154/I$107</f>
        <v>0.74935683519067209</v>
      </c>
      <c r="I154" s="41">
        <f>I121+I134+I152</f>
        <v>476364.33315785788</v>
      </c>
      <c r="J154" s="42" t="s">
        <v>111</v>
      </c>
      <c r="K154" s="40">
        <f>L154/L$107</f>
        <v>0.60263192591772186</v>
      </c>
      <c r="L154" s="41">
        <f>L121+L134+L152</f>
        <v>506334.51400000008</v>
      </c>
      <c r="M154" s="44"/>
      <c r="N154" s="46">
        <f>L154-I154</f>
        <v>29970.180842142203</v>
      </c>
      <c r="O154" s="42" t="s">
        <v>111</v>
      </c>
      <c r="P154" s="40">
        <f>Q154/Q$107</f>
        <v>0.78595675224364858</v>
      </c>
      <c r="Q154" s="41">
        <f>Q121+Q134+Q152</f>
        <v>391695.73400000005</v>
      </c>
      <c r="R154" s="44"/>
      <c r="S154" s="293">
        <f>L154-Q154</f>
        <v>114638.78000000003</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tr">
        <f t="shared" si="55"/>
        <v>Véhicules usagésProgramme used 1</v>
      </c>
      <c r="B155" s="617" t="s">
        <v>144</v>
      </c>
      <c r="C155" s="258" t="s">
        <v>152</v>
      </c>
      <c r="D155" s="408"/>
      <c r="E155" s="409"/>
      <c r="F155" s="173">
        <f>+SUMPRODUCT(('Budget original'!$A$8:$A$500=$A155)*('Budget original'!$C$3:$AO$3=F$2),'Budget original'!$C$8:$AO$500)</f>
        <v>0</v>
      </c>
      <c r="G155" s="410"/>
      <c r="H155" s="409"/>
      <c r="I155" s="173">
        <f>+SUMPRODUCT(('Budget révisé'!$A$8:$A$500=$A155)*('Budget révisé'!$C$3:$AO$3=I$2),'Budget révisé'!$C$8:$AO$500)</f>
        <v>0</v>
      </c>
      <c r="J155" s="410"/>
      <c r="K155" s="959"/>
      <c r="L155" s="958">
        <v>0</v>
      </c>
      <c r="M155" s="297"/>
      <c r="N155" s="298">
        <f t="shared" ref="N155:N157" si="97">L155-I155</f>
        <v>0</v>
      </c>
      <c r="O155" s="410"/>
      <c r="P155" s="409"/>
      <c r="Q155" s="174">
        <f>-SUMIFS(BV_Data_An_Prec!$P:$P,BV_Data_An_Prec!$U:$U,$B155,BV_Data_An_Prec!$V:$V,$C155,BV_Data_An_Prec!$W:$W,$L$2)</f>
        <v>0</v>
      </c>
      <c r="R155" s="297"/>
      <c r="S155" s="193">
        <f t="shared" ref="S155:S157" si="98">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tr">
        <f t="shared" si="55"/>
        <v>Véhicules usagésProgramme used 2</v>
      </c>
      <c r="B156" s="24" t="s">
        <v>144</v>
      </c>
      <c r="C156" s="258" t="s">
        <v>153</v>
      </c>
      <c r="D156" s="408"/>
      <c r="E156" s="409"/>
      <c r="F156" s="173">
        <f>+SUMPRODUCT(('Budget original'!$A$8:$A$500=$A156)*('Budget original'!$C$3:$AO$3=F$2),'Budget original'!$C$8:$AO$500)</f>
        <v>0</v>
      </c>
      <c r="G156" s="410"/>
      <c r="H156" s="409"/>
      <c r="I156" s="173">
        <f>+SUMPRODUCT(('Budget révisé'!$A$8:$A$500=$A156)*('Budget révisé'!$C$3:$AO$3=I$2),'Budget révisé'!$C$8:$AO$500)</f>
        <v>0</v>
      </c>
      <c r="J156" s="410"/>
      <c r="K156" s="959"/>
      <c r="L156" s="275">
        <f>-SUMIFS(BV_Data_An_Cour!$P:$P,BV_Data_An_Cour!$U:$U,$B156,BV_Data_An_Cour!$V:$V,$C156,BV_Data_An_Cour!$W:$W,$L$2)</f>
        <v>0</v>
      </c>
      <c r="M156" s="297"/>
      <c r="N156" s="298">
        <f t="shared" si="97"/>
        <v>0</v>
      </c>
      <c r="O156" s="410"/>
      <c r="P156" s="409"/>
      <c r="Q156" s="174">
        <f>-SUMIFS(BV_Data_An_Prec!$P:$P,BV_Data_An_Prec!$U:$U,$B156,BV_Data_An_Prec!$V:$V,$C156,BV_Data_An_Prec!$W:$W,$L$2)</f>
        <v>0</v>
      </c>
      <c r="R156" s="297"/>
      <c r="S156" s="193">
        <f t="shared" si="98"/>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tr">
        <f t="shared" si="55"/>
        <v>Véhicules usagésProgramme used 3</v>
      </c>
      <c r="B157" s="24" t="s">
        <v>144</v>
      </c>
      <c r="C157" s="258" t="s">
        <v>154</v>
      </c>
      <c r="D157" s="295"/>
      <c r="E157" s="172"/>
      <c r="F157" s="173">
        <f>+SUMPRODUCT(('Budget original'!$A$8:$A$500=$A157)*('Budget original'!$C$3:$AO$3=F$2),'Budget original'!$C$8:$AO$500)</f>
        <v>0</v>
      </c>
      <c r="G157" s="296"/>
      <c r="H157" s="172"/>
      <c r="I157" s="173">
        <f>+SUMPRODUCT(('Budget révisé'!$A$8:$A$500=$A157)*('Budget révisé'!$C$3:$AO$3=I$2),'Budget révisé'!$C$8:$AO$500)</f>
        <v>0</v>
      </c>
      <c r="J157" s="297"/>
      <c r="K157" s="227"/>
      <c r="L157" s="275">
        <f>-SUMIFS(BV_Data_An_Cour!$P:$P,BV_Data_An_Cour!$U:$U,$B157,BV_Data_An_Cour!$V:$V,$C157,BV_Data_An_Cour!$W:$W,$L$2)</f>
        <v>0</v>
      </c>
      <c r="M157" s="297"/>
      <c r="N157" s="298">
        <f t="shared" si="97"/>
        <v>0</v>
      </c>
      <c r="O157" s="297"/>
      <c r="P157" s="172"/>
      <c r="Q157" s="174">
        <f>-SUMIFS(BV_Data_An_Prec!$P:$P,BV_Data_An_Prec!$U:$U,$B157,BV_Data_An_Prec!$V:$V,$C157,BV_Data_An_Prec!$W:$W,$L$2)</f>
        <v>0</v>
      </c>
      <c r="R157" s="297"/>
      <c r="S157" s="193">
        <f t="shared" si="98"/>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ht="15.75" customHeight="1">
      <c r="A158" s="564" t="str">
        <f t="shared" ref="A158:A161" si="99">+B158&amp;C158</f>
        <v>Véhicules usagésFrais administration</v>
      </c>
      <c r="B158" s="24" t="s">
        <v>144</v>
      </c>
      <c r="C158" s="258" t="s">
        <v>141</v>
      </c>
      <c r="D158" s="295"/>
      <c r="E158" s="172"/>
      <c r="F158" s="173">
        <f>+SUMPRODUCT(('Budget original'!$A$8:$A$500=$A158)*('Budget original'!$C$3:$AO$3=F$2),'Budget original'!$C$8:$AO$500)</f>
        <v>68821.689320388352</v>
      </c>
      <c r="G158" s="296"/>
      <c r="H158" s="172"/>
      <c r="I158" s="173">
        <f>+SUMPRODUCT(('Budget révisé'!$A$8:$A$500=$A158)*('Budget révisé'!$C$3:$AO$3=I$2),'Budget révisé'!$C$8:$AO$500)</f>
        <v>68821.689320388352</v>
      </c>
      <c r="J158" s="297"/>
      <c r="K158" s="227"/>
      <c r="L158" s="958">
        <f>349*J96</f>
        <v>54793</v>
      </c>
      <c r="M158" s="297"/>
      <c r="N158" s="298">
        <f t="shared" ref="N158" si="100">L158-I158</f>
        <v>-14028.689320388352</v>
      </c>
      <c r="O158" s="297"/>
      <c r="P158" s="172"/>
      <c r="Q158" s="174">
        <f>349*O96</f>
        <v>58283</v>
      </c>
      <c r="R158" s="297"/>
      <c r="S158" s="193">
        <f t="shared" ref="S158" si="101">L158-Q158</f>
        <v>-3490</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ht="15.75" hidden="1" customHeight="1">
      <c r="A159" s="564" t="str">
        <f t="shared" si="99"/>
        <v>Véhicules usagés[...]</v>
      </c>
      <c r="B159" s="24" t="s">
        <v>144</v>
      </c>
      <c r="C159" s="258" t="s">
        <v>42</v>
      </c>
      <c r="D159" s="295"/>
      <c r="E159" s="172"/>
      <c r="F159" s="173">
        <f>+SUMPRODUCT(('Budget original'!$A$8:$A$500=$A159)*('Budget original'!$C$3:$AO$3=F$2),'Budget original'!$C$8:$AO$500)</f>
        <v>0</v>
      </c>
      <c r="G159" s="296"/>
      <c r="H159" s="172"/>
      <c r="I159" s="173">
        <f>+SUMPRODUCT(('Budget révisé'!$A$8:$A$500=$A159)*('Budget révisé'!$C$3:$AO$3=I$2),'Budget révisé'!$C$8:$AO$500)</f>
        <v>0</v>
      </c>
      <c r="J159" s="297"/>
      <c r="K159" s="227"/>
      <c r="L159" s="958">
        <f>-SUMIFS(BV_Data_An_Cour!$P:$P,BV_Data_An_Cour!$U:$U,$B159,BV_Data_An_Cour!$V:$V,$C159,BV_Data_An_Cour!$W:$W,$L$2)</f>
        <v>0</v>
      </c>
      <c r="M159" s="297"/>
      <c r="N159" s="298">
        <f t="shared" ref="N159:N161" si="102">L159-I159</f>
        <v>0</v>
      </c>
      <c r="O159" s="297"/>
      <c r="P159" s="172"/>
      <c r="Q159" s="174">
        <f>-SUMIFS(BV_Data_An_Prec!$P:$P,BV_Data_An_Prec!$U:$U,$B159,BV_Data_An_Prec!$V:$V,$C159,BV_Data_An_Prec!$W:$W,$L$2)</f>
        <v>0</v>
      </c>
      <c r="R159" s="297"/>
      <c r="S159" s="193">
        <f t="shared" ref="S159:S161" si="103">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ht="15.75" hidden="1" customHeight="1">
      <c r="A160" s="564" t="str">
        <f t="shared" si="99"/>
        <v>Véhicules usagés[...]</v>
      </c>
      <c r="B160" s="24" t="s">
        <v>144</v>
      </c>
      <c r="C160" s="258" t="s">
        <v>42</v>
      </c>
      <c r="D160" s="295"/>
      <c r="E160" s="172"/>
      <c r="F160" s="173">
        <f>+SUMPRODUCT(('Budget original'!$A$8:$A$500=$A160)*('Budget original'!$C$3:$AO$3=F$2),'Budget original'!$C$8:$AO$500)</f>
        <v>0</v>
      </c>
      <c r="G160" s="296"/>
      <c r="H160" s="172"/>
      <c r="I160" s="173">
        <f>+SUMPRODUCT(('Budget révisé'!$A$8:$A$500=$A160)*('Budget révisé'!$C$3:$AO$3=I$2),'Budget révisé'!$C$8:$AO$500)</f>
        <v>0</v>
      </c>
      <c r="J160" s="297"/>
      <c r="K160" s="172"/>
      <c r="L160" s="548">
        <f>-SUMIFS(BV_Data_An_Cour!$P:$P,BV_Data_An_Cour!$U:$U,$B160,BV_Data_An_Cour!$V:$V,$C160,BV_Data_An_Cour!$W:$W,$L$2)</f>
        <v>0</v>
      </c>
      <c r="M160" s="297"/>
      <c r="N160" s="298">
        <f t="shared" si="102"/>
        <v>0</v>
      </c>
      <c r="O160" s="297"/>
      <c r="P160" s="172"/>
      <c r="Q160" s="174">
        <f>-SUMIFS(BV_Data_An_Prec!$P:$P,BV_Data_An_Prec!$U:$U,$B160,BV_Data_An_Prec!$V:$V,$C160,BV_Data_An_Prec!$W:$W,$L$2)</f>
        <v>0</v>
      </c>
      <c r="R160" s="297"/>
      <c r="S160" s="193">
        <f t="shared" si="103"/>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tr">
        <f t="shared" si="99"/>
        <v>Véhicules usagés[...]</v>
      </c>
      <c r="B161" s="24" t="s">
        <v>144</v>
      </c>
      <c r="C161" s="320" t="s">
        <v>42</v>
      </c>
      <c r="D161" s="301"/>
      <c r="E161" s="302"/>
      <c r="F161" s="173">
        <f>+SUMPRODUCT(('Budget original'!$A$8:$A$500=$A161)*('Budget original'!$C$3:$AO$3=F$2),'Budget original'!$C$8:$AO$500)</f>
        <v>0</v>
      </c>
      <c r="G161" s="296"/>
      <c r="H161" s="172"/>
      <c r="I161" s="173">
        <f>+SUMPRODUCT(('Budget révisé'!$A$8:$A$500=$A161)*('Budget révisé'!$C$3:$AO$3=I$2),'Budget révisé'!$C$8:$AO$500)</f>
        <v>0</v>
      </c>
      <c r="J161" s="297"/>
      <c r="K161" s="172"/>
      <c r="L161" s="548">
        <f>-SUMIFS(BV_Data_An_Cour!$P:$P,BV_Data_An_Cour!$U:$U,$B161,BV_Data_An_Cour!$V:$V,$C161,BV_Data_An_Cour!$W:$W,$L$2)</f>
        <v>0</v>
      </c>
      <c r="M161" s="297"/>
      <c r="N161" s="298">
        <f t="shared" si="102"/>
        <v>0</v>
      </c>
      <c r="O161" s="297"/>
      <c r="P161" s="172"/>
      <c r="Q161" s="174">
        <f>-SUMIFS(BV_Data_An_Prec!$P:$P,BV_Data_An_Prec!$U:$U,$B161,BV_Data_An_Prec!$V:$V,$C161,BV_Data_An_Prec!$W:$W,$L$2)</f>
        <v>0</v>
      </c>
      <c r="R161" s="297"/>
      <c r="S161" s="193">
        <f t="shared" si="103"/>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68821.689320388352</v>
      </c>
      <c r="G162" s="42"/>
      <c r="H162" s="40"/>
      <c r="I162" s="41">
        <f>+SUM(I155:I161)</f>
        <v>68821.689320388352</v>
      </c>
      <c r="J162" s="42"/>
      <c r="K162" s="40"/>
      <c r="L162" s="41">
        <f>+SUM(L155:L161)</f>
        <v>54793</v>
      </c>
      <c r="M162" s="44"/>
      <c r="N162" s="41">
        <f>SUM(N157:N157)</f>
        <v>0</v>
      </c>
      <c r="O162" s="42"/>
      <c r="P162" s="40"/>
      <c r="Q162" s="41">
        <f>+SUM(Q155:Q161)</f>
        <v>58283</v>
      </c>
      <c r="R162" s="44"/>
      <c r="S162" s="310">
        <f>+SUM(S155:S161)</f>
        <v>-3490</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228154.94479752053</v>
      </c>
      <c r="G164" s="338"/>
      <c r="H164" s="336"/>
      <c r="I164" s="337">
        <f>I107-I154+I162</f>
        <v>228154.94479752053</v>
      </c>
      <c r="J164" s="339"/>
      <c r="K164" s="340"/>
      <c r="L164" s="337">
        <f>L107-L154+L162</f>
        <v>388663.74599999969</v>
      </c>
      <c r="M164" s="339"/>
      <c r="N164" s="337">
        <f>L164-I164</f>
        <v>160508.80120247917</v>
      </c>
      <c r="O164" s="339"/>
      <c r="P164" s="340"/>
      <c r="Q164" s="337">
        <f>Q107-Q154+Q162</f>
        <v>164955.31599999964</v>
      </c>
      <c r="R164" s="339"/>
      <c r="S164" s="341">
        <f>L164-Q164</f>
        <v>223708.43000000005</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AAJ, Mai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426" t="s">
        <v>77</v>
      </c>
      <c r="E169" s="1427"/>
      <c r="F169" s="1428"/>
      <c r="G169" s="1429" t="s">
        <v>145</v>
      </c>
      <c r="H169" s="1427"/>
      <c r="I169" s="1428"/>
      <c r="J169" s="1429" t="s">
        <v>79</v>
      </c>
      <c r="K169" s="1427"/>
      <c r="L169" s="1428"/>
      <c r="M169" s="1429" t="s">
        <v>80</v>
      </c>
      <c r="N169" s="1428"/>
      <c r="O169" s="1426" t="s">
        <v>81</v>
      </c>
      <c r="P169" s="1427"/>
      <c r="Q169" s="1428"/>
      <c r="R169" s="1429" t="s">
        <v>82</v>
      </c>
      <c r="S169" s="1430"/>
      <c r="T169" s="525"/>
      <c r="U169" s="216"/>
      <c r="V169" s="514"/>
      <c r="W169" s="514"/>
      <c r="X169" s="514"/>
      <c r="Y169" s="514"/>
      <c r="Z169" s="514"/>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tr">
        <f t="shared" ref="A170:A227" si="104">+B170&amp;C170</f>
        <v>Service</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U170" s="216"/>
      <c r="V170" s="216"/>
      <c r="W170" s="216"/>
      <c r="X170" s="216"/>
      <c r="Y170" s="216"/>
      <c r="Z170" s="21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tr">
        <f t="shared" si="104"/>
        <v>ServiceM/O Client</v>
      </c>
      <c r="B171" s="24" t="s">
        <v>155</v>
      </c>
      <c r="C171" s="258" t="s">
        <v>159</v>
      </c>
      <c r="D171" s="172">
        <f>+SUMPRODUCT(('Budget original'!$A$8:$A$500=$A171)*('Budget original'!$C$3:$AO$3=D$2),'Budget original'!$C$8:$AO$500)</f>
        <v>2323.742322592906</v>
      </c>
      <c r="E171" s="191">
        <f>+SUMPRODUCT(('Budget original'!$A$8:$A$500=$A171)*('Budget original'!$C$3:$AO$3=E$2),'Budget original'!$C$8:$AO$500)</f>
        <v>576288.09600304067</v>
      </c>
      <c r="F171" s="191">
        <f>+SUMPRODUCT(('Budget original'!$A$8:$A$500=$A171)*('Budget original'!$C$3:$AO$3=F$2),'Budget original'!$C$8:$AO$500)</f>
        <v>432792.36009828362</v>
      </c>
      <c r="G171" s="342">
        <f>+SUMPRODUCT(('Budget révisé'!$A$8:$A$500=$A171)*('Budget révisé'!$C$3:$AO$3=G$2),'Budget révisé'!$C$8:$AO$500)</f>
        <v>2323.742322592906</v>
      </c>
      <c r="H171" s="191">
        <f>+SUMPRODUCT(('Budget révisé'!$A$8:$A$500=$A171)*('Budget révisé'!$C$3:$AO$3=H$2),'Budget révisé'!$C$8:$AO$500)</f>
        <v>576288.09600304067</v>
      </c>
      <c r="I171" s="191">
        <f>+SUMPRODUCT(('Budget révisé'!$A$8:$A$500=$A171)*('Budget révisé'!$C$3:$AO$3=I$2),'Budget révisé'!$C$8:$AO$500)</f>
        <v>432792.36009828362</v>
      </c>
      <c r="J171" s="319">
        <f>-SUMIFS(BV_Data_An_Cour!$P:$P,BV_Data_An_Cour!$U:$U,$B171,BV_Data_An_Cour!$V:$V,$C171,BV_Data_An_Cour!$W:$W,J$2)</f>
        <v>2257</v>
      </c>
      <c r="K171" s="173">
        <f>-SUMIFS(BV_Data_An_Cour!$P:$P,BV_Data_An_Cour!$X:$X,"Oui",BV_Data_An_Cour!$U:$U,$B171,BV_Data_An_Cour!$V:$V,$C171)</f>
        <v>604212.6399999999</v>
      </c>
      <c r="L171" s="174">
        <f>-SUMIFS(BV_Data_An_Cour!$P:$P,BV_Data_An_Cour!$U:$U,$B171,BV_Data_An_Cour!$V:$V,$C171,BV_Data_An_Cour!$W:$W,$L$2)</f>
        <v>467827.81999999983</v>
      </c>
      <c r="M171" s="318">
        <f>(K171-H171)/H171</f>
        <v>4.8455875092050987E-2</v>
      </c>
      <c r="N171" s="298">
        <f>L171-I171</f>
        <v>35035.459901716211</v>
      </c>
      <c r="O171" s="319">
        <f>-SUMIFS(BV_Data_An_Prec!$P:$P,BV_Data_An_Prec!$U:$U,$B171,BV_Data_An_Prec!$V:$V,$C171,BV_Data_An_Prec!$W:$W,O$2)</f>
        <v>2216</v>
      </c>
      <c r="P171" s="173">
        <f>-SUMIFS(BV_Data_An_Prec!$P:$P,BV_Data_An_Prec!$X:$X,"Oui",BV_Data_An_Prec!$U:$U,$B171,BV_Data_An_Prec!$V:$V,$C171)</f>
        <v>487542.32</v>
      </c>
      <c r="Q171" s="174">
        <f>-SUMIFS(BV_Data_An_Prec!$P:$P,BV_Data_An_Prec!$U:$U,$B171,BV_Data_An_Prec!$V:$V,$C171,BV_Data_An_Prec!$W:$W,$L$2)</f>
        <v>369478.12</v>
      </c>
      <c r="R171" s="318">
        <f>IF(O171=0,0,J171/O171)</f>
        <v>1.0185018050541517</v>
      </c>
      <c r="S171" s="193">
        <f>L171-Q171</f>
        <v>98349.699999999837</v>
      </c>
      <c r="T171" s="223"/>
      <c r="U171" s="216"/>
      <c r="V171" s="216"/>
      <c r="W171" s="216"/>
      <c r="X171" s="216"/>
      <c r="Y171" s="216"/>
      <c r="Z171" s="216"/>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tr">
        <f t="shared" si="104"/>
        <v>Service% profit / ventes</v>
      </c>
      <c r="B172" s="24" t="s">
        <v>155</v>
      </c>
      <c r="C172" s="258" t="s">
        <v>160</v>
      </c>
      <c r="D172" s="172"/>
      <c r="E172" s="343"/>
      <c r="F172" s="344">
        <f>F171/E171</f>
        <v>0.75100000000000011</v>
      </c>
      <c r="G172" s="297"/>
      <c r="H172" s="343"/>
      <c r="I172" s="344">
        <f>I171/H171</f>
        <v>0.75100000000000011</v>
      </c>
      <c r="J172" s="319"/>
      <c r="K172" s="172"/>
      <c r="L172" s="344">
        <f>IF(L171=0,0,L171/K171)</f>
        <v>0.77427678441152759</v>
      </c>
      <c r="M172" s="318"/>
      <c r="N172" s="298"/>
      <c r="O172" s="319"/>
      <c r="P172" s="172"/>
      <c r="Q172" s="344">
        <f>IF(Q171=0,0,Q171/P171)</f>
        <v>0.75783804778219044</v>
      </c>
      <c r="R172" s="319"/>
      <c r="S172" s="193"/>
      <c r="T172" s="223"/>
      <c r="U172" s="216"/>
      <c r="V172" s="216"/>
      <c r="W172" s="216"/>
      <c r="X172" s="216"/>
      <c r="Y172" s="216"/>
      <c r="Z172" s="216"/>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tr">
        <f t="shared" si="104"/>
        <v>Service</v>
      </c>
      <c r="B173" s="24" t="s">
        <v>155</v>
      </c>
      <c r="C173" s="320"/>
      <c r="D173" s="302"/>
      <c r="E173" s="352">
        <f t="shared" ref="E173" si="105">IFERROR(E171/D171,0)</f>
        <v>248</v>
      </c>
      <c r="F173" s="353"/>
      <c r="G173" s="304"/>
      <c r="H173" s="352">
        <f t="shared" ref="H173" si="106">IFERROR(H171/G171,0)</f>
        <v>248</v>
      </c>
      <c r="I173" s="353"/>
      <c r="J173" s="333"/>
      <c r="K173" s="567">
        <f t="shared" ref="K173" si="107">IFERROR(K171/J171,0)</f>
        <v>267.70608772707129</v>
      </c>
      <c r="L173" s="353"/>
      <c r="M173" s="355"/>
      <c r="N173" s="305"/>
      <c r="O173" s="333"/>
      <c r="P173" s="567">
        <f t="shared" ref="P173" si="108">IFERROR(P171/O171,0)</f>
        <v>220.01007220216607</v>
      </c>
      <c r="Q173" s="353"/>
      <c r="R173" s="333"/>
      <c r="S173" s="196"/>
      <c r="T173" s="223"/>
      <c r="U173" s="216"/>
      <c r="V173" s="216"/>
      <c r="W173" s="216"/>
      <c r="X173" s="216"/>
      <c r="Y173" s="216"/>
      <c r="Z173" s="216"/>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tr">
        <f t="shared" si="104"/>
        <v>ServiceM/O Garantie</v>
      </c>
      <c r="B174" s="24" t="s">
        <v>155</v>
      </c>
      <c r="C174" s="345" t="s">
        <v>161</v>
      </c>
      <c r="D174" s="351">
        <f>+SUMPRODUCT(('Budget original'!$A$8:$A$500=$A174)*('Budget original'!$C$3:$AO$3=D$2),'Budget original'!$C$8:$AO$500)</f>
        <v>1501.8514817910386</v>
      </c>
      <c r="E174" s="191">
        <f>+SUMPRODUCT(('Budget original'!$A$8:$A$500=$A174)*('Budget original'!$C$3:$AO$3=E$2),'Budget original'!$C$8:$AO$500)</f>
        <v>297513.21571877005</v>
      </c>
      <c r="F174" s="191">
        <f>+SUMPRODUCT(('Budget original'!$A$8:$A$500=$A174)*('Budget original'!$C$3:$AO$3=F$2),'Budget original'!$C$8:$AO$500)</f>
        <v>209583.51479520349</v>
      </c>
      <c r="G174" s="348">
        <f>+SUMPRODUCT(('Budget révisé'!$A$8:$A$500=$A174)*('Budget révisé'!$C$3:$AO$3=G$2),'Budget révisé'!$C$8:$AO$500)</f>
        <v>1501.8514817910386</v>
      </c>
      <c r="H174" s="191">
        <f>+SUMPRODUCT(('Budget révisé'!$A$8:$A$500=$A174)*('Budget révisé'!$C$3:$AO$3=H$2),'Budget révisé'!$C$8:$AO$500)</f>
        <v>297513.21571877005</v>
      </c>
      <c r="I174" s="191">
        <f>+SUMPRODUCT(('Budget révisé'!$A$8:$A$500=$A174)*('Budget révisé'!$C$3:$AO$3=I$2),'Budget révisé'!$C$8:$AO$500)</f>
        <v>209583.51479520349</v>
      </c>
      <c r="J174" s="348">
        <f>-SUMIFS(BV_Data_An_Cour!$P:$P,BV_Data_An_Cour!$U:$U,$B174,BV_Data_An_Cour!$V:$V,$C174,BV_Data_An_Cour!$W:$W,J$2)</f>
        <v>1457</v>
      </c>
      <c r="K174" s="180">
        <f>-SUMIFS(BV_Data_An_Cour!$P:$P,BV_Data_An_Cour!$X:$X,"Oui",BV_Data_An_Cour!$U:$U,$B174,BV_Data_An_Cour!$V:$V,$C174)</f>
        <v>200372.24</v>
      </c>
      <c r="L174" s="174">
        <f>-SUMIFS(BV_Data_An_Cour!$P:$P,BV_Data_An_Cour!$U:$U,$B174,BV_Data_An_Cour!$V:$V,$C174,BV_Data_An_Cour!$W:$W,$L$2)</f>
        <v>142411.32</v>
      </c>
      <c r="M174" s="318">
        <f>(K174-H174)/H174</f>
        <v>-0.32650978372199235</v>
      </c>
      <c r="N174" s="350">
        <f>L174-I174</f>
        <v>-67172.194795203482</v>
      </c>
      <c r="O174" s="348">
        <f>-SUMIFS(BV_Data_An_Prec!$P:$P,BV_Data_An_Prec!$U:$U,$B174,BV_Data_An_Prec!$V:$V,$C174,BV_Data_An_Prec!$W:$W,O$2)</f>
        <v>1222</v>
      </c>
      <c r="P174" s="180">
        <f>-SUMIFS(BV_Data_An_Prec!$P:$P,BV_Data_An_Prec!$X:$X,"Oui",BV_Data_An_Prec!$U:$U,$B174,BV_Data_An_Prec!$V:$V,$C174)</f>
        <v>274956.7</v>
      </c>
      <c r="Q174" s="174">
        <f>-SUMIFS(BV_Data_An_Prec!$P:$P,BV_Data_An_Prec!$U:$U,$B174,BV_Data_An_Prec!$V:$V,$C174,BV_Data_An_Prec!$W:$W,$L$2)</f>
        <v>193553.02000000002</v>
      </c>
      <c r="R174" s="318">
        <f>IF(O174=0,0,J174/O174)</f>
        <v>1.1923076923076923</v>
      </c>
      <c r="S174" s="193">
        <f>L174-Q174</f>
        <v>-51141.700000000012</v>
      </c>
      <c r="T174" s="223"/>
      <c r="U174" s="216"/>
      <c r="V174" s="216"/>
      <c r="W174" s="216"/>
      <c r="X174" s="216"/>
      <c r="Y174" s="216"/>
      <c r="Z174" s="216"/>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tr">
        <f t="shared" si="104"/>
        <v>Service% profit / ventes</v>
      </c>
      <c r="B175" s="24" t="s">
        <v>155</v>
      </c>
      <c r="C175" s="258" t="s">
        <v>160</v>
      </c>
      <c r="D175" s="172"/>
      <c r="E175" s="172"/>
      <c r="F175" s="344">
        <f>F174/E174</f>
        <v>0.7044511091343123</v>
      </c>
      <c r="G175" s="297"/>
      <c r="H175" s="172"/>
      <c r="I175" s="344">
        <f>I174/H174</f>
        <v>0.7044511091343123</v>
      </c>
      <c r="J175" s="297"/>
      <c r="K175" s="172"/>
      <c r="L175" s="344">
        <f>IF(L174=0,0,L174/K174)</f>
        <v>0.71073378228441231</v>
      </c>
      <c r="M175" s="356"/>
      <c r="N175" s="326"/>
      <c r="O175" s="297"/>
      <c r="P175" s="172"/>
      <c r="Q175" s="344">
        <f>IF(Q174=0,0,Q174/P174)</f>
        <v>0.70394000218943564</v>
      </c>
      <c r="R175" s="356"/>
      <c r="S175" s="327"/>
      <c r="T175" s="216"/>
      <c r="U175" s="216"/>
      <c r="V175" s="216"/>
      <c r="W175" s="216"/>
      <c r="X175" s="216"/>
      <c r="Y175" s="216"/>
      <c r="Z175" s="216"/>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tr">
        <f t="shared" si="104"/>
        <v>Service</v>
      </c>
      <c r="B176" s="24" t="s">
        <v>155</v>
      </c>
      <c r="C176" s="320"/>
      <c r="D176" s="302"/>
      <c r="E176" s="302"/>
      <c r="F176" s="353"/>
      <c r="G176" s="304"/>
      <c r="H176" s="302"/>
      <c r="I176" s="353"/>
      <c r="J176" s="304"/>
      <c r="K176" s="179"/>
      <c r="L176" s="353"/>
      <c r="M176" s="360"/>
      <c r="N176" s="330"/>
      <c r="O176" s="304"/>
      <c r="P176" s="179"/>
      <c r="Q176" s="353"/>
      <c r="R176" s="360"/>
      <c r="S176" s="331"/>
      <c r="T176" s="216"/>
      <c r="U176" s="216"/>
      <c r="V176" s="216"/>
      <c r="W176" s="216"/>
      <c r="X176" s="216"/>
      <c r="Y176" s="216"/>
      <c r="Z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tr">
        <f t="shared" si="104"/>
        <v>ServiceM/O Interne</v>
      </c>
      <c r="B177" s="24" t="s">
        <v>155</v>
      </c>
      <c r="C177" s="258" t="s">
        <v>162</v>
      </c>
      <c r="D177" s="172">
        <f>+SUMPRODUCT(('Budget original'!$A$8:$A$500=$A177)*('Budget original'!$C$3:$AO$3=D$2),'Budget original'!$C$8:$AO$500)</f>
        <v>1328.9663268152513</v>
      </c>
      <c r="E177" s="191">
        <f>+SUMPRODUCT(('Budget original'!$A$8:$A$500=$A177)*('Budget original'!$C$3:$AO$3=E$2),'Budget original'!$C$8:$AO$500)</f>
        <v>286241.74922315008</v>
      </c>
      <c r="F177" s="191">
        <f>+SUMPRODUCT(('Budget original'!$A$8:$A$500=$A177)*('Budget original'!$C$3:$AO$3=F$2),'Budget original'!$C$8:$AO$500)</f>
        <v>211172.57982057863</v>
      </c>
      <c r="G177" s="297">
        <f>+SUMPRODUCT(('Budget révisé'!$A$8:$A$500=$A177)*('Budget révisé'!$C$3:$AO$3=G$2),'Budget révisé'!$C$8:$AO$500)</f>
        <v>1328.9663268152513</v>
      </c>
      <c r="H177" s="191">
        <f>+SUMPRODUCT(('Budget révisé'!$A$8:$A$500=$A177)*('Budget révisé'!$C$3:$AO$3=H$2),'Budget révisé'!$C$8:$AO$500)</f>
        <v>286241.74922315008</v>
      </c>
      <c r="I177" s="191">
        <f>+SUMPRODUCT(('Budget révisé'!$A$8:$A$500=$A177)*('Budget révisé'!$C$3:$AO$3=I$2),'Budget révisé'!$C$8:$AO$500)</f>
        <v>211172.57982057863</v>
      </c>
      <c r="J177" s="319">
        <f>-SUMIFS(BV_Data_An_Cour!$P:$P,BV_Data_An_Cour!$U:$U,$B177,BV_Data_An_Cour!$V:$V,$C177,BV_Data_An_Cour!$W:$W,J$2)</f>
        <v>834</v>
      </c>
      <c r="K177" s="180">
        <f>-SUMIFS(BV_Data_An_Cour!$P:$P,BV_Data_An_Cour!$X:$X,"Oui",BV_Data_An_Cour!$U:$U,$B177,BV_Data_An_Cour!$V:$V,$C177)</f>
        <v>206934.52000000002</v>
      </c>
      <c r="L177" s="174">
        <f>-SUMIFS(BV_Data_An_Cour!$P:$P,BV_Data_An_Cour!$U:$U,$B177,BV_Data_An_Cour!$V:$V,$C177,BV_Data_An_Cour!$W:$W,$L$2)</f>
        <v>144168.44</v>
      </c>
      <c r="M177" s="318">
        <f>(K177-H177)/H177</f>
        <v>-0.2770638086106833</v>
      </c>
      <c r="N177" s="298">
        <f t="shared" ref="N177:N178" si="109">L177-I177</f>
        <v>-67004.139820578624</v>
      </c>
      <c r="O177" s="319">
        <f>-SUMIFS(BV_Data_An_Prec!$P:$P,BV_Data_An_Prec!$U:$U,$B177,BV_Data_An_Prec!$V:$V,$C177,BV_Data_An_Prec!$W:$W,O$2)</f>
        <v>1387</v>
      </c>
      <c r="P177" s="180">
        <f>-SUMIFS(BV_Data_An_Prec!$P:$P,BV_Data_An_Prec!$X:$X,"Oui",BV_Data_An_Prec!$U:$U,$B177,BV_Data_An_Prec!$V:$V,$C177)</f>
        <v>268552.89</v>
      </c>
      <c r="Q177" s="174">
        <f>-SUMIFS(BV_Data_An_Prec!$P:$P,BV_Data_An_Prec!$U:$U,$B177,BV_Data_An_Prec!$V:$V,$C177,BV_Data_An_Prec!$W:$W,$L$2)</f>
        <v>196672.77000000002</v>
      </c>
      <c r="R177" s="318">
        <f>IF(O177=0,0,J177/O177)</f>
        <v>0.60129776496034604</v>
      </c>
      <c r="S177" s="193">
        <f>L177-Q177</f>
        <v>-52504.330000000016</v>
      </c>
      <c r="T177" s="223"/>
      <c r="U177" s="216"/>
      <c r="V177" s="216"/>
      <c r="W177" s="216"/>
      <c r="X177" s="216"/>
      <c r="Y177" s="216"/>
      <c r="Z177" s="216"/>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tr">
        <f t="shared" si="104"/>
        <v>Service% profit / ventes</v>
      </c>
      <c r="B178" s="24" t="s">
        <v>155</v>
      </c>
      <c r="C178" s="258" t="s">
        <v>160</v>
      </c>
      <c r="D178" s="172"/>
      <c r="E178" s="343"/>
      <c r="F178" s="344">
        <f>F177/E177</f>
        <v>0.73774206730392577</v>
      </c>
      <c r="G178" s="297"/>
      <c r="H178" s="343"/>
      <c r="I178" s="344">
        <f>I177/H177</f>
        <v>0.73774206730392577</v>
      </c>
      <c r="J178" s="319"/>
      <c r="K178" s="343"/>
      <c r="L178" s="344">
        <f>IF(L177=0,0,L177/K177)</f>
        <v>0.69668627544597195</v>
      </c>
      <c r="M178" s="318"/>
      <c r="N178" s="298">
        <f t="shared" si="109"/>
        <v>-4.1055791857953827E-2</v>
      </c>
      <c r="O178" s="319"/>
      <c r="P178" s="343"/>
      <c r="Q178" s="344">
        <f>IF(Q177=0,0,Q177/P177)</f>
        <v>0.73234277985241569</v>
      </c>
      <c r="R178" s="319">
        <f>O178-K178</f>
        <v>0</v>
      </c>
      <c r="S178" s="193"/>
      <c r="T178" s="223"/>
      <c r="U178" s="216"/>
      <c r="V178" s="216"/>
      <c r="W178" s="216"/>
      <c r="X178" s="216"/>
      <c r="Y178" s="216"/>
      <c r="Z178" s="216"/>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tr">
        <f t="shared" si="104"/>
        <v>Service</v>
      </c>
      <c r="B179" s="24" t="s">
        <v>155</v>
      </c>
      <c r="C179" s="258"/>
      <c r="D179" s="172"/>
      <c r="E179" s="185"/>
      <c r="F179" s="186"/>
      <c r="G179" s="297"/>
      <c r="H179" s="185"/>
      <c r="I179" s="353"/>
      <c r="J179" s="319"/>
      <c r="K179" s="361"/>
      <c r="L179" s="344"/>
      <c r="M179" s="318"/>
      <c r="N179" s="298"/>
      <c r="O179" s="319"/>
      <c r="P179" s="361"/>
      <c r="Q179" s="344"/>
      <c r="R179" s="205"/>
      <c r="S179" s="193"/>
      <c r="T179" s="223"/>
      <c r="U179" s="216"/>
      <c r="V179" s="216"/>
      <c r="W179" s="216"/>
      <c r="X179" s="216"/>
      <c r="Y179" s="216"/>
      <c r="Z179" s="216"/>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tr">
        <f t="shared" si="104"/>
        <v>ServiceM/O Esthétique</v>
      </c>
      <c r="B180" s="24" t="s">
        <v>155</v>
      </c>
      <c r="C180" s="345" t="s">
        <v>163</v>
      </c>
      <c r="D180" s="346">
        <f>+SUMPRODUCT(('Budget original'!$A$8:$A$500=$A180)*('Budget original'!$C$3:$AO$3=D$2),'Budget original'!$C$8:$AO$500)</f>
        <v>0</v>
      </c>
      <c r="E180" s="191">
        <f>+SUMPRODUCT(('Budget original'!$A$8:$A$500=$A180)*('Budget original'!$C$3:$AO$3=E$2),'Budget original'!$C$8:$AO$500)</f>
        <v>1653.9327511999202</v>
      </c>
      <c r="F180" s="191">
        <f>+SUMPRODUCT(('Budget original'!$A$8:$A$500=$A180)*('Budget original'!$C$3:$AO$3=F$2),'Budget original'!$C$8:$AO$500)</f>
        <v>625.43560238977318</v>
      </c>
      <c r="G180" s="362">
        <f>+SUMPRODUCT(('Budget révisé'!$A$8:$A$500=$A180)*('Budget révisé'!$C$3:$AO$3=G$2),'Budget révisé'!$C$8:$AO$500)</f>
        <v>0</v>
      </c>
      <c r="H180" s="191">
        <f>+SUMPRODUCT(('Budget révisé'!$A$8:$A$500=$A180)*('Budget révisé'!$C$3:$AO$3=H$2),'Budget révisé'!$C$8:$AO$500)</f>
        <v>1653.9327511999202</v>
      </c>
      <c r="I180" s="191">
        <f>+SUMPRODUCT(('Budget révisé'!$A$8:$A$500=$A180)*('Budget révisé'!$C$3:$AO$3=I$2),'Budget révisé'!$C$8:$AO$500)</f>
        <v>625.43560238977318</v>
      </c>
      <c r="J180" s="348">
        <f>-SUMIFS(BV_Data_An_Cour!$P:$P,BV_Data_An_Cour!$U:$U,$B180,BV_Data_An_Cour!$V:$V,$C180,BV_Data_An_Cour!$W:$W,J$2)</f>
        <v>0</v>
      </c>
      <c r="K180" s="180">
        <f>-SUMIFS(BV_Data_An_Cour!$P:$P,BV_Data_An_Cour!$X:$X,"Oui",BV_Data_An_Cour!$U:$U,$B180,BV_Data_An_Cour!$V:$V,$C180)</f>
        <v>4931.75</v>
      </c>
      <c r="L180" s="175">
        <f>-SUMIFS(BV_Data_An_Cour!$P:$P,BV_Data_An_Cour!$U:$U,$B180,BV_Data_An_Cour!$V:$V,$C180,BV_Data_An_Cour!$W:$W,$L$2)</f>
        <v>4408.59</v>
      </c>
      <c r="M180" s="349">
        <f>IF(H180=0,0,(K180-H180)/H180)</f>
        <v>1.9818322398066304</v>
      </c>
      <c r="N180" s="350">
        <f>L180-I180</f>
        <v>3783.1543976102271</v>
      </c>
      <c r="O180" s="348">
        <f>-SUMIFS(BV_Data_An_Prec!$P:$P,BV_Data_An_Prec!$U:$U,$B180,BV_Data_An_Prec!$V:$V,$C180,BV_Data_An_Prec!$W:$W,O$2)</f>
        <v>0</v>
      </c>
      <c r="P180" s="180">
        <f>-SUMIFS(BV_Data_An_Prec!$P:$P,BV_Data_An_Prec!$X:$X,"Oui",BV_Data_An_Prec!$U:$U,$B180,BV_Data_An_Prec!$V:$V,$C180)</f>
        <v>2123.4699999999998</v>
      </c>
      <c r="Q180" s="175">
        <f>-SUMIFS(BV_Data_An_Prec!$P:$P,BV_Data_An_Prec!$U:$U,$B180,BV_Data_An_Prec!$V:$V,$C180,BV_Data_An_Prec!$W:$W,$L$2)</f>
        <v>1887.1099999999997</v>
      </c>
      <c r="R180" s="318">
        <f>IF(O180=0,0,J180/O180)</f>
        <v>0</v>
      </c>
      <c r="S180" s="195">
        <f>L180-Q180</f>
        <v>2521.4800000000005</v>
      </c>
      <c r="T180" s="223"/>
      <c r="U180" s="216"/>
      <c r="V180" s="216"/>
      <c r="W180" s="216"/>
      <c r="X180" s="216"/>
      <c r="Y180" s="216"/>
      <c r="Z180" s="216"/>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tr">
        <f t="shared" si="104"/>
        <v>Service% profit / ventes</v>
      </c>
      <c r="B181" s="24" t="s">
        <v>155</v>
      </c>
      <c r="C181" s="258" t="s">
        <v>160</v>
      </c>
      <c r="D181" s="363"/>
      <c r="E181" s="364"/>
      <c r="F181" s="344">
        <f>IFERROR(F180/E180,0)</f>
        <v>0.37815056382191037</v>
      </c>
      <c r="G181" s="307"/>
      <c r="H181" s="364"/>
      <c r="I181" s="344">
        <f>IFERROR(I180/H180,0)</f>
        <v>0.37815056382191037</v>
      </c>
      <c r="J181" s="365"/>
      <c r="K181" s="364">
        <f>IF(J181&lt;=0,0,L181/J181)</f>
        <v>0</v>
      </c>
      <c r="L181" s="344">
        <f>IF(L180=0,0,L180/K180)</f>
        <v>0.89392000811071126</v>
      </c>
      <c r="M181" s="319">
        <f>J181-G181</f>
        <v>0</v>
      </c>
      <c r="N181" s="366"/>
      <c r="O181" s="365"/>
      <c r="P181" s="364">
        <f>IF(O181&lt;=0,0,Q181/O181)</f>
        <v>0</v>
      </c>
      <c r="Q181" s="344">
        <f>IF(Q180=0,0,Q180/P180)</f>
        <v>0.88869162267420776</v>
      </c>
      <c r="R181" s="297"/>
      <c r="S181" s="367"/>
      <c r="T181" s="519"/>
      <c r="U181" s="216"/>
      <c r="V181" s="216"/>
      <c r="W181" s="216"/>
      <c r="X181" s="216"/>
      <c r="Y181" s="216"/>
      <c r="Z181" s="216"/>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tr">
        <f t="shared" si="104"/>
        <v>Service</v>
      </c>
      <c r="B182" s="24" t="s">
        <v>155</v>
      </c>
      <c r="C182" s="320"/>
      <c r="D182" s="368"/>
      <c r="E182" s="369"/>
      <c r="F182" s="353"/>
      <c r="G182" s="370"/>
      <c r="H182" s="369"/>
      <c r="I182" s="353"/>
      <c r="J182" s="371"/>
      <c r="K182" s="178"/>
      <c r="L182" s="353"/>
      <c r="M182" s="333"/>
      <c r="N182" s="372"/>
      <c r="O182" s="371"/>
      <c r="P182" s="178"/>
      <c r="Q182" s="353"/>
      <c r="R182" s="304"/>
      <c r="S182" s="373"/>
      <c r="T182" s="519"/>
      <c r="U182" s="216"/>
      <c r="V182" s="216"/>
      <c r="W182" s="216"/>
      <c r="X182" s="216"/>
      <c r="Y182" s="216"/>
      <c r="Z182" s="216"/>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tr">
        <f t="shared" si="104"/>
        <v>ServiceAjustement M/O</v>
      </c>
      <c r="B183" s="24" t="s">
        <v>155</v>
      </c>
      <c r="C183" s="258" t="s">
        <v>164</v>
      </c>
      <c r="D183" s="172"/>
      <c r="E183" s="172"/>
      <c r="F183" s="298">
        <f>+SUMPRODUCT(('Budget original'!$A$8:$A$500=$A183)*('Budget original'!$C$3:$AO$3=F$2),'Budget original'!$C$8:$AO$500)</f>
        <v>-17948.46612971674</v>
      </c>
      <c r="G183" s="297"/>
      <c r="H183" s="191"/>
      <c r="I183" s="191">
        <f>+SUMPRODUCT(('Budget révisé'!$A$8:$A$500=$A183)*('Budget révisé'!$C$3:$AO$3=I$2),'Budget révisé'!$C$8:$AO$500)</f>
        <v>-17948.46612971674</v>
      </c>
      <c r="J183" s="319"/>
      <c r="K183" s="191"/>
      <c r="L183" s="191">
        <f>-SUMIFS(BV_Data_An_Cour!$P:$P,BV_Data_An_Cour!$U:$U,$B183,BV_Data_An_Cour!$V:$V,$C183,BV_Data_An_Cour!$W:$W,$L$2)</f>
        <v>-13241</v>
      </c>
      <c r="M183" s="365"/>
      <c r="N183" s="298">
        <f t="shared" ref="N183:N184" si="110">L183-I183</f>
        <v>4707.4661297167404</v>
      </c>
      <c r="O183" s="319"/>
      <c r="P183" s="191"/>
      <c r="Q183" s="174">
        <f>-SUMIFS(BV_Data_An_Prec!$P:$P,BV_Data_An_Prec!$U:$U,$B183,BV_Data_An_Prec!$V:$V,$C183,BV_Data_An_Prec!$W:$W,$L$2)</f>
        <v>-15645.82</v>
      </c>
      <c r="R183" s="203"/>
      <c r="S183" s="193">
        <f t="shared" ref="S183:S184" si="111">L183-Q183</f>
        <v>2404.8199999999997</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tr">
        <f t="shared" si="104"/>
        <v>ServiceSous-total M/O</v>
      </c>
      <c r="B184" s="24" t="s">
        <v>155</v>
      </c>
      <c r="C184" s="374" t="s">
        <v>165</v>
      </c>
      <c r="D184" s="58"/>
      <c r="E184" s="58">
        <f t="shared" ref="E184:F184" si="112">E171+E174+E177+E180+E183</f>
        <v>1161696.9936961608</v>
      </c>
      <c r="F184" s="59">
        <f t="shared" si="112"/>
        <v>836225.42418673867</v>
      </c>
      <c r="G184" s="60">
        <f t="shared" ref="G184:L184" si="113">G171+G174+G177+G180+G183</f>
        <v>5154.5601311991959</v>
      </c>
      <c r="H184" s="58">
        <f t="shared" si="113"/>
        <v>1161696.9936961608</v>
      </c>
      <c r="I184" s="59">
        <f t="shared" si="113"/>
        <v>836225.42418673867</v>
      </c>
      <c r="J184" s="60">
        <f t="shared" si="113"/>
        <v>4548</v>
      </c>
      <c r="K184" s="58">
        <f t="shared" si="113"/>
        <v>1016451.1499999999</v>
      </c>
      <c r="L184" s="59">
        <f t="shared" si="113"/>
        <v>745575.16999999981</v>
      </c>
      <c r="M184" s="61">
        <f>(K184-H184)/H184</f>
        <v>-0.12502902605784796</v>
      </c>
      <c r="N184" s="59">
        <f t="shared" si="110"/>
        <v>-90650.254186738865</v>
      </c>
      <c r="O184" s="60">
        <f t="shared" ref="O184:Q184" si="114">O171+O174+O177+O180+O183</f>
        <v>4825</v>
      </c>
      <c r="P184" s="58">
        <f t="shared" si="114"/>
        <v>1033175.38</v>
      </c>
      <c r="Q184" s="59">
        <f t="shared" si="114"/>
        <v>745945.20000000007</v>
      </c>
      <c r="R184" s="375">
        <f>IF(O184=0,0,J184/O184)</f>
        <v>0.94259067357512949</v>
      </c>
      <c r="S184" s="376">
        <f t="shared" si="111"/>
        <v>-370.03000000026077</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tr">
        <f t="shared" si="104"/>
        <v>Service% protit / ventes</v>
      </c>
      <c r="B185" s="24" t="s">
        <v>155</v>
      </c>
      <c r="C185" s="377" t="s">
        <v>166</v>
      </c>
      <c r="D185" s="62"/>
      <c r="E185" s="62"/>
      <c r="F185" s="63">
        <f>F184/E184</f>
        <v>0.7198309272765937</v>
      </c>
      <c r="G185" s="64"/>
      <c r="H185" s="65">
        <f>IF(G184=0,0,H184/G184)</f>
        <v>225.37267276497846</v>
      </c>
      <c r="I185" s="326">
        <f>I184/H184</f>
        <v>0.7198309272765937</v>
      </c>
      <c r="J185" s="64"/>
      <c r="K185" s="65">
        <f>IF(J184=0,0,K184/J184)</f>
        <v>223.49409630606857</v>
      </c>
      <c r="L185" s="326">
        <f>IF(L184=0,0,L184/K184)</f>
        <v>0.73350811792578507</v>
      </c>
      <c r="M185" s="64"/>
      <c r="N185" s="63">
        <f>N184/I184</f>
        <v>-0.10840408765961608</v>
      </c>
      <c r="O185" s="64"/>
      <c r="P185" s="65">
        <f>IF(O184=0,0,P184/O184)</f>
        <v>214.12961243523316</v>
      </c>
      <c r="Q185" s="326">
        <f>IF(Q184=0,0,Q184/P184)</f>
        <v>0.72199281403705151</v>
      </c>
      <c r="R185" s="64"/>
      <c r="S185" s="327">
        <f>IF(Q184=0,0,(S184/Q184))</f>
        <v>-4.9605520620048325E-4</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tr">
        <f t="shared" si="104"/>
        <v>Service</v>
      </c>
      <c r="B186" s="24" t="s">
        <v>155</v>
      </c>
      <c r="C186" s="378"/>
      <c r="D186" s="217"/>
      <c r="E186" s="218"/>
      <c r="F186" s="219"/>
      <c r="G186" s="220"/>
      <c r="H186" s="218"/>
      <c r="I186" s="219"/>
      <c r="J186" s="220"/>
      <c r="K186" s="218"/>
      <c r="L186" s="219"/>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5.75" customHeight="1">
      <c r="A187" s="564" t="str">
        <f t="shared" si="104"/>
        <v>ServiceSous-traitement</v>
      </c>
      <c r="B187" s="24" t="s">
        <v>155</v>
      </c>
      <c r="C187" s="285" t="s">
        <v>167</v>
      </c>
      <c r="D187" s="222"/>
      <c r="E187" s="222">
        <f>+SUMPRODUCT(('Budget original'!$A$8:$A$500=$A187)*('Budget original'!$C$3:$AO$3=E$2),'Budget original'!$C$8:$AO$500)</f>
        <v>128392.88599582808</v>
      </c>
      <c r="F187" s="222">
        <f>+SUMPRODUCT(('Budget original'!$A$8:$A$500=$A187)*('Budget original'!$C$3:$AO$3=F$2),'Budget original'!$C$8:$AO$500)</f>
        <v>28134.180250254871</v>
      </c>
      <c r="G187" s="224"/>
      <c r="H187" s="222">
        <f>+SUMPRODUCT(('Budget révisé'!$A$8:$A$500=$A187)*('Budget révisé'!$C$3:$AO$3=H$2),'Budget révisé'!$C$8:$AO$500)</f>
        <v>128392.88599582808</v>
      </c>
      <c r="I187" s="222">
        <f>+SUMPRODUCT(('Budget révisé'!$A$8:$A$500=$A187)*('Budget révisé'!$C$3:$AO$3=I$2),'Budget révisé'!$C$8:$AO$500)</f>
        <v>28134.180250254871</v>
      </c>
      <c r="J187" s="224"/>
      <c r="K187" s="225">
        <f>-SUMIFS(BV_Data_An_Cour!$P:$P,BV_Data_An_Cour!$X:$X,"Oui",BV_Data_An_Cour!$U:$U,$B187,BV_Data_An_Cour!$V:$V,$C187)</f>
        <v>102147.8</v>
      </c>
      <c r="L187" s="275">
        <f>-SUMIFS(BV_Data_An_Cour!$P:$P,BV_Data_An_Cour!$U:$U,$B187,BV_Data_An_Cour!$V:$V,$C187,BV_Data_An_Cour!$W:$W,$L$2)</f>
        <v>22951.690000000002</v>
      </c>
      <c r="M187" s="505">
        <f>IF(H187=0,0,(K187-H187)/H187)</f>
        <v>-0.20441230674323241</v>
      </c>
      <c r="N187" s="226">
        <f>L187-I187</f>
        <v>-5182.4902502548684</v>
      </c>
      <c r="O187" s="224"/>
      <c r="P187" s="225">
        <f>-SUMIFS(BV_Data_An_Prec!$P:$P,BV_Data_An_Prec!$X:$X,"Oui",BV_Data_An_Prec!$U:$U,$B187,BV_Data_An_Prec!$V:$V,$C187)</f>
        <v>112799.14</v>
      </c>
      <c r="Q187" s="275">
        <f>-SUMIFS(BV_Data_An_Prec!$P:$P,BV_Data_An_Prec!$U:$U,$B187,BV_Data_An_Prec!$V:$V,$C187,BV_Data_An_Prec!$W:$W,$L$2)</f>
        <v>23330.119999999995</v>
      </c>
      <c r="R187" s="380">
        <f>IF(O187=0,0,J187/O187)</f>
        <v>0</v>
      </c>
      <c r="S187" s="278">
        <f>L187-Q187</f>
        <v>-378.42999999999302</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15.75" customHeight="1">
      <c r="A188" s="564" t="str">
        <f t="shared" si="104"/>
        <v>Service% profit / ventes</v>
      </c>
      <c r="B188" s="24" t="s">
        <v>155</v>
      </c>
      <c r="C188" s="285" t="s">
        <v>160</v>
      </c>
      <c r="D188" s="227"/>
      <c r="E188" s="228"/>
      <c r="F188" s="229">
        <f>IFERROR(F187/E187,0)</f>
        <v>0.21912569401367804</v>
      </c>
      <c r="G188" s="221"/>
      <c r="H188" s="228"/>
      <c r="I188" s="229">
        <f>IFERROR(I187/H187,0)</f>
        <v>0.21912569401367804</v>
      </c>
      <c r="J188" s="230"/>
      <c r="K188" s="231"/>
      <c r="L188" s="229">
        <f>IF(L187=0,0,L187/K187)</f>
        <v>0.22469098698160903</v>
      </c>
      <c r="M188" s="230"/>
      <c r="N188" s="232"/>
      <c r="O188" s="230"/>
      <c r="P188" s="231"/>
      <c r="Q188" s="229">
        <f>IF(Q187=0,0,Q187/P187)</f>
        <v>0.20682888185140413</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tr">
        <f t="shared" si="104"/>
        <v>Service</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tr">
        <f t="shared" si="104"/>
        <v>ServiceM.O. Recond. MCPA</v>
      </c>
      <c r="B190" s="24" t="s">
        <v>155</v>
      </c>
      <c r="C190" s="285" t="s">
        <v>168</v>
      </c>
      <c r="D190" s="227"/>
      <c r="E190" s="222">
        <f>+SUMPRODUCT(('Budget original'!$A$8:$A$500=$A190)*('Budget original'!$C$3:$AO$3=E$2),'Budget original'!$C$8:$AO$500)</f>
        <v>0</v>
      </c>
      <c r="F190" s="222">
        <f>+SUMPRODUCT(('Budget original'!$A$8:$A$500=$A190)*('Budget original'!$C$3:$AO$3=F$2),'Budget original'!$C$8:$AO$500)</f>
        <v>0</v>
      </c>
      <c r="G190" s="221"/>
      <c r="H190" s="222">
        <f>+SUMPRODUCT(('Budget révisé'!$A$8:$A$500=$A190)*('Budget révisé'!$C$3:$AO$3=H$2),'Budget révisé'!$C$8:$AO$500)</f>
        <v>0</v>
      </c>
      <c r="I190" s="222">
        <f>+SUMPRODUCT(('Budget révisé'!$A$8:$A$500=$A190)*('Budget révisé'!$C$3:$AO$3=I$2),'Budget révisé'!$C$8:$AO$500)</f>
        <v>0</v>
      </c>
      <c r="J190" s="230"/>
      <c r="K190" s="225">
        <f>-SUMIFS(BV_Data_An_Cour!$P:$P,BV_Data_An_Cour!$X:$X,"Oui",BV_Data_An_Cour!$U:$U,$B190,BV_Data_An_Cour!$V:$V,$C190)</f>
        <v>0</v>
      </c>
      <c r="L190" s="229"/>
      <c r="M190" s="230"/>
      <c r="N190" s="232"/>
      <c r="O190" s="230"/>
      <c r="P190" s="225">
        <f>-SUMIFS(BV_Data_An_Prec!$P:$P,BV_Data_An_Prec!$X:$X,"Oui",BV_Data_An_Prec!$U:$U,$B190,BV_Data_An_Prec!$V:$V,$C190)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tr">
        <f t="shared" si="104"/>
        <v>Service% profit / ventes</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tr">
        <f t="shared" si="104"/>
        <v>Service</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15.75" customHeight="1" thickTop="1">
      <c r="A193" s="564" t="str">
        <f t="shared" si="104"/>
        <v>ServiceTotal Mécanique</v>
      </c>
      <c r="B193" s="24" t="s">
        <v>155</v>
      </c>
      <c r="C193" s="263" t="s">
        <v>169</v>
      </c>
      <c r="D193" s="26"/>
      <c r="E193" s="26">
        <f t="shared" ref="E193:F193" si="115">E184+E187+E190</f>
        <v>1290089.8796919889</v>
      </c>
      <c r="F193" s="28">
        <f t="shared" si="115"/>
        <v>864359.6044369936</v>
      </c>
      <c r="G193" s="29"/>
      <c r="H193" s="26">
        <f t="shared" ref="H193:I193" si="116">H184+H187+H190</f>
        <v>1290089.8796919889</v>
      </c>
      <c r="I193" s="28">
        <f t="shared" si="116"/>
        <v>864359.6044369936</v>
      </c>
      <c r="J193" s="29"/>
      <c r="K193" s="26">
        <f>K184+K187+K190</f>
        <v>1118598.95</v>
      </c>
      <c r="L193" s="28">
        <f t="shared" ref="L193" si="117">L184+L187+L190</f>
        <v>768526.85999999987</v>
      </c>
      <c r="M193" s="70">
        <f>L194-I194</f>
        <v>1.7044622391961917E-2</v>
      </c>
      <c r="N193" s="28">
        <f>L193-I193</f>
        <v>-95832.744436993729</v>
      </c>
      <c r="O193" s="29"/>
      <c r="P193" s="26">
        <f>P184+P187+P190</f>
        <v>1145974.52</v>
      </c>
      <c r="Q193" s="28">
        <f t="shared" ref="Q193" si="118">Q184+Q187+Q190</f>
        <v>769275.32000000007</v>
      </c>
      <c r="R193" s="70">
        <f>L194-Q194</f>
        <v>1.5759307723613336E-2</v>
      </c>
      <c r="S193" s="357">
        <f>L193-Q193</f>
        <v>-748.46000000019558</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15.75" customHeight="1" thickBot="1">
      <c r="A194" s="564" t="str">
        <f t="shared" si="104"/>
        <v>Service</v>
      </c>
      <c r="B194" s="24" t="s">
        <v>155</v>
      </c>
      <c r="C194" s="358"/>
      <c r="D194" s="359"/>
      <c r="E194" s="359"/>
      <c r="F194" s="34">
        <f>F193/E193</f>
        <v>0.66999952332263923</v>
      </c>
      <c r="G194" s="31"/>
      <c r="H194" s="359"/>
      <c r="I194" s="34">
        <f>I193/H193</f>
        <v>0.66999952332263923</v>
      </c>
      <c r="J194" s="31"/>
      <c r="K194" s="359"/>
      <c r="L194" s="34">
        <f>L193/K193</f>
        <v>0.68704414571460115</v>
      </c>
      <c r="M194" s="33"/>
      <c r="N194" s="34">
        <f>N193/I193</f>
        <v>-0.11087138263410057</v>
      </c>
      <c r="O194" s="31"/>
      <c r="P194" s="359"/>
      <c r="Q194" s="34">
        <f>Q193/P193</f>
        <v>0.67128483799098781</v>
      </c>
      <c r="R194" s="33"/>
      <c r="S194" s="266">
        <f>L193/S193</f>
        <v>-1026.8108649758158</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tr">
        <f t="shared" si="104"/>
        <v>Service</v>
      </c>
      <c r="B195" s="24" t="s">
        <v>155</v>
      </c>
      <c r="C195" s="267"/>
      <c r="D195" s="235"/>
      <c r="E195" s="235"/>
      <c r="F195" s="236"/>
      <c r="G195" s="234"/>
      <c r="H195" s="235"/>
      <c r="I195" s="236"/>
      <c r="J195" s="234"/>
      <c r="K195" s="235"/>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tr">
        <f t="shared" si="104"/>
        <v>ServiceDEPENSES</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tr">
        <f t="shared" si="104"/>
        <v>ServiceSalaires cadres</v>
      </c>
      <c r="B197" s="24" t="s">
        <v>155</v>
      </c>
      <c r="C197" s="299" t="s">
        <v>112</v>
      </c>
      <c r="D197" s="172"/>
      <c r="E197" s="172"/>
      <c r="F197" s="173">
        <f>+SUMPRODUCT(('Budget original'!$A$8:$A$500=$A197)*('Budget original'!$C$3:$AO$3=F$2),'Budget original'!$C$8:$AO$500)</f>
        <v>56763.646264367824</v>
      </c>
      <c r="G197" s="297"/>
      <c r="H197" s="172"/>
      <c r="I197" s="173">
        <f>+SUMPRODUCT(('Budget révisé'!$A$8:$A$500=$A197)*('Budget révisé'!$C$3:$AO$3=I$2),'Budget révisé'!$C$8:$AO$500)</f>
        <v>56763.646264367824</v>
      </c>
      <c r="J197" s="297"/>
      <c r="K197" s="172"/>
      <c r="L197" s="174">
        <f>SUMIFS(BV_Data_An_Cour!$P:$P,BV_Data_An_Cour!$U:$U,$B197,BV_Data_An_Cour!$V:$V,$C197,BV_Data_An_Cour!$W:$W,$L$2)</f>
        <v>48677.93</v>
      </c>
      <c r="M197" s="297"/>
      <c r="N197" s="298">
        <f t="shared" ref="N197:N228" si="119">L197-I197</f>
        <v>-8085.7162643678239</v>
      </c>
      <c r="O197" s="297"/>
      <c r="P197" s="172"/>
      <c r="Q197" s="174">
        <f>SUMIFS(BV_Data_An_Prec!$P:$P,BV_Data_An_Prec!$U:$U,$B197,BV_Data_An_Prec!$V:$V,$C197,BV_Data_An_Prec!$W:$W,$L$2)</f>
        <v>59025.09</v>
      </c>
      <c r="R197" s="297"/>
      <c r="S197" s="393">
        <f>L197-Q197</f>
        <v>-10347.159999999996</v>
      </c>
      <c r="T197" s="227"/>
      <c r="U197" s="227"/>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tr">
        <f t="shared" si="104"/>
        <v>ServiceSalaires commis</v>
      </c>
      <c r="B198" s="24" t="s">
        <v>155</v>
      </c>
      <c r="C198" s="300" t="s">
        <v>113</v>
      </c>
      <c r="D198" s="295"/>
      <c r="E198" s="172"/>
      <c r="F198" s="171">
        <f>+SUMPRODUCT(('Budget original'!$A$8:$A$500=$A198)*('Budget original'!$C$3:$AO$3=F$2),'Budget original'!$C$8:$AO$500)</f>
        <v>47844.961932779697</v>
      </c>
      <c r="G198" s="296"/>
      <c r="H198" s="172"/>
      <c r="I198" s="171">
        <f>+SUMPRODUCT(('Budget révisé'!$A$8:$A$500=$A198)*('Budget révisé'!$C$3:$AO$3=I$2),'Budget révisé'!$C$8:$AO$500)</f>
        <v>47844.961932779697</v>
      </c>
      <c r="J198" s="297"/>
      <c r="K198" s="172"/>
      <c r="L198" s="174">
        <f>SUMIFS(BV_Data_An_Cour!$P:$P,BV_Data_An_Cour!$U:$U,$B198,BV_Data_An_Cour!$V:$V,$C198,BV_Data_An_Cour!$W:$W,$L$2)</f>
        <v>40321.730000000003</v>
      </c>
      <c r="M198" s="297"/>
      <c r="N198" s="298">
        <f t="shared" si="119"/>
        <v>-7523.231932779694</v>
      </c>
      <c r="O198" s="297"/>
      <c r="P198" s="172"/>
      <c r="Q198" s="174">
        <f>SUMIFS(BV_Data_An_Prec!$P:$P,BV_Data_An_Prec!$U:$U,$B198,BV_Data_An_Prec!$V:$V,$C198,BV_Data_An_Prec!$W:$W,$L$2)</f>
        <v>40926.76</v>
      </c>
      <c r="R198" s="297"/>
      <c r="S198" s="193">
        <f t="shared" ref="S198:S228" si="120">L198-Q198</f>
        <v>-605.02999999999884</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15.75" customHeight="1">
      <c r="A199" s="564" t="str">
        <f t="shared" si="104"/>
        <v>ServiceSalaires autres</v>
      </c>
      <c r="B199" s="24" t="s">
        <v>155</v>
      </c>
      <c r="C199" s="299" t="s">
        <v>114</v>
      </c>
      <c r="D199" s="386"/>
      <c r="E199" s="346"/>
      <c r="F199" s="173">
        <f>+SUMPRODUCT(('Budget original'!$A$8:$A$500=$A199)*('Budget original'!$C$3:$AO$3=F$2),'Budget original'!$C$8:$AO$500)</f>
        <v>71971.56770104215</v>
      </c>
      <c r="G199" s="387"/>
      <c r="H199" s="346"/>
      <c r="I199" s="173">
        <f>+SUMPRODUCT(('Budget révisé'!$A$8:$A$500=$A199)*('Budget révisé'!$C$3:$AO$3=I$2),'Budget révisé'!$C$8:$AO$500)</f>
        <v>71971.56770104215</v>
      </c>
      <c r="J199" s="362"/>
      <c r="K199" s="346"/>
      <c r="L199" s="175">
        <f>SUMIFS(BV_Data_An_Cour!$P:$P,BV_Data_An_Cour!$U:$U,$B199,BV_Data_An_Cour!$V:$V,$C199,BV_Data_An_Cour!$W:$W,$L$2)</f>
        <v>92310.39</v>
      </c>
      <c r="M199" s="362"/>
      <c r="N199" s="350">
        <f t="shared" si="119"/>
        <v>20338.82229895785</v>
      </c>
      <c r="O199" s="362"/>
      <c r="P199" s="346"/>
      <c r="Q199" s="175">
        <f>SUMIFS(BV_Data_An_Prec!$P:$P,BV_Data_An_Prec!$U:$U,$B199,BV_Data_An_Prec!$V:$V,$C199,BV_Data_An_Prec!$W:$W,$L$2)</f>
        <v>60106.92</v>
      </c>
      <c r="R199" s="362"/>
      <c r="S199" s="195">
        <f t="shared" si="120"/>
        <v>32203.47</v>
      </c>
      <c r="T199" s="216"/>
      <c r="U199" s="216" t="s">
        <v>3430</v>
      </c>
      <c r="V199" s="216"/>
      <c r="W199" s="216"/>
      <c r="X199" s="216"/>
      <c r="Y199" s="216"/>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15.75" customHeight="1">
      <c r="A200" s="564" t="str">
        <f t="shared" si="104"/>
        <v>ServiceSalaires spécialistes</v>
      </c>
      <c r="B200" s="24" t="s">
        <v>155</v>
      </c>
      <c r="C200" s="299" t="s">
        <v>115</v>
      </c>
      <c r="D200" s="295"/>
      <c r="E200" s="172"/>
      <c r="F200" s="173">
        <f>+SUMPRODUCT(('Budget original'!$A$8:$A$500=$A200)*('Budget original'!$C$3:$AO$3=F$2),'Budget original'!$C$8:$AO$500)</f>
        <v>144340.11142395827</v>
      </c>
      <c r="G200" s="296"/>
      <c r="H200" s="172"/>
      <c r="I200" s="173">
        <f>+SUMPRODUCT(('Budget révisé'!$A$8:$A$500=$A200)*('Budget révisé'!$C$3:$AO$3=I$2),'Budget révisé'!$C$8:$AO$500)</f>
        <v>144340.11142395827</v>
      </c>
      <c r="J200" s="297"/>
      <c r="K200" s="172"/>
      <c r="L200" s="174">
        <f>SUMIFS(BV_Data_An_Cour!$P:$P,BV_Data_An_Cour!$U:$U,$B200,BV_Data_An_Cour!$V:$V,$C200,BV_Data_An_Cour!$W:$W,$L$2)</f>
        <v>121932.21</v>
      </c>
      <c r="M200" s="297"/>
      <c r="N200" s="298">
        <f t="shared" si="119"/>
        <v>-22407.901423958261</v>
      </c>
      <c r="O200" s="297"/>
      <c r="P200" s="172"/>
      <c r="Q200" s="174">
        <f>SUMIFS(BV_Data_An_Prec!$P:$P,BV_Data_An_Prec!$U:$U,$B200,BV_Data_An_Prec!$V:$V,$C200,BV_Data_An_Prec!$W:$W,$L$2)</f>
        <v>113080.27</v>
      </c>
      <c r="R200" s="297"/>
      <c r="S200" s="193">
        <f t="shared" si="120"/>
        <v>8851.9400000000023</v>
      </c>
      <c r="T200" s="216"/>
      <c r="U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tr">
        <f t="shared" si="104"/>
        <v>Service[...]</v>
      </c>
      <c r="B201" s="24" t="s">
        <v>155</v>
      </c>
      <c r="C201" s="258" t="s">
        <v>42</v>
      </c>
      <c r="D201" s="295"/>
      <c r="E201" s="172"/>
      <c r="F201" s="173">
        <f>+SUMPRODUCT(('Budget original'!$A$8:$A$500=$A201)*('Budget original'!$C$3:$AO$3=F$2),'Budget original'!$C$8:$AO$500)</f>
        <v>0</v>
      </c>
      <c r="G201" s="296"/>
      <c r="H201" s="172"/>
      <c r="I201" s="173">
        <f>+SUMPRODUCT(('Budget révisé'!$A$8:$A$500=$A201)*('Budget révisé'!$C$3:$AO$3=I$2),'Budget révisé'!$C$8:$AO$500)</f>
        <v>0</v>
      </c>
      <c r="J201" s="297"/>
      <c r="K201" s="172"/>
      <c r="L201" s="174">
        <f>SUMIFS(BV_Data_An_Cour!$P:$P,BV_Data_An_Cour!$U:$U,$B201,BV_Data_An_Cour!$V:$V,$C201,BV_Data_An_Cour!$W:$W,$L$2)</f>
        <v>0</v>
      </c>
      <c r="M201" s="297"/>
      <c r="N201" s="298">
        <f t="shared" si="119"/>
        <v>0</v>
      </c>
      <c r="O201" s="297"/>
      <c r="P201" s="172"/>
      <c r="Q201" s="174">
        <f>SUMIFS(BV_Data_An_Prec!$P:$P,BV_Data_An_Prec!$U:$U,$B201,BV_Data_An_Prec!$V:$V,$C201,BV_Data_An_Prec!$W:$W,$L$2)</f>
        <v>0</v>
      </c>
      <c r="R201" s="297"/>
      <c r="S201" s="193">
        <f t="shared" si="120"/>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tr">
        <f t="shared" si="104"/>
        <v>Service[...]</v>
      </c>
      <c r="B202" s="24" t="s">
        <v>155</v>
      </c>
      <c r="C202" s="258" t="s">
        <v>42</v>
      </c>
      <c r="D202" s="295"/>
      <c r="E202" s="172"/>
      <c r="F202" s="173">
        <f>+SUMPRODUCT(('Budget original'!$A$8:$A$500=$A202)*('Budget original'!$C$3:$AO$3=F$2),'Budget original'!$C$8:$AO$500)</f>
        <v>0</v>
      </c>
      <c r="G202" s="296"/>
      <c r="H202" s="172"/>
      <c r="I202" s="173">
        <f>+SUMPRODUCT(('Budget révisé'!$A$8:$A$500=$A202)*('Budget révisé'!$C$3:$AO$3=I$2),'Budget révisé'!$C$8:$AO$500)</f>
        <v>0</v>
      </c>
      <c r="J202" s="297"/>
      <c r="K202" s="172"/>
      <c r="L202" s="174">
        <f>SUMIFS(BV_Data_An_Cour!$P:$P,BV_Data_An_Cour!$U:$U,$B202,BV_Data_An_Cour!$V:$V,$C202,BV_Data_An_Cour!$W:$W,$L$2)</f>
        <v>0</v>
      </c>
      <c r="M202" s="297"/>
      <c r="N202" s="298">
        <f t="shared" si="119"/>
        <v>0</v>
      </c>
      <c r="O202" s="297"/>
      <c r="P202" s="172"/>
      <c r="Q202" s="174">
        <f>SUMIFS(BV_Data_An_Prec!$P:$P,BV_Data_An_Prec!$U:$U,$B202,BV_Data_An_Prec!$V:$V,$C202,BV_Data_An_Prec!$W:$W,$L$2)</f>
        <v>0</v>
      </c>
      <c r="R202" s="297"/>
      <c r="S202" s="193">
        <f t="shared" si="120"/>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tr">
        <f t="shared" si="104"/>
        <v>Service[...]</v>
      </c>
      <c r="B203" s="24" t="s">
        <v>155</v>
      </c>
      <c r="C203" s="258" t="s">
        <v>42</v>
      </c>
      <c r="D203" s="295"/>
      <c r="E203" s="172"/>
      <c r="F203" s="173">
        <f>+SUMPRODUCT(('Budget original'!$A$8:$A$500=$A203)*('Budget original'!$C$3:$AO$3=F$2),'Budget original'!$C$8:$AO$500)</f>
        <v>0</v>
      </c>
      <c r="G203" s="296"/>
      <c r="H203" s="172"/>
      <c r="I203" s="173">
        <f>+SUMPRODUCT(('Budget révisé'!$A$8:$A$500=$A203)*('Budget révisé'!$C$3:$AO$3=I$2),'Budget révisé'!$C$8:$AO$500)</f>
        <v>0</v>
      </c>
      <c r="J203" s="297"/>
      <c r="K203" s="172"/>
      <c r="L203" s="174">
        <f>SUMIFS(BV_Data_An_Cour!$P:$P,BV_Data_An_Cour!$U:$U,$B203,BV_Data_An_Cour!$V:$V,$C203,BV_Data_An_Cour!$W:$W,$L$2)</f>
        <v>0</v>
      </c>
      <c r="M203" s="297"/>
      <c r="N203" s="298">
        <f t="shared" ref="N203:N204" si="121">L203-I203</f>
        <v>0</v>
      </c>
      <c r="O203" s="297"/>
      <c r="P203" s="172"/>
      <c r="Q203" s="174">
        <f>SUMIFS(BV_Data_An_Prec!$P:$P,BV_Data_An_Prec!$U:$U,$B203,BV_Data_An_Prec!$V:$V,$C203,BV_Data_An_Prec!$W:$W,$L$2)</f>
        <v>0</v>
      </c>
      <c r="R203" s="297"/>
      <c r="S203" s="193">
        <f t="shared" ref="S203:S204" si="122">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15.75" customHeight="1">
      <c r="A204" s="564" t="str">
        <f t="shared" si="104"/>
        <v>ServiceSalaires en absences</v>
      </c>
      <c r="B204" s="24" t="s">
        <v>155</v>
      </c>
      <c r="C204" s="300" t="s">
        <v>116</v>
      </c>
      <c r="D204" s="295"/>
      <c r="E204" s="172"/>
      <c r="F204" s="173">
        <f>+SUMPRODUCT(('Budget original'!$A$8:$A$500=$A204)*('Budget original'!$C$3:$AO$3=F$2),'Budget original'!$C$8:$AO$500)</f>
        <v>80777.351039339599</v>
      </c>
      <c r="G204" s="296"/>
      <c r="H204" s="172"/>
      <c r="I204" s="173">
        <f>+SUMPRODUCT(('Budget révisé'!$A$8:$A$500=$A204)*('Budget révisé'!$C$3:$AO$3=I$2),'Budget révisé'!$C$8:$AO$500)</f>
        <v>80777.351039339599</v>
      </c>
      <c r="J204" s="297"/>
      <c r="K204" s="172"/>
      <c r="L204" s="174">
        <f>SUMIFS(BV_Data_An_Cour!$P:$P,BV_Data_An_Cour!$U:$U,$B204,BV_Data_An_Cour!$V:$V,$C204,BV_Data_An_Cour!$W:$W,$L$2)</f>
        <v>70039.820000000007</v>
      </c>
      <c r="M204" s="297"/>
      <c r="N204" s="298">
        <f t="shared" si="121"/>
        <v>-10737.531039339592</v>
      </c>
      <c r="O204" s="297"/>
      <c r="P204" s="172"/>
      <c r="Q204" s="174">
        <f>SUMIFS(BV_Data_An_Prec!$P:$P,BV_Data_An_Prec!$U:$U,$B204,BV_Data_An_Prec!$V:$V,$C204,BV_Data_An_Prec!$W:$W,$L$2)</f>
        <v>70138.84</v>
      </c>
      <c r="R204" s="297"/>
      <c r="S204" s="193">
        <f t="shared" si="122"/>
        <v>-99.019999999989523</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tr">
        <f t="shared" si="104"/>
        <v>ServiceDéduction à la source</v>
      </c>
      <c r="B205" s="24" t="s">
        <v>155</v>
      </c>
      <c r="C205" s="274" t="s">
        <v>117</v>
      </c>
      <c r="D205" s="386"/>
      <c r="E205" s="346"/>
      <c r="F205" s="423">
        <f>+SUMPRODUCT(('Budget original'!$A$8:$A$500=$A205)*('Budget original'!$C$3:$AO$3=F$2),'Budget original'!$C$8:$AO$500)</f>
        <v>72344.397996999091</v>
      </c>
      <c r="G205" s="387"/>
      <c r="H205" s="346"/>
      <c r="I205" s="423">
        <f>+SUMPRODUCT(('Budget révisé'!$A$8:$A$500=$A205)*('Budget révisé'!$C$3:$AO$3=I$2),'Budget révisé'!$C$8:$AO$500)</f>
        <v>72344.397996999091</v>
      </c>
      <c r="J205" s="362"/>
      <c r="K205" s="346"/>
      <c r="L205" s="175">
        <f>SUMIFS(BV_Data_An_Cour!$P:$P,BV_Data_An_Cour!$U:$U,$B205,BV_Data_An_Cour!$V:$V,$C205,BV_Data_An_Cour!$W:$W,$L$2)</f>
        <v>86811.7</v>
      </c>
      <c r="M205" s="362"/>
      <c r="N205" s="350">
        <f t="shared" si="119"/>
        <v>14467.302003000907</v>
      </c>
      <c r="O205" s="362"/>
      <c r="P205" s="346"/>
      <c r="Q205" s="175">
        <f>SUMIFS(BV_Data_An_Prec!$P:$P,BV_Data_An_Prec!$U:$U,$B205,BV_Data_An_Prec!$V:$V,$C205,BV_Data_An_Prec!$W:$W,$L$2)</f>
        <v>76392.350000000006</v>
      </c>
      <c r="R205" s="362"/>
      <c r="S205" s="195">
        <f t="shared" si="120"/>
        <v>10419.349999999991</v>
      </c>
      <c r="T205" s="216"/>
      <c r="U205" s="955">
        <f>L205-Print_Mois!L205</f>
        <v>69614.37</v>
      </c>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tr">
        <f t="shared" si="104"/>
        <v>ServiceBénéfices marginaux</v>
      </c>
      <c r="B206" s="24" t="s">
        <v>155</v>
      </c>
      <c r="C206" s="274" t="s">
        <v>118</v>
      </c>
      <c r="D206" s="295"/>
      <c r="E206" s="172"/>
      <c r="F206" s="173">
        <f>+SUMPRODUCT(('Budget original'!$A$8:$A$500=$A206)*('Budget original'!$C$3:$AO$3=F$2),'Budget original'!$C$8:$AO$500)</f>
        <v>57449.963115263985</v>
      </c>
      <c r="G206" s="296"/>
      <c r="H206" s="172"/>
      <c r="I206" s="173">
        <f>+SUMPRODUCT(('Budget révisé'!$A$8:$A$500=$A206)*('Budget révisé'!$C$3:$AO$3=I$2),'Budget révisé'!$C$8:$AO$500)</f>
        <v>57449.963115263985</v>
      </c>
      <c r="J206" s="297"/>
      <c r="K206" s="172"/>
      <c r="L206" s="174">
        <f>SUMIFS(BV_Data_An_Cour!$P:$P,BV_Data_An_Cour!$U:$U,$B206,BV_Data_An_Cour!$V:$V,$C206,BV_Data_An_Cour!$W:$W,$L$2)</f>
        <v>32451.32</v>
      </c>
      <c r="M206" s="297"/>
      <c r="N206" s="298">
        <f t="shared" si="119"/>
        <v>-24998.643115263985</v>
      </c>
      <c r="O206" s="297"/>
      <c r="P206" s="172"/>
      <c r="Q206" s="174">
        <f>SUMIFS(BV_Data_An_Prec!$P:$P,BV_Data_An_Prec!$U:$U,$B206,BV_Data_An_Prec!$V:$V,$C206,BV_Data_An_Prec!$W:$W,$L$2)</f>
        <v>54747.840000000004</v>
      </c>
      <c r="R206" s="297"/>
      <c r="S206" s="193">
        <f t="shared" si="120"/>
        <v>-22296.520000000004</v>
      </c>
      <c r="T206" s="216"/>
      <c r="U206" s="955">
        <f>L206-Print_Mois!L206</f>
        <v>27147.03</v>
      </c>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tr">
        <f t="shared" si="104"/>
        <v>ServiceCsst</v>
      </c>
      <c r="B207" s="24" t="s">
        <v>155</v>
      </c>
      <c r="C207" s="274" t="s">
        <v>119</v>
      </c>
      <c r="D207" s="295"/>
      <c r="E207" s="172"/>
      <c r="F207" s="173">
        <f>+SUMPRODUCT(('Budget original'!$A$8:$A$500=$A207)*('Budget original'!$C$3:$AO$3=F$2),'Budget original'!$C$8:$AO$500)</f>
        <v>23405.540528440884</v>
      </c>
      <c r="G207" s="296"/>
      <c r="H207" s="172"/>
      <c r="I207" s="173">
        <f>+SUMPRODUCT(('Budget révisé'!$A$8:$A$500=$A207)*('Budget révisé'!$C$3:$AO$3=I$2),'Budget révisé'!$C$8:$AO$500)</f>
        <v>23405.540528440884</v>
      </c>
      <c r="J207" s="297"/>
      <c r="K207" s="172"/>
      <c r="L207" s="174">
        <f>SUMIFS(BV_Data_An_Cour!$P:$P,BV_Data_An_Cour!$U:$U,$B207,BV_Data_An_Cour!$V:$V,$C207,BV_Data_An_Cour!$W:$W,$L$2)</f>
        <v>19939.97</v>
      </c>
      <c r="M207" s="297"/>
      <c r="N207" s="298">
        <f t="shared" si="119"/>
        <v>-3465.5705284408832</v>
      </c>
      <c r="O207" s="297"/>
      <c r="P207" s="172"/>
      <c r="Q207" s="174">
        <f>SUMIFS(BV_Data_An_Prec!$P:$P,BV_Data_An_Prec!$U:$U,$B207,BV_Data_An_Prec!$V:$V,$C207,BV_Data_An_Prec!$W:$W,$L$2)</f>
        <v>12732.06</v>
      </c>
      <c r="R207" s="297"/>
      <c r="S207" s="193">
        <f t="shared" si="120"/>
        <v>7207.9100000000017</v>
      </c>
      <c r="T207" s="216"/>
      <c r="U207" s="955">
        <f>L207-Print_Mois!L207</f>
        <v>16919.71</v>
      </c>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tr">
        <f t="shared" si="104"/>
        <v>Service[...]</v>
      </c>
      <c r="B208" s="24" t="s">
        <v>155</v>
      </c>
      <c r="C208" s="285" t="s">
        <v>42</v>
      </c>
      <c r="D208" s="301"/>
      <c r="E208" s="302"/>
      <c r="F208" s="173">
        <f>+SUMPRODUCT(('Budget original'!$A$8:$A$500=$A208)*('Budget original'!$C$3:$AO$3=F$2),'Budget original'!$C$8:$AO$500)</f>
        <v>0</v>
      </c>
      <c r="G208" s="303"/>
      <c r="H208" s="302"/>
      <c r="I208" s="173">
        <f>+SUMPRODUCT(('Budget révisé'!$A$8:$A$500=$A208)*('Budget révisé'!$C$3:$AO$3=I$2),'Budget révisé'!$C$8:$AO$500)</f>
        <v>0</v>
      </c>
      <c r="J208" s="304"/>
      <c r="K208" s="302"/>
      <c r="L208" s="174">
        <f>SUMIFS(BV_Data_An_Cour!$P:$P,BV_Data_An_Cour!$U:$U,$B208,BV_Data_An_Cour!$V:$V,$C208,BV_Data_An_Cour!$W:$W,$L$2)</f>
        <v>0</v>
      </c>
      <c r="M208" s="304"/>
      <c r="N208" s="305">
        <f t="shared" si="119"/>
        <v>0</v>
      </c>
      <c r="O208" s="304"/>
      <c r="P208" s="302"/>
      <c r="Q208" s="174">
        <f>SUMIFS(BV_Data_An_Prec!$P:$P,BV_Data_An_Prec!$U:$U,$B208,BV_Data_An_Prec!$V:$V,$C208,BV_Data_An_Prec!$W:$W,$L$2)</f>
        <v>0</v>
      </c>
      <c r="R208" s="304"/>
      <c r="S208" s="196">
        <f t="shared" si="120"/>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tr">
        <f t="shared" si="104"/>
        <v>ServiceTOTAL PERSONNEL</v>
      </c>
      <c r="B209" s="24" t="s">
        <v>155</v>
      </c>
      <c r="C209" s="292" t="s">
        <v>120</v>
      </c>
      <c r="D209" s="39" t="s">
        <v>170</v>
      </c>
      <c r="E209" s="40">
        <f>F209/F$193</f>
        <v>0.64197532734495111</v>
      </c>
      <c r="F209" s="41">
        <f>+SUM(F197:F208)</f>
        <v>554897.54000219144</v>
      </c>
      <c r="G209" s="42" t="s">
        <v>170</v>
      </c>
      <c r="H209" s="40">
        <f>I209/I$193</f>
        <v>0.64197532734495111</v>
      </c>
      <c r="I209" s="41">
        <f>+SUM(I197:I208)</f>
        <v>554897.54000219144</v>
      </c>
      <c r="J209" s="42" t="s">
        <v>170</v>
      </c>
      <c r="K209" s="40">
        <f>L209/L$193</f>
        <v>0.66684080501753729</v>
      </c>
      <c r="L209" s="41">
        <f>+SUM(L197:L208)</f>
        <v>512485.07000000007</v>
      </c>
      <c r="M209" s="43"/>
      <c r="N209" s="46">
        <f t="shared" si="119"/>
        <v>-42412.470002191374</v>
      </c>
      <c r="O209" s="42" t="s">
        <v>170</v>
      </c>
      <c r="P209" s="40">
        <f>Q209/Q$193</f>
        <v>0.63325849320110772</v>
      </c>
      <c r="Q209" s="41">
        <f>+SUM(Q197:Q208)</f>
        <v>487150.13</v>
      </c>
      <c r="R209" s="43"/>
      <c r="S209" s="293">
        <f t="shared" si="120"/>
        <v>25334.940000000061</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tr">
        <f t="shared" si="104"/>
        <v>ServicePublicité 2</v>
      </c>
      <c r="B210" s="24" t="s">
        <v>155</v>
      </c>
      <c r="C210" s="544" t="s">
        <v>121</v>
      </c>
      <c r="D210" s="295"/>
      <c r="E210" s="172"/>
      <c r="F210" s="173">
        <f>+SUMPRODUCT(('Budget original'!$A$8:$A$500=$A210)*('Budget original'!$C$3:$AO$3=F$2),'Budget original'!$C$8:$AO$500)</f>
        <v>34593.8125</v>
      </c>
      <c r="G210" s="296"/>
      <c r="H210" s="172"/>
      <c r="I210" s="173">
        <f>+SUMPRODUCT(('Budget révisé'!$A$8:$A$500=$A210)*('Budget révisé'!$C$3:$AO$3=I$2),'Budget révisé'!$C$8:$AO$500)</f>
        <v>34593.8125</v>
      </c>
      <c r="J210" s="297"/>
      <c r="K210" s="172"/>
      <c r="L210" s="174">
        <f>SUMIFS(BV_Data_An_Cour!$P:$P,BV_Data_An_Cour!$U:$U,$B210,BV_Data_An_Cour!$V:$V,$C210,BV_Data_An_Cour!$W:$W,$L$2)</f>
        <v>51670.42</v>
      </c>
      <c r="M210" s="297"/>
      <c r="N210" s="298">
        <f t="shared" si="119"/>
        <v>17076.607499999998</v>
      </c>
      <c r="O210" s="297"/>
      <c r="P210" s="172"/>
      <c r="Q210" s="174">
        <f>SUMIFS(BV_Data_An_Prec!$P:$P,BV_Data_An_Prec!$U:$U,$B210,BV_Data_An_Prec!$V:$V,$C210,BV_Data_An_Prec!$W:$W,$L$2)</f>
        <v>31195.79</v>
      </c>
      <c r="R210" s="297"/>
      <c r="S210" s="193">
        <f t="shared" si="120"/>
        <v>20474.629999999997</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tr">
        <f t="shared" si="104"/>
        <v>ServiceService gratuit 2</v>
      </c>
      <c r="B211" s="24" t="s">
        <v>155</v>
      </c>
      <c r="C211" s="258" t="s">
        <v>122</v>
      </c>
      <c r="D211" s="295"/>
      <c r="E211" s="172"/>
      <c r="F211" s="173">
        <f>+SUMPRODUCT(('Budget original'!$A$8:$A$500=$A211)*('Budget original'!$C$3:$AO$3=F$2),'Budget original'!$C$8:$AO$500)</f>
        <v>14370.125554104623</v>
      </c>
      <c r="G211" s="296"/>
      <c r="H211" s="172"/>
      <c r="I211" s="173">
        <f>+SUMPRODUCT(('Budget révisé'!$A$8:$A$500=$A211)*('Budget révisé'!$C$3:$AO$3=I$2),'Budget révisé'!$C$8:$AO$500)</f>
        <v>14370.125554104623</v>
      </c>
      <c r="J211" s="297"/>
      <c r="K211" s="172"/>
      <c r="L211" s="956">
        <f>SUMIFS(BV_Data_An_Cour!$P:$P,BV_Data_An_Cour!$U:$U,$B211,BV_Data_An_Cour!$V:$V,$C211,BV_Data_An_Cour!$W:$W,$L$2)</f>
        <v>14019.529999999999</v>
      </c>
      <c r="M211" s="297"/>
      <c r="N211" s="298">
        <f t="shared" si="119"/>
        <v>-350.59555410462417</v>
      </c>
      <c r="O211" s="297"/>
      <c r="P211" s="172"/>
      <c r="Q211" s="174">
        <f>SUMIFS(BV_Data_An_Prec!$P:$P,BV_Data_An_Prec!$U:$U,$B211,BV_Data_An_Prec!$V:$V,$C211,BV_Data_An_Prec!$W:$W,$L$2)</f>
        <v>15396.57</v>
      </c>
      <c r="R211" s="297"/>
      <c r="S211" s="193">
        <f t="shared" si="120"/>
        <v>-1377.0400000000009</v>
      </c>
      <c r="T211" s="227"/>
      <c r="U211" s="216" t="s">
        <v>2890</v>
      </c>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tr">
        <f t="shared" si="104"/>
        <v>ServiceFrais véhicules de cie</v>
      </c>
      <c r="B212" s="24" t="s">
        <v>155</v>
      </c>
      <c r="C212" s="320" t="s">
        <v>123</v>
      </c>
      <c r="D212" s="301"/>
      <c r="E212" s="302"/>
      <c r="F212" s="171">
        <f>+SUMPRODUCT(('Budget original'!$A$8:$A$500=$A212)*('Budget original'!$C$3:$AO$3=F$2),'Budget original'!$C$8:$AO$500)</f>
        <v>61900.842222222222</v>
      </c>
      <c r="G212" s="303"/>
      <c r="H212" s="302"/>
      <c r="I212" s="171">
        <f>+SUMPRODUCT(('Budget révisé'!$A$8:$A$500=$A212)*('Budget révisé'!$C$3:$AO$3=I$2),'Budget révisé'!$C$8:$AO$500)</f>
        <v>61900.842222222222</v>
      </c>
      <c r="J212" s="304"/>
      <c r="K212" s="302"/>
      <c r="L212" s="174">
        <f>SUMIFS(BV_Data_An_Cour!$P:$P,BV_Data_An_Cour!$U:$U,$B212,BV_Data_An_Cour!$V:$V,$C212,BV_Data_An_Cour!$W:$W,$L$2)</f>
        <v>52841.57</v>
      </c>
      <c r="M212" s="304"/>
      <c r="N212" s="305">
        <f t="shared" si="119"/>
        <v>-9059.2722222222219</v>
      </c>
      <c r="O212" s="304"/>
      <c r="P212" s="302"/>
      <c r="Q212" s="174">
        <f>SUMIFS(BV_Data_An_Prec!$P:$P,BV_Data_An_Prec!$U:$U,$B212,BV_Data_An_Prec!$V:$V,$C212,BV_Data_An_Prec!$W:$W,$L$2)</f>
        <v>71544.92</v>
      </c>
      <c r="R212" s="304"/>
      <c r="S212" s="196">
        <f t="shared" si="120"/>
        <v>-18703.349999999999</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tr">
        <f t="shared" si="104"/>
        <v>ServiceInformatique</v>
      </c>
      <c r="B213" s="24" t="s">
        <v>155</v>
      </c>
      <c r="C213" s="258" t="s">
        <v>124</v>
      </c>
      <c r="D213" s="295"/>
      <c r="E213" s="172"/>
      <c r="F213" s="173">
        <f>+SUMPRODUCT(('Budget original'!$A$8:$A$500=$A213)*('Budget original'!$C$3:$AO$3=F$2),'Budget original'!$C$8:$AO$500)</f>
        <v>29843.699099999994</v>
      </c>
      <c r="G213" s="296"/>
      <c r="H213" s="172"/>
      <c r="I213" s="173">
        <f>+SUMPRODUCT(('Budget révisé'!$A$8:$A$500=$A213)*('Budget révisé'!$C$3:$AO$3=I$2),'Budget révisé'!$C$8:$AO$500)</f>
        <v>29843.699099999994</v>
      </c>
      <c r="J213" s="297"/>
      <c r="K213" s="172"/>
      <c r="L213" s="175">
        <f>SUMIFS(BV_Data_An_Cour!$P:$P,BV_Data_An_Cour!$U:$U,$B213,BV_Data_An_Cour!$V:$V,$C213,BV_Data_An_Cour!$W:$W,$L$2)</f>
        <v>23325.52</v>
      </c>
      <c r="M213" s="297"/>
      <c r="N213" s="298">
        <f t="shared" si="119"/>
        <v>-6518.1790999999939</v>
      </c>
      <c r="O213" s="297"/>
      <c r="P213" s="172"/>
      <c r="Q213" s="175">
        <f>SUMIFS(BV_Data_An_Prec!$P:$P,BV_Data_An_Prec!$U:$U,$B213,BV_Data_An_Prec!$V:$V,$C213,BV_Data_An_Prec!$W:$W,$L$2)</f>
        <v>19271.5</v>
      </c>
      <c r="R213" s="297"/>
      <c r="S213" s="193">
        <f t="shared" si="120"/>
        <v>4054.0200000000004</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tr">
        <f t="shared" si="104"/>
        <v>ServiceFrais de déplacement</v>
      </c>
      <c r="B214" s="24" t="s">
        <v>155</v>
      </c>
      <c r="C214" s="258" t="s">
        <v>125</v>
      </c>
      <c r="D214" s="295"/>
      <c r="E214" s="172"/>
      <c r="F214" s="173">
        <f>+SUMPRODUCT(('Budget original'!$A$8:$A$500=$A214)*('Budget original'!$C$3:$AO$3=F$2),'Budget original'!$C$8:$AO$500)</f>
        <v>2970.5317500000001</v>
      </c>
      <c r="G214" s="296"/>
      <c r="H214" s="172"/>
      <c r="I214" s="173">
        <f>+SUMPRODUCT(('Budget révisé'!$A$8:$A$500=$A214)*('Budget révisé'!$C$3:$AO$3=I$2),'Budget révisé'!$C$8:$AO$500)</f>
        <v>2970.5317500000001</v>
      </c>
      <c r="J214" s="297"/>
      <c r="K214" s="172"/>
      <c r="L214" s="174">
        <f>SUMIFS(BV_Data_An_Cour!$P:$P,BV_Data_An_Cour!$U:$U,$B214,BV_Data_An_Cour!$V:$V,$C214,BV_Data_An_Cour!$W:$W,$L$2)</f>
        <v>4372.1499999999996</v>
      </c>
      <c r="M214" s="297"/>
      <c r="N214" s="298">
        <f t="shared" si="119"/>
        <v>1401.6182499999995</v>
      </c>
      <c r="O214" s="297"/>
      <c r="P214" s="172"/>
      <c r="Q214" s="174">
        <f>SUMIFS(BV_Data_An_Prec!$P:$P,BV_Data_An_Prec!$U:$U,$B214,BV_Data_An_Prec!$V:$V,$C214,BV_Data_An_Prec!$W:$W,$L$2)</f>
        <v>1386.73</v>
      </c>
      <c r="R214" s="297"/>
      <c r="S214" s="193">
        <f t="shared" si="120"/>
        <v>2985.4199999999996</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tr">
        <f t="shared" si="104"/>
        <v>ServiceServices extérieurs</v>
      </c>
      <c r="B215" s="24" t="s">
        <v>155</v>
      </c>
      <c r="C215" s="320" t="s">
        <v>126</v>
      </c>
      <c r="D215" s="301"/>
      <c r="E215" s="302"/>
      <c r="F215" s="171">
        <f>+SUMPRODUCT(('Budget original'!$A$8:$A$500=$A215)*('Budget original'!$C$3:$AO$3=F$2),'Budget original'!$C$8:$AO$500)</f>
        <v>20264.384266666661</v>
      </c>
      <c r="G215" s="303"/>
      <c r="H215" s="302"/>
      <c r="I215" s="171">
        <f>+SUMPRODUCT(('Budget révisé'!$A$8:$A$500=$A215)*('Budget révisé'!$C$3:$AO$3=I$2),'Budget révisé'!$C$8:$AO$500)</f>
        <v>20264.384266666661</v>
      </c>
      <c r="J215" s="304"/>
      <c r="K215" s="302"/>
      <c r="L215" s="174">
        <f>SUMIFS(BV_Data_An_Cour!$P:$P,BV_Data_An_Cour!$U:$U,$B215,BV_Data_An_Cour!$V:$V,$C215,BV_Data_An_Cour!$W:$W,$L$2)</f>
        <v>11183</v>
      </c>
      <c r="M215" s="304"/>
      <c r="N215" s="305">
        <f t="shared" si="119"/>
        <v>-9081.3842666666606</v>
      </c>
      <c r="O215" s="304"/>
      <c r="P215" s="302"/>
      <c r="Q215" s="174">
        <f>SUMIFS(BV_Data_An_Prec!$P:$P,BV_Data_An_Prec!$U:$U,$B215,BV_Data_An_Prec!$V:$V,$C215,BV_Data_An_Prec!$W:$W,$L$2)</f>
        <v>11128.94</v>
      </c>
      <c r="R215" s="304"/>
      <c r="S215" s="196">
        <f t="shared" si="120"/>
        <v>54.059999999999491</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ht="15.75" customHeight="1">
      <c r="A216" s="564" t="str">
        <f t="shared" ref="A216" si="123">+B216&amp;C216</f>
        <v>ServiceFournitures d'atelier</v>
      </c>
      <c r="B216" s="24" t="s">
        <v>155</v>
      </c>
      <c r="C216" s="258" t="s">
        <v>1989</v>
      </c>
      <c r="D216" s="295"/>
      <c r="E216" s="172"/>
      <c r="F216" s="173"/>
      <c r="G216" s="296"/>
      <c r="H216" s="172"/>
      <c r="I216" s="173"/>
      <c r="J216" s="297"/>
      <c r="K216" s="172"/>
      <c r="L216" s="175">
        <f>SUMIFS(BV_Data_An_Cour!$P:$P,BV_Data_An_Cour!$U:$U,$B216,BV_Data_An_Cour!$V:$V,$C216,BV_Data_An_Cour!$W:$W,$L$2)</f>
        <v>0</v>
      </c>
      <c r="M216" s="297"/>
      <c r="N216" s="298">
        <f t="shared" ref="N216" si="124">L216-I216</f>
        <v>0</v>
      </c>
      <c r="O216" s="297"/>
      <c r="P216" s="172"/>
      <c r="Q216" s="175">
        <f>SUMIFS(BV_Data_An_Prec!$P:$P,BV_Data_An_Prec!$U:$U,$B216,BV_Data_An_Prec!$V:$V,$C216,BV_Data_An_Prec!$W:$W,$L$2)</f>
        <v>0</v>
      </c>
      <c r="R216" s="297"/>
      <c r="S216" s="193">
        <f t="shared" ref="S216" si="125">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tr">
        <f t="shared" si="104"/>
        <v>ServiceFournitures autres</v>
      </c>
      <c r="B217" s="24" t="s">
        <v>155</v>
      </c>
      <c r="C217" s="258" t="s">
        <v>127</v>
      </c>
      <c r="D217" s="295"/>
      <c r="E217" s="172"/>
      <c r="F217" s="173">
        <f>+SUMPRODUCT(('Budget original'!$A$8:$A$500=$A217)*('Budget original'!$C$3:$AO$3=F$2),'Budget original'!$C$8:$AO$500)</f>
        <v>5325.0263982176875</v>
      </c>
      <c r="G217" s="296"/>
      <c r="H217" s="172"/>
      <c r="I217" s="173">
        <f>+SUMPRODUCT(('Budget révisé'!$A$8:$A$500=$A217)*('Budget révisé'!$C$3:$AO$3=I$2),'Budget révisé'!$C$8:$AO$500)</f>
        <v>5325.0263982176875</v>
      </c>
      <c r="J217" s="297"/>
      <c r="K217" s="172"/>
      <c r="L217" s="174">
        <f>SUMIFS(BV_Data_An_Cour!$P:$P,BV_Data_An_Cour!$U:$U,$B217,BV_Data_An_Cour!$V:$V,$C217,BV_Data_An_Cour!$W:$W,$L$2)</f>
        <v>14087.56</v>
      </c>
      <c r="M217" s="297"/>
      <c r="N217" s="298">
        <f t="shared" si="119"/>
        <v>8762.533601782312</v>
      </c>
      <c r="O217" s="297"/>
      <c r="P217" s="172"/>
      <c r="Q217" s="174">
        <f>SUMIFS(BV_Data_An_Prec!$P:$P,BV_Data_An_Prec!$U:$U,$B217,BV_Data_An_Prec!$V:$V,$C217,BV_Data_An_Prec!$W:$W,$L$2)</f>
        <v>5364.97</v>
      </c>
      <c r="R217" s="297"/>
      <c r="S217" s="193">
        <f t="shared" si="120"/>
        <v>8722.59</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tr">
        <f t="shared" si="104"/>
        <v>ServiceUniformes</v>
      </c>
      <c r="B218" s="24" t="s">
        <v>155</v>
      </c>
      <c r="C218" s="258" t="s">
        <v>128</v>
      </c>
      <c r="D218" s="295"/>
      <c r="E218" s="172"/>
      <c r="F218" s="173">
        <f>+SUMPRODUCT(('Budget original'!$A$8:$A$500=$A218)*('Budget original'!$C$3:$AO$3=F$2),'Budget original'!$C$8:$AO$500)</f>
        <v>2829.5790448804155</v>
      </c>
      <c r="G218" s="296"/>
      <c r="H218" s="172"/>
      <c r="I218" s="173">
        <f>+SUMPRODUCT(('Budget révisé'!$A$8:$A$500=$A218)*('Budget révisé'!$C$3:$AO$3=I$2),'Budget révisé'!$C$8:$AO$500)</f>
        <v>2829.5790448804155</v>
      </c>
      <c r="J218" s="297"/>
      <c r="K218" s="172"/>
      <c r="L218" s="174">
        <f>SUMIFS(BV_Data_An_Cour!$P:$P,BV_Data_An_Cour!$U:$U,$B218,BV_Data_An_Cour!$V:$V,$C218,BV_Data_An_Cour!$W:$W,$L$2)</f>
        <v>8682.51</v>
      </c>
      <c r="M218" s="297"/>
      <c r="N218" s="298">
        <f t="shared" si="119"/>
        <v>5852.9309551195847</v>
      </c>
      <c r="O218" s="297"/>
      <c r="P218" s="172"/>
      <c r="Q218" s="174">
        <f>SUMIFS(BV_Data_An_Prec!$P:$P,BV_Data_An_Prec!$U:$U,$B218,BV_Data_An_Prec!$V:$V,$C218,BV_Data_An_Prec!$W:$W,$L$2)</f>
        <v>3130.91</v>
      </c>
      <c r="R218" s="297"/>
      <c r="S218" s="193">
        <f t="shared" si="120"/>
        <v>5551.6</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tr">
        <f t="shared" si="104"/>
        <v>ServicePapeterie</v>
      </c>
      <c r="B219" s="24" t="s">
        <v>155</v>
      </c>
      <c r="C219" s="258" t="s">
        <v>129</v>
      </c>
      <c r="D219" s="295"/>
      <c r="E219" s="172"/>
      <c r="F219" s="173">
        <f>+SUMPRODUCT(('Budget original'!$A$8:$A$500=$A219)*('Budget original'!$C$3:$AO$3=F$2),'Budget original'!$C$8:$AO$500)</f>
        <v>2448.2411999999999</v>
      </c>
      <c r="G219" s="296"/>
      <c r="H219" s="172"/>
      <c r="I219" s="173">
        <f>+SUMPRODUCT(('Budget révisé'!$A$8:$A$500=$A219)*('Budget révisé'!$C$3:$AO$3=I$2),'Budget révisé'!$C$8:$AO$500)</f>
        <v>2448.2411999999999</v>
      </c>
      <c r="J219" s="297"/>
      <c r="K219" s="172"/>
      <c r="L219" s="548">
        <f>SUMIFS(BV_Data_An_Cour!$P:$P,BV_Data_An_Cour!$U:$U,$B219,BV_Data_An_Cour!$V:$V,$C219,BV_Data_An_Cour!$W:$W,$L$2)</f>
        <v>3596.26</v>
      </c>
      <c r="M219" s="297"/>
      <c r="N219" s="298">
        <f t="shared" si="119"/>
        <v>1148.0188000000003</v>
      </c>
      <c r="O219" s="297"/>
      <c r="P219" s="172"/>
      <c r="Q219" s="548">
        <f>SUMIFS(BV_Data_An_Prec!$P:$P,BV_Data_An_Prec!$U:$U,$B219,BV_Data_An_Prec!$V:$V,$C219,BV_Data_An_Prec!$W:$W,$L$2)</f>
        <v>1819.71</v>
      </c>
      <c r="R219" s="297"/>
      <c r="S219" s="193">
        <f t="shared" si="120"/>
        <v>1776.5500000000002</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tr">
        <f t="shared" si="104"/>
        <v>ServiceTéléphone</v>
      </c>
      <c r="B220" s="24" t="s">
        <v>155</v>
      </c>
      <c r="C220" s="258" t="s">
        <v>130</v>
      </c>
      <c r="D220" s="295"/>
      <c r="E220" s="172"/>
      <c r="F220" s="173">
        <f>+SUMPRODUCT(('Budget original'!$A$8:$A$500=$A220)*('Budget original'!$C$3:$AO$3=F$2),'Budget original'!$C$8:$AO$500)</f>
        <v>1130.4919750000001</v>
      </c>
      <c r="G220" s="296"/>
      <c r="H220" s="172"/>
      <c r="I220" s="173">
        <f>+SUMPRODUCT(('Budget révisé'!$A$8:$A$500=$A220)*('Budget révisé'!$C$3:$AO$3=I$2),'Budget révisé'!$C$8:$AO$500)</f>
        <v>1130.4919750000001</v>
      </c>
      <c r="J220" s="297"/>
      <c r="K220" s="172"/>
      <c r="L220" s="275">
        <f>SUMIFS(BV_Data_An_Cour!$P:$P,BV_Data_An_Cour!$U:$U,$B220,BV_Data_An_Cour!$V:$V,$C220,BV_Data_An_Cour!$W:$W,$L$2)</f>
        <v>1029.52</v>
      </c>
      <c r="M220" s="297"/>
      <c r="N220" s="298">
        <f t="shared" si="119"/>
        <v>-100.97197500000016</v>
      </c>
      <c r="O220" s="297"/>
      <c r="P220" s="172"/>
      <c r="Q220" s="174">
        <f>SUMIFS(BV_Data_An_Prec!$P:$P,BV_Data_An_Prec!$U:$U,$B220,BV_Data_An_Prec!$V:$V,$C220,BV_Data_An_Prec!$W:$W,$L$2)</f>
        <v>1344.92</v>
      </c>
      <c r="R220" s="297"/>
      <c r="S220" s="193">
        <f t="shared" si="120"/>
        <v>-315.40000000000009</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tr">
        <f t="shared" si="104"/>
        <v>ServiceFrais postaux</v>
      </c>
      <c r="B221" s="24" t="s">
        <v>155</v>
      </c>
      <c r="C221" s="258" t="s">
        <v>131</v>
      </c>
      <c r="D221" s="295"/>
      <c r="E221" s="172"/>
      <c r="F221" s="173">
        <f>+SUMPRODUCT(('Budget original'!$A$8:$A$500=$A221)*('Budget original'!$C$3:$AO$3=F$2),'Budget original'!$C$8:$AO$500)</f>
        <v>603.4390249999999</v>
      </c>
      <c r="G221" s="296"/>
      <c r="H221" s="172"/>
      <c r="I221" s="173">
        <f>+SUMPRODUCT(('Budget révisé'!$A$8:$A$500=$A221)*('Budget révisé'!$C$3:$AO$3=I$2),'Budget révisé'!$C$8:$AO$500)</f>
        <v>603.4390249999999</v>
      </c>
      <c r="J221" s="297"/>
      <c r="K221" s="172"/>
      <c r="L221" s="275">
        <f>SUMIFS(BV_Data_An_Cour!$P:$P,BV_Data_An_Cour!$U:$U,$B221,BV_Data_An_Cour!$V:$V,$C221,BV_Data_An_Cour!$W:$W,$L$2)</f>
        <v>449.17</v>
      </c>
      <c r="M221" s="297"/>
      <c r="N221" s="298">
        <f t="shared" si="119"/>
        <v>-154.26902499999989</v>
      </c>
      <c r="O221" s="297"/>
      <c r="P221" s="172"/>
      <c r="Q221" s="174">
        <f>SUMIFS(BV_Data_An_Prec!$P:$P,BV_Data_An_Prec!$U:$U,$B221,BV_Data_An_Prec!$V:$V,$C221,BV_Data_An_Prec!$W:$W,$L$2)</f>
        <v>437.02</v>
      </c>
      <c r="R221" s="297"/>
      <c r="S221" s="193">
        <f t="shared" si="120"/>
        <v>12.150000000000034</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tr">
        <f t="shared" si="104"/>
        <v>ServiceDivers</v>
      </c>
      <c r="B222" s="24" t="s">
        <v>155</v>
      </c>
      <c r="C222" s="258" t="s">
        <v>132</v>
      </c>
      <c r="D222" s="295"/>
      <c r="E222" s="172"/>
      <c r="F222" s="173">
        <f>+SUMPRODUCT(('Budget original'!$A$8:$A$500=$A222)*('Budget original'!$C$3:$AO$3=F$2),'Budget original'!$C$8:$AO$500)</f>
        <v>2910.875974999999</v>
      </c>
      <c r="G222" s="296"/>
      <c r="H222" s="172"/>
      <c r="I222" s="173">
        <f>+SUMPRODUCT(('Budget révisé'!$A$8:$A$500=$A222)*('Budget révisé'!$C$3:$AO$3=I$2),'Budget révisé'!$C$8:$AO$500)</f>
        <v>2910.875974999999</v>
      </c>
      <c r="J222" s="297"/>
      <c r="K222" s="172"/>
      <c r="L222" s="275">
        <f>SUMIFS(BV_Data_An_Cour!$P:$P,BV_Data_An_Cour!$U:$U,$B222,BV_Data_An_Cour!$V:$V,$C222,BV_Data_An_Cour!$W:$W,$L$2)</f>
        <v>1448.76</v>
      </c>
      <c r="M222" s="297"/>
      <c r="N222" s="298">
        <f t="shared" si="119"/>
        <v>-1462.115974999999</v>
      </c>
      <c r="O222" s="297"/>
      <c r="P222" s="172"/>
      <c r="Q222" s="174">
        <f>SUMIFS(BV_Data_An_Prec!$P:$P,BV_Data_An_Prec!$U:$U,$B222,BV_Data_An_Prec!$V:$V,$C222,BV_Data_An_Prec!$W:$W,$L$2)</f>
        <v>3004.61</v>
      </c>
      <c r="R222" s="297"/>
      <c r="S222" s="193">
        <f t="shared" si="120"/>
        <v>-1555.8500000000001</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tr">
        <f t="shared" si="104"/>
        <v>ServiceFormation</v>
      </c>
      <c r="B223" s="24" t="s">
        <v>155</v>
      </c>
      <c r="C223" s="258" t="s">
        <v>133</v>
      </c>
      <c r="D223" s="295"/>
      <c r="E223" s="172"/>
      <c r="F223" s="173">
        <f>+SUMPRODUCT(('Budget original'!$A$8:$A$500=$A223)*('Budget original'!$C$3:$AO$3=F$2),'Budget original'!$C$8:$AO$500)</f>
        <v>4324.7109999999993</v>
      </c>
      <c r="G223" s="296"/>
      <c r="H223" s="172"/>
      <c r="I223" s="173">
        <f>+SUMPRODUCT(('Budget révisé'!$A$8:$A$500=$A223)*('Budget révisé'!$C$3:$AO$3=I$2),'Budget révisé'!$C$8:$AO$500)</f>
        <v>4324.7109999999993</v>
      </c>
      <c r="J223" s="297"/>
      <c r="K223" s="172"/>
      <c r="L223" s="275">
        <f>SUMIFS(BV_Data_An_Cour!$P:$P,BV_Data_An_Cour!$U:$U,$B223,BV_Data_An_Cour!$V:$V,$C223,BV_Data_An_Cour!$W:$W,$L$2)</f>
        <v>5234.2</v>
      </c>
      <c r="M223" s="297"/>
      <c r="N223" s="298">
        <f t="shared" si="119"/>
        <v>909.48900000000049</v>
      </c>
      <c r="O223" s="297"/>
      <c r="P223" s="172"/>
      <c r="Q223" s="174">
        <f>SUMIFS(BV_Data_An_Prec!$P:$P,BV_Data_An_Prec!$U:$U,$B223,BV_Data_An_Prec!$V:$V,$C223,BV_Data_An_Prec!$W:$W,$L$2)</f>
        <v>6972.71</v>
      </c>
      <c r="R223" s="297"/>
      <c r="S223" s="193">
        <f t="shared" si="120"/>
        <v>-1738.5100000000002</v>
      </c>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tr">
        <f t="shared" si="104"/>
        <v>ServiceFrais bancaires</v>
      </c>
      <c r="B224" s="24" t="s">
        <v>155</v>
      </c>
      <c r="C224" s="258" t="s">
        <v>134</v>
      </c>
      <c r="D224" s="295"/>
      <c r="E224" s="172"/>
      <c r="F224" s="173">
        <f>+SUMPRODUCT(('Budget original'!$A$8:$A$500=$A224)*('Budget original'!$C$3:$AO$3=F$2),'Budget original'!$C$8:$AO$500)</f>
        <v>8415.7478218253873</v>
      </c>
      <c r="G224" s="296"/>
      <c r="H224" s="172"/>
      <c r="I224" s="173">
        <f>+SUMPRODUCT(('Budget révisé'!$A$8:$A$500=$A224)*('Budget révisé'!$C$3:$AO$3=I$2),'Budget révisé'!$C$8:$AO$500)</f>
        <v>8415.7478218253873</v>
      </c>
      <c r="J224" s="297"/>
      <c r="K224" s="172"/>
      <c r="L224" s="275">
        <f>AF447*W5</f>
        <v>8252.469000000001</v>
      </c>
      <c r="M224" s="297"/>
      <c r="N224" s="298">
        <f t="shared" si="119"/>
        <v>-163.27882182538633</v>
      </c>
      <c r="O224" s="297"/>
      <c r="P224" s="172"/>
      <c r="Q224" s="174">
        <f>AL447*W5</f>
        <v>7235.0640000000003</v>
      </c>
      <c r="R224" s="297"/>
      <c r="S224" s="193">
        <f t="shared" si="120"/>
        <v>1017.4050000000007</v>
      </c>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tr">
        <f t="shared" si="104"/>
        <v>Service[...]</v>
      </c>
      <c r="B225" s="24" t="s">
        <v>155</v>
      </c>
      <c r="C225" s="258" t="s">
        <v>42</v>
      </c>
      <c r="D225" s="295"/>
      <c r="E225" s="172"/>
      <c r="F225" s="173">
        <f>+SUMPRODUCT(('Budget original'!$A$8:$A$500=$A225)*('Budget original'!$C$3:$AO$3=F$2),'Budget original'!$C$8:$AO$500)</f>
        <v>0</v>
      </c>
      <c r="G225" s="296"/>
      <c r="H225" s="172"/>
      <c r="I225" s="173">
        <f>+SUMPRODUCT(('Budget révisé'!$A$8:$A$500=$A225)*('Budget révisé'!$C$3:$AO$3=I$2),'Budget révisé'!$C$8:$AO$500)</f>
        <v>0</v>
      </c>
      <c r="J225" s="297"/>
      <c r="K225" s="172"/>
      <c r="L225" s="275">
        <f>SUMIFS(BV_Data_An_Cour!$P:$P,BV_Data_An_Cour!$U:$U,$B225,BV_Data_An_Cour!$V:$V,$C225,BV_Data_An_Cour!$W:$W,$L$2)</f>
        <v>0</v>
      </c>
      <c r="M225" s="297"/>
      <c r="N225" s="298">
        <f t="shared" si="119"/>
        <v>0</v>
      </c>
      <c r="O225" s="297"/>
      <c r="P225" s="172"/>
      <c r="Q225" s="174">
        <f>SUMIFS(BV_Data_An_Prec!$P:$P,BV_Data_An_Prec!$U:$U,$B225,BV_Data_An_Prec!$V:$V,$C225,BV_Data_An_Prec!$W:$W,$L$2)</f>
        <v>0</v>
      </c>
      <c r="R225" s="297"/>
      <c r="S225" s="193">
        <f t="shared" si="120"/>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ht="15.75" hidden="1" customHeight="1">
      <c r="A226" s="564" t="str">
        <f t="shared" ref="A226" si="126">+B226&amp;C226</f>
        <v>Service[...]</v>
      </c>
      <c r="B226" s="24" t="s">
        <v>155</v>
      </c>
      <c r="C226" s="258" t="s">
        <v>42</v>
      </c>
      <c r="D226" s="295"/>
      <c r="E226" s="172"/>
      <c r="F226" s="173">
        <f>+SUMPRODUCT(('Budget original'!$A$8:$A$500=$A226)*('Budget original'!$C$3:$AO$3=F$2),'Budget original'!$C$8:$AO$500)</f>
        <v>0</v>
      </c>
      <c r="G226" s="296"/>
      <c r="H226" s="172"/>
      <c r="I226" s="173">
        <f>+SUMPRODUCT(('Budget révisé'!$A$8:$A$500=$A226)*('Budget révisé'!$C$3:$AO$3=I$2),'Budget révisé'!$C$8:$AO$500)</f>
        <v>0</v>
      </c>
      <c r="J226" s="297"/>
      <c r="K226" s="172"/>
      <c r="L226" s="275">
        <f>SUMIFS(BV_Data_An_Cour!$P:$P,BV_Data_An_Cour!$U:$U,$B226,BV_Data_An_Cour!$V:$V,$C226,BV_Data_An_Cour!$W:$W,$L$2)</f>
        <v>0</v>
      </c>
      <c r="M226" s="297"/>
      <c r="N226" s="298">
        <f t="shared" ref="N226" si="127">L226-I226</f>
        <v>0</v>
      </c>
      <c r="O226" s="297"/>
      <c r="P226" s="172"/>
      <c r="Q226" s="174">
        <f>SUMIFS(BV_Data_An_Prec!$P:$P,BV_Data_An_Prec!$U:$U,$B226,BV_Data_An_Prec!$V:$V,$C226,BV_Data_An_Prec!$W:$W,$L$2)</f>
        <v>0</v>
      </c>
      <c r="R226" s="297"/>
      <c r="S226" s="193">
        <f t="shared" ref="S226" si="128">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tr">
        <f t="shared" si="104"/>
        <v>Service[...]</v>
      </c>
      <c r="B227" s="24" t="s">
        <v>155</v>
      </c>
      <c r="C227" s="258" t="s">
        <v>42</v>
      </c>
      <c r="D227" s="295"/>
      <c r="E227" s="172"/>
      <c r="F227" s="173">
        <f>+SUMPRODUCT(('Budget original'!$A$8:$A$500=$A227)*('Budget original'!$C$3:$AO$3=F$2),'Budget original'!$C$8:$AO$500)</f>
        <v>0</v>
      </c>
      <c r="G227" s="296"/>
      <c r="H227" s="172"/>
      <c r="I227" s="173">
        <f>+SUMPRODUCT(('Budget révisé'!$A$8:$A$500=$A227)*('Budget révisé'!$C$3:$AO$3=I$2),'Budget révisé'!$C$8:$AO$500)</f>
        <v>0</v>
      </c>
      <c r="J227" s="297"/>
      <c r="K227" s="172"/>
      <c r="L227" s="275">
        <f>SUMIFS(BV_Data_An_Cour!$P:$P,BV_Data_An_Cour!$U:$U,$B227,BV_Data_An_Cour!$V:$V,$C227,BV_Data_An_Cour!$W:$W,$L$2)</f>
        <v>0</v>
      </c>
      <c r="M227" s="297"/>
      <c r="N227" s="298">
        <f t="shared" si="119"/>
        <v>0</v>
      </c>
      <c r="O227" s="297"/>
      <c r="P227" s="172"/>
      <c r="Q227" s="174">
        <f>SUMIFS(BV_Data_An_Prec!$P:$P,BV_Data_An_Prec!$U:$U,$B227,BV_Data_An_Prec!$V:$V,$C227,BV_Data_An_Prec!$W:$W,$L$2)</f>
        <v>0</v>
      </c>
      <c r="R227" s="297"/>
      <c r="S227" s="193">
        <f t="shared" si="120"/>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0.22205052948758849</v>
      </c>
      <c r="F228" s="41">
        <f>+SUM(F210:F227)</f>
        <v>191931.50783291698</v>
      </c>
      <c r="G228" s="42" t="s">
        <v>170</v>
      </c>
      <c r="H228" s="40">
        <f>I228/I$193</f>
        <v>0.22205052948758849</v>
      </c>
      <c r="I228" s="41">
        <f>+SUM(I210:I227)</f>
        <v>191931.50783291698</v>
      </c>
      <c r="J228" s="42" t="s">
        <v>170</v>
      </c>
      <c r="K228" s="40">
        <f>L228/L$193</f>
        <v>0.26048879931145158</v>
      </c>
      <c r="L228" s="41">
        <f>+SUM(L210:L227)</f>
        <v>200192.63900000002</v>
      </c>
      <c r="M228" s="44"/>
      <c r="N228" s="41">
        <f t="shared" si="119"/>
        <v>8261.1311670830473</v>
      </c>
      <c r="O228" s="42" t="s">
        <v>170</v>
      </c>
      <c r="P228" s="40">
        <f>Q228/Q$193</f>
        <v>0.23299117928286064</v>
      </c>
      <c r="Q228" s="41">
        <f>+SUM(Q210:Q227)</f>
        <v>179234.364</v>
      </c>
      <c r="R228" s="44"/>
      <c r="S228" s="310">
        <f t="shared" si="120"/>
        <v>20958.275000000023</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0.86402585683253952</v>
      </c>
      <c r="F230" s="41">
        <f>F209+F228</f>
        <v>746829.04783510836</v>
      </c>
      <c r="G230" s="42" t="s">
        <v>111</v>
      </c>
      <c r="H230" s="40">
        <f>I230/I$193</f>
        <v>0.86402585683253952</v>
      </c>
      <c r="I230" s="41">
        <f>I209+I228</f>
        <v>746829.04783510836</v>
      </c>
      <c r="J230" s="42" t="s">
        <v>111</v>
      </c>
      <c r="K230" s="40">
        <f>L230/L$193</f>
        <v>0.92732960432898881</v>
      </c>
      <c r="L230" s="41">
        <f>L209+L228</f>
        <v>712677.70900000003</v>
      </c>
      <c r="M230" s="44"/>
      <c r="N230" s="46">
        <f t="shared" ref="N230:N232" si="129">L230-I230</f>
        <v>-34151.338835108327</v>
      </c>
      <c r="O230" s="42" t="s">
        <v>111</v>
      </c>
      <c r="P230" s="40">
        <f>Q230/Q$193</f>
        <v>0.86624967248396822</v>
      </c>
      <c r="Q230" s="41">
        <f>Q209+Q228</f>
        <v>666384.49399999995</v>
      </c>
      <c r="R230" s="44"/>
      <c r="S230" s="293">
        <f>L230-Q230</f>
        <v>46293.215000000084</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29"/>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117530.55660188524</v>
      </c>
      <c r="G232" s="338"/>
      <c r="H232" s="336"/>
      <c r="I232" s="337">
        <f>I193-I230</f>
        <v>117530.55660188524</v>
      </c>
      <c r="J232" s="339"/>
      <c r="K232" s="340"/>
      <c r="L232" s="337">
        <f>L193-L230</f>
        <v>55849.150999999838</v>
      </c>
      <c r="M232" s="339"/>
      <c r="N232" s="337">
        <f t="shared" si="129"/>
        <v>-61681.405601885403</v>
      </c>
      <c r="O232" s="339"/>
      <c r="P232" s="340"/>
      <c r="Q232" s="337">
        <f>Q193-Q230</f>
        <v>102890.82600000012</v>
      </c>
      <c r="R232" s="339"/>
      <c r="S232" s="341">
        <f>L232-Q232</f>
        <v>-47041.675000000279</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AAJ, Mai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426" t="s">
        <v>77</v>
      </c>
      <c r="E237" s="1427"/>
      <c r="F237" s="1428"/>
      <c r="G237" s="1429" t="s">
        <v>145</v>
      </c>
      <c r="H237" s="1427"/>
      <c r="I237" s="1428"/>
      <c r="J237" s="1429" t="s">
        <v>79</v>
      </c>
      <c r="K237" s="1427"/>
      <c r="L237" s="1428"/>
      <c r="M237" s="1429" t="s">
        <v>80</v>
      </c>
      <c r="N237" s="1428"/>
      <c r="O237" s="1426" t="s">
        <v>81</v>
      </c>
      <c r="P237" s="1427"/>
      <c r="Q237" s="1428"/>
      <c r="R237" s="1429" t="s">
        <v>82</v>
      </c>
      <c r="S237" s="1430"/>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tr">
        <f t="shared" ref="A238:A283" si="130">+B238&amp;C238</f>
        <v>Carrosserie</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tr">
        <f t="shared" si="130"/>
        <v>Carrosserie</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tr">
        <f t="shared" si="130"/>
        <v>CarrosserieM/O Sous-traitement</v>
      </c>
      <c r="B240" s="24" t="s">
        <v>171</v>
      </c>
      <c r="C240" s="544" t="s">
        <v>172</v>
      </c>
      <c r="D240" s="260">
        <f>+SUMPRODUCT(('Budget original'!$A$8:$A$500=$A240)*('Budget original'!$C$3:$AO$3=D$2),'Budget original'!$C$8:$AO$500)</f>
        <v>0</v>
      </c>
      <c r="E240" s="191">
        <f>+SUMPRODUCT(('Budget original'!$A$8:$A$500=$A240)*('Budget original'!$C$3:$AO$3=E$2),'Budget original'!$C$8:$AO$500)</f>
        <v>464121.45740086562</v>
      </c>
      <c r="F240" s="191">
        <f>+SUMPRODUCT(('Budget original'!$A$8:$A$500=$A240)*('Budget original'!$C$3:$AO$3=F$2),'Budget original'!$C$8:$AO$500)</f>
        <v>102664.10599727422</v>
      </c>
      <c r="G240" s="342">
        <f>+SUMPRODUCT(('Budget révisé'!$A$8:$A$500=$A240)*('Budget révisé'!$C$3:$AO$3=G$2),'Budget révisé'!$C$8:$AO$500)</f>
        <v>0</v>
      </c>
      <c r="H240" s="191">
        <f>+SUMPRODUCT(('Budget révisé'!$A$8:$A$500=$A240)*('Budget révisé'!$C$3:$AO$3=H$2),'Budget révisé'!$C$8:$AO$500)</f>
        <v>464121.45740086562</v>
      </c>
      <c r="I240" s="191">
        <f>+SUMPRODUCT(('Budget révisé'!$A$8:$A$500=$A240)*('Budget révisé'!$C$3:$AO$3=I$2),'Budget révisé'!$C$8:$AO$500)</f>
        <v>102664.10599727422</v>
      </c>
      <c r="J240" s="319">
        <f>-SUMIFS(BV_Data_An_Cour!$P:$P,BV_Data_An_Cour!$U:$U,$B240,BV_Data_An_Cour!$V:$V,$C240,BV_Data_An_Cour!$W:$W,J$2)</f>
        <v>388</v>
      </c>
      <c r="K240" s="173">
        <f>-SUMIFS(BV_Data_An_Cour!$P:$P,BV_Data_An_Cour!$X:$X,"Oui",BV_Data_An_Cour!$U:$U,$B240,BV_Data_An_Cour!$V:$V,$C240)</f>
        <v>522873.29000000004</v>
      </c>
      <c r="L240" s="174">
        <f>-SUMIFS(BV_Data_An_Cour!$P:$P,BV_Data_An_Cour!$U:$U,$B240,BV_Data_An_Cour!$V:$V,$C240,BV_Data_An_Cour!$W:$W,$L$2)</f>
        <v>115156.09000000003</v>
      </c>
      <c r="M240" s="318">
        <f>IFERROR((K240-H240)/H240,0)</f>
        <v>0.12658719320617398</v>
      </c>
      <c r="N240" s="298">
        <f>L240-I240</f>
        <v>12491.984002725803</v>
      </c>
      <c r="O240" s="319">
        <f>-SUMIFS(BV_Data_An_Prec!$P:$P,BV_Data_An_Prec!$U:$U,$B240,BV_Data_An_Prec!$V:$V,$C240,BV_Data_An_Prec!$W:$W,O$2)</f>
        <v>286</v>
      </c>
      <c r="P240" s="173">
        <f>-SUMIFS(BV_Data_An_Prec!$P:$P,BV_Data_An_Prec!$X:$X,"Oui",BV_Data_An_Prec!$U:$U,$B240,BV_Data_An_Prec!$V:$V,$C240)</f>
        <v>425613.80000000005</v>
      </c>
      <c r="Q240" s="174">
        <f>-SUMIFS(BV_Data_An_Prec!$P:$P,BV_Data_An_Prec!$U:$U,$B240,BV_Data_An_Prec!$V:$V,$C240,BV_Data_An_Prec!$W:$W,$L$2)</f>
        <v>87588.720000000059</v>
      </c>
      <c r="R240" s="318">
        <f>IF(O240=0,0,J240/O240)</f>
        <v>1.3566433566433567</v>
      </c>
      <c r="S240" s="193">
        <f>L240-Q240</f>
        <v>27567.369999999966</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tr">
        <f t="shared" si="130"/>
        <v>Carrosserie% profit / ventes</v>
      </c>
      <c r="B241" s="24" t="s">
        <v>171</v>
      </c>
      <c r="C241" s="258" t="s">
        <v>160</v>
      </c>
      <c r="D241" s="260"/>
      <c r="E241" s="343"/>
      <c r="F241" s="344">
        <f>IFERROR(F240/E240,0)</f>
        <v>0.22120094720939043</v>
      </c>
      <c r="G241" s="297"/>
      <c r="H241" s="343"/>
      <c r="I241" s="344">
        <f>IFERROR(I240/H240,0)</f>
        <v>0.22120094720939043</v>
      </c>
      <c r="J241" s="319"/>
      <c r="K241" s="172"/>
      <c r="L241" s="344">
        <f>IFERROR(L240/K240,0)</f>
        <v>0.22023708650330948</v>
      </c>
      <c r="M241" s="318"/>
      <c r="N241" s="298">
        <f>IFERROR(N240/M240,0)</f>
        <v>98682.84212906094</v>
      </c>
      <c r="O241" s="319"/>
      <c r="P241" s="172"/>
      <c r="Q241" s="344">
        <f>IFERROR(Q240/P240,0)</f>
        <v>0.20579389108153931</v>
      </c>
      <c r="R241" s="319"/>
      <c r="S241" s="193">
        <f>IFERROR(S240/R240,0)</f>
        <v>20320.277886597913</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tr">
        <f t="shared" si="130"/>
        <v>Carrosserie</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tr">
        <f t="shared" si="130"/>
        <v>CarrosserieM/O Carrosserie</v>
      </c>
      <c r="B243" s="24" t="s">
        <v>171</v>
      </c>
      <c r="C243" s="345" t="s">
        <v>173</v>
      </c>
      <c r="D243" s="346">
        <f>+SUMPRODUCT(('Budget original'!$A$8:$A$500=$A243)*('Budget original'!$C$3:$AO$3=D$2),'Budget original'!$C$8:$AO$500)</f>
        <v>0</v>
      </c>
      <c r="E243" s="191">
        <f>+SUMPRODUCT(('Budget original'!$A$8:$A$500=$A243)*('Budget original'!$C$3:$AO$3=E$2),'Budget original'!$C$8:$AO$500)</f>
        <v>0</v>
      </c>
      <c r="F243" s="191">
        <f>+SUMPRODUCT(('Budget original'!$A$8:$A$500=$A243)*('Budget original'!$C$3:$AO$3=F$2),'Budget original'!$C$8:$AO$500)</f>
        <v>0</v>
      </c>
      <c r="G243" s="347">
        <f>+SUMPRODUCT(('Budget révisé'!$A$8:$A$500=$A243)*('Budget révisé'!$C$3:$AO$3=G$2),'Budget révisé'!$C$8:$AO$500)</f>
        <v>0</v>
      </c>
      <c r="H243" s="191">
        <f>+SUMPRODUCT(('Budget révisé'!$A$8:$A$500=$A243)*('Budget révisé'!$C$3:$AO$3=H$2),'Budget révisé'!$C$8:$AO$500)</f>
        <v>0</v>
      </c>
      <c r="I243" s="191">
        <f>+SUMPRODUCT(('Budget révisé'!$A$8:$A$500=$A243)*('Budget révisé'!$C$3:$AO$3=I$2),'Budget révisé'!$C$8:$AO$500)</f>
        <v>0</v>
      </c>
      <c r="J243" s="348">
        <f>SUMIFS(BV_Data_An_Cour!$C$1:$C$453,BV_Data_An_Cour!$V$1:$V$453,$C243,BV_Data_An_Cour!$U$1:$U$453,$K$235)</f>
        <v>0</v>
      </c>
      <c r="K243" s="180">
        <f>-SUMIFS(BV_Data_An_Cour!$P:$P,BV_Data_An_Cour!$X:$X,"Oui",BV_Data_An_Cour!$U:$U,$B243,BV_Data_An_Cour!$V:$V,$C243)</f>
        <v>0</v>
      </c>
      <c r="L243" s="175">
        <f>-SUMIFS(BV_Data_An_Cour!$P:$P,BV_Data_An_Cour!$U:$U,$B243,BV_Data_An_Cour!$V:$V,$C243,BV_Data_An_Cour!$W:$W,$L$2)</f>
        <v>0</v>
      </c>
      <c r="M243" s="349" t="e">
        <f>(K243-H243)/H243</f>
        <v>#DIV/0!</v>
      </c>
      <c r="N243" s="350">
        <f>L243-I243</f>
        <v>0</v>
      </c>
      <c r="O243" s="348">
        <f>SUMIFS(BV_Data_An_Prec!$C$1:$C$637,BV_Data_An_Prec!$V$1:$V$637,$C243,BV_Data_An_Prec!$U$1:$U$637,$K$235)</f>
        <v>0</v>
      </c>
      <c r="P243" s="180">
        <f>-SUMIFS(BV_Data_An_Prec!$P:$P,BV_Data_An_Prec!$X:$X,"Oui",BV_Data_An_Prec!$U:$U,$B243,BV_Data_An_Prec!$V:$V,$C243)</f>
        <v>0</v>
      </c>
      <c r="Q243" s="175">
        <f>-SUMIFS(BV_Data_An_Prec!$P:$P,BV_Data_An_Prec!$U:$U,$B243,BV_Data_An_Prec!$V:$V,$C243,BV_Data_An_Prec!$W:$W,$L$2)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tr">
        <f t="shared" si="130"/>
        <v>Carrosserie% profit / ventes</v>
      </c>
      <c r="B244" s="24" t="s">
        <v>171</v>
      </c>
      <c r="C244" s="258" t="s">
        <v>160</v>
      </c>
      <c r="D244" s="172"/>
      <c r="E244" s="343"/>
      <c r="F244" s="344" t="e">
        <f>F243/E243</f>
        <v>#DIV/0!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tr">
        <f t="shared" si="130"/>
        <v>Carrosserie</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tr">
        <f t="shared" si="130"/>
        <v>CarrosserieM/O Esthétique Carr.</v>
      </c>
      <c r="B246" s="24" t="s">
        <v>171</v>
      </c>
      <c r="C246" s="345" t="s">
        <v>174</v>
      </c>
      <c r="D246" s="351">
        <f>+SUMPRODUCT(('Budget original'!$A$8:$A$500=$A246)*('Budget original'!$C$3:$AO$3=D$2),'Budget original'!$C$8:$AO$500)</f>
        <v>0</v>
      </c>
      <c r="E246" s="191">
        <f>+SUMPRODUCT(('Budget original'!$A$8:$A$500=$A246)*('Budget original'!$C$3:$AO$3=E$2),'Budget original'!$C$8:$AO$500)</f>
        <v>0</v>
      </c>
      <c r="F246" s="191">
        <f>+SUMPRODUCT(('Budget original'!$A$8:$A$500=$A246)*('Budget original'!$C$3:$AO$3=F$2),'Budget original'!$C$8:$AO$500)</f>
        <v>0</v>
      </c>
      <c r="G246" s="348">
        <f>+SUMPRODUCT(('Budget révisé'!$A$8:$A$500=$A246)*('Budget révisé'!$C$3:$AO$3=G$2),'Budget révisé'!$C$8:$AO$500)</f>
        <v>0</v>
      </c>
      <c r="H246" s="191">
        <f>+SUMPRODUCT(('Budget révisé'!$A$8:$A$500=$A246)*('Budget révisé'!$C$3:$AO$3=H$2),'Budget révisé'!$C$8:$AO$500)</f>
        <v>0</v>
      </c>
      <c r="I246" s="191">
        <f>+SUMPRODUCT(('Budget révisé'!$A$8:$A$500=$A246)*('Budget révisé'!$C$3:$AO$3=I$2),'Budget révisé'!$C$8:$AO$500)</f>
        <v>0</v>
      </c>
      <c r="J246" s="348">
        <f>SUMIFS(BV_Data_An_Cour!$C$1:$C$453,BV_Data_An_Cour!$V$1:$V$453,$C246,BV_Data_An_Cour!$U$1:$U$453,$K$235)</f>
        <v>0</v>
      </c>
      <c r="K246" s="173">
        <f>-SUMIFS(BV_Data_An_Cour!$P:$P,BV_Data_An_Cour!$X:$X,"Oui",BV_Data_An_Cour!$U:$U,$B246,BV_Data_An_Cour!$V:$V,$C246)</f>
        <v>0</v>
      </c>
      <c r="L246" s="174">
        <f>-SUMIFS(BV_Data_An_Cour!$P:$P,BV_Data_An_Cour!$U:$U,$B246,BV_Data_An_Cour!$V:$V,$C246,BV_Data_An_Cour!$W:$W,$L$2)</f>
        <v>0</v>
      </c>
      <c r="M246" s="318" t="e">
        <f>(K246-H246)/H246</f>
        <v>#DIV/0!</v>
      </c>
      <c r="N246" s="350">
        <f>L246-I246</f>
        <v>0</v>
      </c>
      <c r="O246" s="348">
        <f>SUMIFS(BV_Data_An_Prec!$C$1:$C$637,BV_Data_An_Prec!$V$1:$V$637,$C246,BV_Data_An_Prec!$U$1:$U$637,$K$235)</f>
        <v>0</v>
      </c>
      <c r="P246" s="173">
        <f>-SUMIFS(BV_Data_An_Prec!$P:$P,BV_Data_An_Prec!$X:$X,"Oui",BV_Data_An_Prec!$U:$U,$B246,BV_Data_An_Prec!$V:$V,$C246)</f>
        <v>0</v>
      </c>
      <c r="Q246" s="174">
        <f>-SUMIFS(BV_Data_An_Prec!$P:$P,BV_Data_An_Prec!$U:$U,$B246,BV_Data_An_Prec!$V:$V,$C246,BV_Data_An_Prec!$W:$W,$L$2)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tr">
        <f t="shared" si="130"/>
        <v>Carrosserie% profit / ventes</v>
      </c>
      <c r="B247" s="24" t="s">
        <v>171</v>
      </c>
      <c r="C247" s="258" t="s">
        <v>160</v>
      </c>
      <c r="D247" s="172"/>
      <c r="E247" s="172"/>
      <c r="F247" s="344" t="e">
        <f>F246/E246</f>
        <v>#DIV/0!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tr">
        <f t="shared" si="130"/>
        <v>Carrosserie</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tr">
        <f t="shared" si="130"/>
        <v>CarrosserieTotal Mécanique</v>
      </c>
      <c r="B249" s="24" t="s">
        <v>171</v>
      </c>
      <c r="C249" s="263" t="s">
        <v>169</v>
      </c>
      <c r="D249" s="26"/>
      <c r="E249" s="26">
        <f t="shared" ref="E249:F249" si="131">E243+E246+E240</f>
        <v>464121.45740086562</v>
      </c>
      <c r="F249" s="28">
        <f t="shared" si="131"/>
        <v>102664.10599727422</v>
      </c>
      <c r="G249" s="29"/>
      <c r="H249" s="26">
        <f t="shared" ref="H249:I249" si="132">H243+H246+H240</f>
        <v>464121.45740086562</v>
      </c>
      <c r="I249" s="28">
        <f t="shared" si="132"/>
        <v>102664.10599727422</v>
      </c>
      <c r="J249" s="29"/>
      <c r="K249" s="26">
        <f t="shared" ref="K249:L249" si="133">K243+K246+K240</f>
        <v>522873.29000000004</v>
      </c>
      <c r="L249" s="28">
        <f t="shared" si="133"/>
        <v>115156.09000000003</v>
      </c>
      <c r="M249" s="70">
        <f>L250-I250</f>
        <v>-9.6386070608095453E-4</v>
      </c>
      <c r="N249" s="28">
        <f>L249-I249</f>
        <v>12491.984002725803</v>
      </c>
      <c r="O249" s="29"/>
      <c r="P249" s="26">
        <f t="shared" ref="P249:Q249" si="134">P243+P246+P240</f>
        <v>425613.80000000005</v>
      </c>
      <c r="Q249" s="28">
        <f t="shared" si="134"/>
        <v>87588.720000000059</v>
      </c>
      <c r="R249" s="70">
        <f>L250-Q250</f>
        <v>1.4443195421770166E-2</v>
      </c>
      <c r="S249" s="357">
        <f>L249-Q249</f>
        <v>27567.369999999966</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tr">
        <f t="shared" si="130"/>
        <v>Carrosserie</v>
      </c>
      <c r="B250" s="24" t="s">
        <v>171</v>
      </c>
      <c r="C250" s="358"/>
      <c r="D250" s="359"/>
      <c r="E250" s="359"/>
      <c r="F250" s="34">
        <f>F249/E249</f>
        <v>0.22120094720939043</v>
      </c>
      <c r="G250" s="31"/>
      <c r="H250" s="359"/>
      <c r="I250" s="34">
        <f>I249/H249</f>
        <v>0.22120094720939043</v>
      </c>
      <c r="J250" s="31"/>
      <c r="K250" s="359"/>
      <c r="L250" s="34">
        <f>IF(K249=0,0,L249/K249)</f>
        <v>0.22023708650330948</v>
      </c>
      <c r="M250" s="33"/>
      <c r="N250" s="34">
        <f>N249/I249</f>
        <v>0.12167820370497816</v>
      </c>
      <c r="O250" s="31"/>
      <c r="P250" s="359"/>
      <c r="Q250" s="34">
        <f>IF(P249=0,0,Q249/P249)</f>
        <v>0.20579389108153931</v>
      </c>
      <c r="R250" s="33"/>
      <c r="S250" s="266">
        <f>IF(Q249=0,0,(S249/Q249))</f>
        <v>0.31473653228406523</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tr">
        <f t="shared" si="130"/>
        <v>Carrosserie</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tr">
        <f t="shared" si="130"/>
        <v>CarrosserieDEPENSES</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tr">
        <f t="shared" si="130"/>
        <v>CarrosserieSalaires cadres</v>
      </c>
      <c r="B253" s="24" t="s">
        <v>171</v>
      </c>
      <c r="C253" s="274" t="s">
        <v>112</v>
      </c>
      <c r="D253" s="227"/>
      <c r="E253" s="227"/>
      <c r="F253" s="225">
        <f>+SUMPRODUCT(('Budget original'!$A$8:$A$500=$A253)*('Budget original'!$C$3:$AO$3=F$2),'Budget original'!$C$8:$AO$500)</f>
        <v>1584.5941570881225</v>
      </c>
      <c r="G253" s="221"/>
      <c r="H253" s="227"/>
      <c r="I253" s="225">
        <f>+SUMPRODUCT(('Budget révisé'!$A$8:$A$500=$A253)*('Budget révisé'!$C$3:$AO$3=I$2),'Budget révisé'!$C$8:$AO$500)</f>
        <v>1584.5941570881225</v>
      </c>
      <c r="J253" s="221"/>
      <c r="K253" s="227"/>
      <c r="L253" s="275">
        <f>SUMIFS(BV_Data_An_Cour!$P:$P,BV_Data_An_Cour!$U:$U,$B253,BV_Data_An_Cour!$V:$V,$C253,BV_Data_An_Cour!$W:$W,$L$2)</f>
        <v>6009.4</v>
      </c>
      <c r="M253" s="221"/>
      <c r="N253" s="226">
        <f t="shared" ref="N253:N283" si="135">L253-I253</f>
        <v>4424.8058429118773</v>
      </c>
      <c r="O253" s="221"/>
      <c r="P253" s="227"/>
      <c r="Q253" s="275">
        <f>SUMIFS(BV_Data_An_Prec!$P:$P,BV_Data_An_Prec!$U:$U,$B253,BV_Data_An_Prec!$V:$V,$C253,BV_Data_An_Prec!$W:$W,$L$2)</f>
        <v>4045.6</v>
      </c>
      <c r="R253" s="221"/>
      <c r="S253" s="506">
        <f>L253-Q253</f>
        <v>1963.7999999999997</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tr">
        <f t="shared" si="130"/>
        <v>CarrosserieSalaires commis</v>
      </c>
      <c r="B254" s="24" t="s">
        <v>171</v>
      </c>
      <c r="C254" s="276" t="s">
        <v>113</v>
      </c>
      <c r="D254" s="256"/>
      <c r="E254" s="227"/>
      <c r="F254" s="238">
        <f>+SUMPRODUCT(('Budget original'!$A$8:$A$500=$A254)*('Budget original'!$C$3:$AO$3=F$2),'Budget original'!$C$8:$AO$500)</f>
        <v>2655.6874296532569</v>
      </c>
      <c r="G254" s="277"/>
      <c r="H254" s="227"/>
      <c r="I254" s="238">
        <f>+SUMPRODUCT(('Budget révisé'!$A$8:$A$500=$A254)*('Budget révisé'!$C$3:$AO$3=I$2),'Budget révisé'!$C$8:$AO$500)</f>
        <v>2655.6874296532569</v>
      </c>
      <c r="J254" s="221"/>
      <c r="K254" s="227"/>
      <c r="L254" s="275">
        <f>SUMIFS(BV_Data_An_Cour!$P:$P,BV_Data_An_Cour!$U:$U,$B254,BV_Data_An_Cour!$V:$V,$C254,BV_Data_An_Cour!$W:$W,$L$2)</f>
        <v>2253.5700000000002</v>
      </c>
      <c r="M254" s="221"/>
      <c r="N254" s="226">
        <f t="shared" si="135"/>
        <v>-402.11742965325675</v>
      </c>
      <c r="O254" s="221"/>
      <c r="P254" s="227"/>
      <c r="Q254" s="275">
        <f>SUMIFS(BV_Data_An_Prec!$P:$P,BV_Data_An_Prec!$U:$U,$B254,BV_Data_An_Prec!$V:$V,$C254,BV_Data_An_Prec!$W:$W,$L$2)</f>
        <v>3210</v>
      </c>
      <c r="R254" s="221"/>
      <c r="S254" s="278">
        <f>L254-Q254</f>
        <v>-956.42999999999984</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tr">
        <f t="shared" si="130"/>
        <v>CarrosserieSalaires autres</v>
      </c>
      <c r="B255" s="24" t="s">
        <v>171</v>
      </c>
      <c r="C255" s="274" t="s">
        <v>114</v>
      </c>
      <c r="D255" s="279"/>
      <c r="E255" s="280"/>
      <c r="F255" s="225">
        <f>+SUMPRODUCT(('Budget original'!$A$8:$A$500=$A255)*('Budget original'!$C$3:$AO$3=F$2),'Budget original'!$C$8:$AO$500)</f>
        <v>2285.512966697318</v>
      </c>
      <c r="G255" s="281"/>
      <c r="H255" s="280"/>
      <c r="I255" s="225">
        <f>+SUMPRODUCT(('Budget révisé'!$A$8:$A$500=$A255)*('Budget révisé'!$C$3:$AO$3=I$2),'Budget révisé'!$C$8:$AO$500)</f>
        <v>2285.512966697318</v>
      </c>
      <c r="J255" s="282"/>
      <c r="K255" s="280"/>
      <c r="L255" s="239">
        <f>SUMIFS(BV_Data_An_Cour!$P:$P,BV_Data_An_Cour!$U:$U,$B255,BV_Data_An_Cour!$V:$V,$C255,BV_Data_An_Cour!$W:$W,$L$2)</f>
        <v>4790.07</v>
      </c>
      <c r="M255" s="282"/>
      <c r="N255" s="283">
        <f t="shared" si="135"/>
        <v>2504.5570333026817</v>
      </c>
      <c r="O255" s="282"/>
      <c r="P255" s="280"/>
      <c r="Q255" s="239">
        <f>SUMIFS(BV_Data_An_Prec!$P:$P,BV_Data_An_Prec!$U:$U,$B255,BV_Data_An_Prec!$V:$V,$C255,BV_Data_An_Prec!$W:$W,$L$2)</f>
        <v>18539.650000000001</v>
      </c>
      <c r="R255" s="282"/>
      <c r="S255" s="284">
        <f t="shared" ref="S255:S284" si="136">L255-Q255</f>
        <v>-13749.580000000002</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tr">
        <f t="shared" si="130"/>
        <v>CarrosserieSalaires spécialistes</v>
      </c>
      <c r="B256" s="24" t="s">
        <v>171</v>
      </c>
      <c r="C256" s="274" t="s">
        <v>115</v>
      </c>
      <c r="D256" s="256"/>
      <c r="E256" s="227"/>
      <c r="F256" s="225">
        <f>+SUMPRODUCT(('Budget original'!$A$8:$A$500=$A256)*('Budget original'!$C$3:$AO$3=F$2),'Budget original'!$C$8:$AO$500)</f>
        <v>20948.275862068967</v>
      </c>
      <c r="G256" s="277"/>
      <c r="H256" s="227"/>
      <c r="I256" s="225">
        <f>+SUMPRODUCT(('Budget révisé'!$A$8:$A$500=$A256)*('Budget révisé'!$C$3:$AO$3=I$2),'Budget révisé'!$C$8:$AO$500)</f>
        <v>20948.275862068967</v>
      </c>
      <c r="J256" s="221"/>
      <c r="K256" s="227"/>
      <c r="L256" s="275">
        <f>SUMIFS(BV_Data_An_Cour!$P:$P,BV_Data_An_Cour!$U:$U,$B256,BV_Data_An_Cour!$V:$V,$C256,BV_Data_An_Cour!$W:$W,$L$2)</f>
        <v>16420.63</v>
      </c>
      <c r="M256" s="221"/>
      <c r="N256" s="226">
        <f t="shared" si="135"/>
        <v>-4527.6458620689664</v>
      </c>
      <c r="O256" s="221"/>
      <c r="P256" s="227"/>
      <c r="Q256" s="275">
        <f>SUMIFS(BV_Data_An_Prec!$P:$P,BV_Data_An_Prec!$U:$U,$B256,BV_Data_An_Prec!$V:$V,$C256,BV_Data_An_Prec!$W:$W,$L$2)</f>
        <v>13304.01</v>
      </c>
      <c r="R256" s="221"/>
      <c r="S256" s="278">
        <f t="shared" si="136"/>
        <v>3116.6200000000008</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tr">
        <f t="shared" si="130"/>
        <v>Carrosserie[...]</v>
      </c>
      <c r="B257" s="24" t="s">
        <v>171</v>
      </c>
      <c r="C257" s="285" t="s">
        <v>42</v>
      </c>
      <c r="D257" s="256"/>
      <c r="E257" s="227"/>
      <c r="F257" s="225">
        <f>+SUMPRODUCT(('Budget original'!$A$8:$A$500=$A257)*('Budget original'!$C$3:$AO$3=F$2),'Budget original'!$C$8:$AO$500)</f>
        <v>0</v>
      </c>
      <c r="G257" s="277"/>
      <c r="H257" s="227"/>
      <c r="I257" s="225">
        <f>+SUMPRODUCT(('Budget révisé'!$A$8:$A$500=$A257)*('Budget révisé'!$C$3:$AO$3=I$2),'Budget révisé'!$C$8:$AO$500)</f>
        <v>0</v>
      </c>
      <c r="J257" s="221"/>
      <c r="K257" s="227"/>
      <c r="L257" s="275">
        <f>SUMIFS(BV_Data_An_Cour!$P:$P,BV_Data_An_Cour!$U:$U,$B257,BV_Data_An_Cour!$V:$V,$C257,BV_Data_An_Cour!$W:$W,$L$2)</f>
        <v>0</v>
      </c>
      <c r="M257" s="221"/>
      <c r="N257" s="226">
        <f t="shared" si="135"/>
        <v>0</v>
      </c>
      <c r="O257" s="221"/>
      <c r="P257" s="227"/>
      <c r="Q257" s="275">
        <f>SUMIFS(BV_Data_An_Prec!$P:$P,BV_Data_An_Prec!$U:$U,$B257,BV_Data_An_Prec!$V:$V,$C257,BV_Data_An_Prec!$W:$W,$L$2)</f>
        <v>0</v>
      </c>
      <c r="R257" s="221"/>
      <c r="S257" s="278">
        <f t="shared" si="136"/>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tr">
        <f t="shared" si="130"/>
        <v>Carrosserie[...]</v>
      </c>
      <c r="B258" s="24" t="s">
        <v>171</v>
      </c>
      <c r="C258" s="285" t="s">
        <v>42</v>
      </c>
      <c r="D258" s="256"/>
      <c r="E258" s="227"/>
      <c r="F258" s="225">
        <f>+SUMPRODUCT(('Budget original'!$A$8:$A$500=$A258)*('Budget original'!$C$3:$AO$3=F$2),'Budget original'!$C$8:$AO$500)</f>
        <v>0</v>
      </c>
      <c r="G258" s="277"/>
      <c r="H258" s="227"/>
      <c r="I258" s="225">
        <f>+SUMPRODUCT(('Budget révisé'!$A$8:$A$500=$A258)*('Budget révisé'!$C$3:$AO$3=I$2),'Budget révisé'!$C$8:$AO$500)</f>
        <v>0</v>
      </c>
      <c r="J258" s="221"/>
      <c r="K258" s="227"/>
      <c r="L258" s="275">
        <f>SUMIFS(BV_Data_An_Cour!$P:$P,BV_Data_An_Cour!$U:$U,$B258,BV_Data_An_Cour!$V:$V,$C258,BV_Data_An_Cour!$W:$W,$L$2)</f>
        <v>0</v>
      </c>
      <c r="M258" s="221"/>
      <c r="N258" s="226">
        <f t="shared" si="135"/>
        <v>0</v>
      </c>
      <c r="O258" s="221"/>
      <c r="P258" s="227"/>
      <c r="Q258" s="275">
        <f>SUMIFS(BV_Data_An_Prec!$P:$P,BV_Data_An_Prec!$U:$U,$B258,BV_Data_An_Prec!$V:$V,$C258,BV_Data_An_Prec!$W:$W,$L$2)</f>
        <v>0</v>
      </c>
      <c r="R258" s="221"/>
      <c r="S258" s="278">
        <f t="shared" si="136"/>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tr">
        <f t="shared" si="130"/>
        <v>Carrosserie[...]</v>
      </c>
      <c r="B259" s="24" t="s">
        <v>171</v>
      </c>
      <c r="C259" s="285" t="s">
        <v>42</v>
      </c>
      <c r="D259" s="256"/>
      <c r="E259" s="227"/>
      <c r="F259" s="225">
        <f>+SUMPRODUCT(('Budget original'!$A$8:$A$500=$A259)*('Budget original'!$C$3:$AO$3=F$2),'Budget original'!$C$8:$AO$500)</f>
        <v>0</v>
      </c>
      <c r="G259" s="277"/>
      <c r="H259" s="227"/>
      <c r="I259" s="225">
        <f>+SUMPRODUCT(('Budget révisé'!$A$8:$A$500=$A259)*('Budget révisé'!$C$3:$AO$3=I$2),'Budget révisé'!$C$8:$AO$500)</f>
        <v>0</v>
      </c>
      <c r="J259" s="221"/>
      <c r="K259" s="227"/>
      <c r="L259" s="275">
        <f>SUMIFS(BV_Data_An_Cour!$P:$P,BV_Data_An_Cour!$U:$U,$B259,BV_Data_An_Cour!$V:$V,$C259,BV_Data_An_Cour!$W:$W,$L$2)</f>
        <v>0</v>
      </c>
      <c r="M259" s="221"/>
      <c r="N259" s="226">
        <f t="shared" si="135"/>
        <v>0</v>
      </c>
      <c r="O259" s="221"/>
      <c r="P259" s="227"/>
      <c r="Q259" s="275">
        <f>SUMIFS(BV_Data_An_Prec!$P:$P,BV_Data_An_Prec!$U:$U,$B259,BV_Data_An_Prec!$V:$V,$C259,BV_Data_An_Prec!$W:$W,$L$2)</f>
        <v>0</v>
      </c>
      <c r="R259" s="221"/>
      <c r="S259" s="278">
        <f t="shared" si="136"/>
        <v>0</v>
      </c>
      <c r="T259" s="216"/>
      <c r="U259" s="216"/>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tr">
        <f t="shared" si="130"/>
        <v>CarrosserieSalaires en absences</v>
      </c>
      <c r="B260" s="24" t="s">
        <v>171</v>
      </c>
      <c r="C260" s="276" t="s">
        <v>116</v>
      </c>
      <c r="D260" s="256"/>
      <c r="E260" s="227"/>
      <c r="F260" s="238">
        <f>+SUMPRODUCT(('Budget original'!$A$8:$A$500=$A260)*('Budget original'!$C$3:$AO$3=F$2),'Budget original'!$C$8:$AO$500)</f>
        <v>3345.7667678163489</v>
      </c>
      <c r="G260" s="277"/>
      <c r="H260" s="227"/>
      <c r="I260" s="238">
        <f>+SUMPRODUCT(('Budget révisé'!$A$8:$A$500=$A260)*('Budget révisé'!$C$3:$AO$3=I$2),'Budget révisé'!$C$8:$AO$500)</f>
        <v>3345.7667678163489</v>
      </c>
      <c r="J260" s="221"/>
      <c r="K260" s="227"/>
      <c r="L260" s="275">
        <f>SUMIFS(BV_Data_An_Cour!$P:$P,BV_Data_An_Cour!$U:$U,$B260,BV_Data_An_Cour!$V:$V,$C260,BV_Data_An_Cour!$W:$W,$L$2)</f>
        <v>2834.79</v>
      </c>
      <c r="M260" s="221"/>
      <c r="N260" s="226">
        <f t="shared" si="135"/>
        <v>-510.97676781634891</v>
      </c>
      <c r="O260" s="221"/>
      <c r="P260" s="227"/>
      <c r="Q260" s="275">
        <f>SUMIFS(BV_Data_An_Prec!$P:$P,BV_Data_An_Prec!$U:$U,$B260,BV_Data_An_Prec!$V:$V,$C260,BV_Data_An_Prec!$W:$W,$L$2)</f>
        <v>2484.81</v>
      </c>
      <c r="R260" s="221"/>
      <c r="S260" s="278">
        <f t="shared" si="136"/>
        <v>349.98</v>
      </c>
      <c r="T260" s="216"/>
      <c r="U260" s="216"/>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tr">
        <f t="shared" si="130"/>
        <v>CarrosserieDéduction à la source</v>
      </c>
      <c r="B261" s="24" t="s">
        <v>171</v>
      </c>
      <c r="C261" s="274" t="s">
        <v>117</v>
      </c>
      <c r="D261" s="279"/>
      <c r="E261" s="280"/>
      <c r="F261" s="225">
        <f>+SUMPRODUCT(('Budget original'!$A$8:$A$500=$A261)*('Budget original'!$C$3:$AO$3=F$2),'Budget original'!$C$8:$AO$500)</f>
        <v>2996.4771008417815</v>
      </c>
      <c r="G261" s="281"/>
      <c r="H261" s="280"/>
      <c r="I261" s="225">
        <f>+SUMPRODUCT(('Budget révisé'!$A$8:$A$500=$A261)*('Budget révisé'!$C$3:$AO$3=I$2),'Budget révisé'!$C$8:$AO$500)</f>
        <v>2996.4771008417815</v>
      </c>
      <c r="J261" s="282"/>
      <c r="K261" s="280"/>
      <c r="L261" s="239">
        <f>SUMIFS(BV_Data_An_Cour!$P:$P,BV_Data_An_Cour!$U:$U,$B261,BV_Data_An_Cour!$V:$V,$C261,BV_Data_An_Cour!$W:$W,$L$2)</f>
        <v>7214.77</v>
      </c>
      <c r="M261" s="282"/>
      <c r="N261" s="283">
        <f t="shared" si="135"/>
        <v>4218.2928991582194</v>
      </c>
      <c r="O261" s="282"/>
      <c r="P261" s="280"/>
      <c r="Q261" s="239">
        <f>SUMIFS(BV_Data_An_Prec!$P:$P,BV_Data_An_Prec!$U:$U,$B261,BV_Data_An_Prec!$V:$V,$C261,BV_Data_An_Prec!$W:$W,$L$2)</f>
        <v>4571.12</v>
      </c>
      <c r="R261" s="282"/>
      <c r="S261" s="284">
        <f t="shared" si="136"/>
        <v>2643.6500000000005</v>
      </c>
      <c r="T261" s="216"/>
      <c r="U261" s="955">
        <f>L261-Print_Mois!L261</f>
        <v>5427.0300000000007</v>
      </c>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tr">
        <f t="shared" si="130"/>
        <v>CarrosserieBénéfices marginaux</v>
      </c>
      <c r="B262" s="24" t="s">
        <v>171</v>
      </c>
      <c r="C262" s="274" t="s">
        <v>118</v>
      </c>
      <c r="D262" s="256"/>
      <c r="E262" s="227"/>
      <c r="F262" s="225">
        <f>+SUMPRODUCT(('Budget original'!$A$8:$A$500=$A262)*('Budget original'!$C$3:$AO$3=F$2),'Budget original'!$C$8:$AO$500)</f>
        <v>2379.5553447861207</v>
      </c>
      <c r="G262" s="277"/>
      <c r="H262" s="227"/>
      <c r="I262" s="225">
        <f>+SUMPRODUCT(('Budget révisé'!$A$8:$A$500=$A262)*('Budget révisé'!$C$3:$AO$3=I$2),'Budget révisé'!$C$8:$AO$500)</f>
        <v>2379.5553447861207</v>
      </c>
      <c r="J262" s="221"/>
      <c r="K262" s="227"/>
      <c r="L262" s="275">
        <f>SUMIFS(BV_Data_An_Cour!$P:$P,BV_Data_An_Cour!$U:$U,$B262,BV_Data_An_Cour!$V:$V,$C262,BV_Data_An_Cour!$W:$W,$L$2)</f>
        <v>5206.62</v>
      </c>
      <c r="M262" s="221"/>
      <c r="N262" s="226">
        <f t="shared" si="135"/>
        <v>2827.0646552138792</v>
      </c>
      <c r="O262" s="221"/>
      <c r="P262" s="227"/>
      <c r="Q262" s="275">
        <f>SUMIFS(BV_Data_An_Prec!$P:$P,BV_Data_An_Prec!$U:$U,$B262,BV_Data_An_Prec!$V:$V,$C262,BV_Data_An_Prec!$W:$W,$L$2)</f>
        <v>3275.96</v>
      </c>
      <c r="R262" s="221"/>
      <c r="S262" s="278">
        <f t="shared" si="136"/>
        <v>1930.6599999999999</v>
      </c>
      <c r="T262" s="227"/>
      <c r="U262" s="955">
        <f>L262-Print_Mois!L262</f>
        <v>3751.79</v>
      </c>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tr">
        <f t="shared" si="130"/>
        <v>CarrosserieCsst</v>
      </c>
      <c r="B263" s="24" t="s">
        <v>171</v>
      </c>
      <c r="C263" s="274" t="s">
        <v>119</v>
      </c>
      <c r="D263" s="256"/>
      <c r="E263" s="227"/>
      <c r="F263" s="225">
        <f>+SUMPRODUCT(('Budget original'!$A$8:$A$500=$A263)*('Budget original'!$C$3:$AO$3=F$2),'Budget original'!$C$8:$AO$500)</f>
        <v>969.44847380175293</v>
      </c>
      <c r="G263" s="277"/>
      <c r="H263" s="227"/>
      <c r="I263" s="225">
        <f>+SUMPRODUCT(('Budget révisé'!$A$8:$A$500=$A263)*('Budget révisé'!$C$3:$AO$3=I$2),'Budget révisé'!$C$8:$AO$500)</f>
        <v>969.44847380175293</v>
      </c>
      <c r="J263" s="221"/>
      <c r="K263" s="227"/>
      <c r="L263" s="275">
        <f>SUMIFS(BV_Data_An_Cour!$P:$P,BV_Data_An_Cour!$U:$U,$B263,BV_Data_An_Cour!$V:$V,$C263,BV_Data_An_Cour!$W:$W,$L$2)</f>
        <v>1147.82</v>
      </c>
      <c r="M263" s="221"/>
      <c r="N263" s="226">
        <f t="shared" si="135"/>
        <v>178.37152619824701</v>
      </c>
      <c r="O263" s="221"/>
      <c r="P263" s="227"/>
      <c r="Q263" s="275">
        <f>SUMIFS(BV_Data_An_Prec!$P:$P,BV_Data_An_Prec!$U:$U,$B263,BV_Data_An_Prec!$V:$V,$C263,BV_Data_An_Prec!$W:$W,$L$2)</f>
        <v>761.86</v>
      </c>
      <c r="R263" s="221"/>
      <c r="S263" s="278">
        <f t="shared" si="136"/>
        <v>385.95999999999992</v>
      </c>
      <c r="T263" s="227"/>
      <c r="U263" s="955">
        <f>L263-Print_Mois!L263</f>
        <v>954.28</v>
      </c>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tr">
        <f t="shared" si="130"/>
        <v>Carrosserie[...]</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SUMIFS(BV_Data_An_Cour!$P:$P,BV_Data_An_Cour!$U:$U,$B264,BV_Data_An_Cour!$V:$V,$C264,BV_Data_An_Cour!$W:$W,$L$2)</f>
        <v>0</v>
      </c>
      <c r="M264" s="289"/>
      <c r="N264" s="290">
        <f t="shared" si="135"/>
        <v>0</v>
      </c>
      <c r="O264" s="289"/>
      <c r="P264" s="287"/>
      <c r="Q264" s="275">
        <f>SUMIFS(BV_Data_An_Prec!$P:$P,BV_Data_An_Prec!$U:$U,$B264,BV_Data_An_Prec!$V:$V,$C264,BV_Data_An_Prec!$W:$W,$L$2)</f>
        <v>0</v>
      </c>
      <c r="R264" s="289"/>
      <c r="S264" s="291">
        <f t="shared" si="136"/>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tr">
        <f t="shared" si="130"/>
        <v>CarrosserieTOTAL PERSONNEL</v>
      </c>
      <c r="B265" s="24" t="s">
        <v>171</v>
      </c>
      <c r="C265" s="292" t="s">
        <v>120</v>
      </c>
      <c r="D265" s="39" t="s">
        <v>111</v>
      </c>
      <c r="E265" s="40" t="e">
        <f>F265/F$243</f>
        <v>#DIV/0!</v>
      </c>
      <c r="F265" s="41">
        <f>+SUM(F253:F264)</f>
        <v>37165.318102753678</v>
      </c>
      <c r="G265" s="42" t="s">
        <v>111</v>
      </c>
      <c r="H265" s="40" t="e">
        <f>I265/I$243</f>
        <v>#DIV/0!</v>
      </c>
      <c r="I265" s="41">
        <f>+SUM(I253:I264)</f>
        <v>37165.318102753678</v>
      </c>
      <c r="J265" s="42" t="s">
        <v>111</v>
      </c>
      <c r="K265" s="40">
        <f>IF(L243=0,0,L265/L$243)</f>
        <v>0</v>
      </c>
      <c r="L265" s="41">
        <f>+SUM(L253:L264)</f>
        <v>45877.67</v>
      </c>
      <c r="M265" s="43"/>
      <c r="N265" s="46">
        <f t="shared" si="135"/>
        <v>8712.3518972463207</v>
      </c>
      <c r="O265" s="42" t="s">
        <v>111</v>
      </c>
      <c r="P265" s="40">
        <f>IF(Q243=0,0,Q265/Q$243)</f>
        <v>0</v>
      </c>
      <c r="Q265" s="41">
        <f>+SUM(Q253:Q264)</f>
        <v>50193.01</v>
      </c>
      <c r="R265" s="43"/>
      <c r="S265" s="293">
        <f t="shared" si="136"/>
        <v>-4315.3400000000038</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tr">
        <f t="shared" si="130"/>
        <v>CarrosseriePublicité 2</v>
      </c>
      <c r="B266" s="24" t="s">
        <v>171</v>
      </c>
      <c r="C266" s="294" t="s">
        <v>121</v>
      </c>
      <c r="D266" s="295"/>
      <c r="E266" s="172"/>
      <c r="F266" s="173">
        <f>+SUMPRODUCT(('Budget original'!$A$8:$A$500=$A266)*('Budget original'!$C$3:$AO$3=F$2),'Budget original'!$C$8:$AO$500)</f>
        <v>0</v>
      </c>
      <c r="G266" s="296"/>
      <c r="H266" s="172"/>
      <c r="I266" s="173">
        <f>+SUMPRODUCT(('Budget révisé'!$A$8:$A$500=$A266)*('Budget révisé'!$C$3:$AO$3=I$2),'Budget révisé'!$C$8:$AO$500)</f>
        <v>0</v>
      </c>
      <c r="J266" s="297"/>
      <c r="K266" s="172"/>
      <c r="L266" s="275">
        <f>SUMIFS(BV_Data_An_Cour!$P:$P,BV_Data_An_Cour!$U:$U,$B266,BV_Data_An_Cour!$V:$V,$C266,BV_Data_An_Cour!$W:$W,$L$2)</f>
        <v>0.4</v>
      </c>
      <c r="M266" s="297"/>
      <c r="N266" s="298">
        <f t="shared" si="135"/>
        <v>0.4</v>
      </c>
      <c r="O266" s="297"/>
      <c r="P266" s="172"/>
      <c r="Q266" s="275">
        <f>SUMIFS(BV_Data_An_Prec!$P:$P,BV_Data_An_Prec!$U:$U,$B266,BV_Data_An_Prec!$V:$V,$C266,BV_Data_An_Prec!$W:$W,$L$2)</f>
        <v>100.44</v>
      </c>
      <c r="R266" s="297"/>
      <c r="S266" s="193">
        <f t="shared" si="136"/>
        <v>-100.03999999999999</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tr">
        <f t="shared" si="130"/>
        <v>CarrosserieService gratuit 2</v>
      </c>
      <c r="B267" s="24" t="s">
        <v>171</v>
      </c>
      <c r="C267" s="299" t="s">
        <v>122</v>
      </c>
      <c r="D267" s="295"/>
      <c r="E267" s="172"/>
      <c r="F267" s="173">
        <f>+SUMPRODUCT(('Budget original'!$A$8:$A$500=$A267)*('Budget original'!$C$3:$AO$3=F$2),'Budget original'!$C$8:$AO$500)</f>
        <v>1611.1850037413647</v>
      </c>
      <c r="G267" s="296"/>
      <c r="H267" s="172"/>
      <c r="I267" s="173">
        <f>+SUMPRODUCT(('Budget révisé'!$A$8:$A$500=$A267)*('Budget révisé'!$C$3:$AO$3=I$2),'Budget révisé'!$C$8:$AO$500)</f>
        <v>1611.1850037413647</v>
      </c>
      <c r="J267" s="297"/>
      <c r="K267" s="172"/>
      <c r="L267" s="174">
        <f>SUMIFS(BV_Data_An_Cour!$P:$P,BV_Data_An_Cour!$U:$U,$B267,BV_Data_An_Cour!$V:$V,$C267,BV_Data_An_Cour!$W:$W,$L$2)</f>
        <v>1253.55</v>
      </c>
      <c r="M267" s="297"/>
      <c r="N267" s="298">
        <f t="shared" si="135"/>
        <v>-357.6350037413647</v>
      </c>
      <c r="O267" s="297"/>
      <c r="P267" s="172"/>
      <c r="Q267" s="174">
        <f>SUMIFS(BV_Data_An_Prec!$P:$P,BV_Data_An_Prec!$U:$U,$B267,BV_Data_An_Prec!$V:$V,$C267,BV_Data_An_Prec!$W:$W,$L$2)</f>
        <v>257.08</v>
      </c>
      <c r="R267" s="297"/>
      <c r="S267" s="193">
        <f t="shared" si="136"/>
        <v>996.47</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tr">
        <f t="shared" si="130"/>
        <v>CarrosserieFrais véhicules de cie</v>
      </c>
      <c r="B268" s="24" t="s">
        <v>171</v>
      </c>
      <c r="C268" s="300" t="s">
        <v>123</v>
      </c>
      <c r="D268" s="301"/>
      <c r="E268" s="302"/>
      <c r="F268" s="171">
        <f>+SUMPRODUCT(('Budget original'!$A$8:$A$500=$A268)*('Budget original'!$C$3:$AO$3=F$2),'Budget original'!$C$8:$AO$500)</f>
        <v>1899.7</v>
      </c>
      <c r="G268" s="303"/>
      <c r="H268" s="302"/>
      <c r="I268" s="171">
        <f>+SUMPRODUCT(('Budget révisé'!$A$8:$A$500=$A268)*('Budget révisé'!$C$3:$AO$3=I$2),'Budget révisé'!$C$8:$AO$500)</f>
        <v>1899.7</v>
      </c>
      <c r="J268" s="304"/>
      <c r="K268" s="302"/>
      <c r="L268" s="174">
        <f>SUMIFS(BV_Data_An_Cour!$P:$P,BV_Data_An_Cour!$U:$U,$B268,BV_Data_An_Cour!$V:$V,$C268,BV_Data_An_Cour!$W:$W,$L$2)</f>
        <v>2131.5</v>
      </c>
      <c r="M268" s="304"/>
      <c r="N268" s="305">
        <f t="shared" si="135"/>
        <v>231.79999999999995</v>
      </c>
      <c r="O268" s="304"/>
      <c r="P268" s="302"/>
      <c r="Q268" s="174">
        <f>SUMIFS(BV_Data_An_Prec!$P:$P,BV_Data_An_Prec!$U:$U,$B268,BV_Data_An_Prec!$V:$V,$C268,BV_Data_An_Prec!$W:$W,$L$2)</f>
        <v>3568.35</v>
      </c>
      <c r="R268" s="304"/>
      <c r="S268" s="196">
        <f t="shared" si="136"/>
        <v>-1436.85</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tr">
        <f t="shared" si="130"/>
        <v>CarrosserieInformatique</v>
      </c>
      <c r="B269" s="24" t="s">
        <v>171</v>
      </c>
      <c r="C269" s="299" t="s">
        <v>124</v>
      </c>
      <c r="D269" s="295"/>
      <c r="E269" s="172"/>
      <c r="F269" s="173">
        <f>+SUMPRODUCT(('Budget original'!$A$8:$A$500=$A269)*('Budget original'!$C$3:$AO$3=F$2),'Budget original'!$C$8:$AO$500)</f>
        <v>6567.099320833333</v>
      </c>
      <c r="G269" s="296"/>
      <c r="H269" s="172"/>
      <c r="I269" s="173">
        <f>+SUMPRODUCT(('Budget révisé'!$A$8:$A$500=$A269)*('Budget révisé'!$C$3:$AO$3=I$2),'Budget révisé'!$C$8:$AO$500)</f>
        <v>6567.099320833333</v>
      </c>
      <c r="J269" s="297"/>
      <c r="K269" s="172"/>
      <c r="L269" s="175">
        <f>SUMIFS(BV_Data_An_Cour!$P:$P,BV_Data_An_Cour!$U:$U,$B269,BV_Data_An_Cour!$V:$V,$C269,BV_Data_An_Cour!$W:$W,$L$2)</f>
        <v>6869.17</v>
      </c>
      <c r="M269" s="297"/>
      <c r="N269" s="298">
        <f t="shared" si="135"/>
        <v>302.07067916666711</v>
      </c>
      <c r="O269" s="297"/>
      <c r="P269" s="172"/>
      <c r="Q269" s="175">
        <f>SUMIFS(BV_Data_An_Prec!$P:$P,BV_Data_An_Prec!$U:$U,$B269,BV_Data_An_Prec!$V:$V,$C269,BV_Data_An_Prec!$W:$W,$L$2)</f>
        <v>6680.23</v>
      </c>
      <c r="R269" s="297"/>
      <c r="S269" s="193">
        <f t="shared" si="136"/>
        <v>188.94000000000051</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tr">
        <f t="shared" si="130"/>
        <v>CarrosserieFrais de déplacement</v>
      </c>
      <c r="B270" s="24" t="s">
        <v>171</v>
      </c>
      <c r="C270" s="299" t="s">
        <v>125</v>
      </c>
      <c r="D270" s="295"/>
      <c r="E270" s="172"/>
      <c r="F270" s="173">
        <f>+SUMPRODUCT(('Budget original'!$A$8:$A$500=$A270)*('Budget original'!$C$3:$AO$3=F$2),'Budget original'!$C$8:$AO$500)</f>
        <v>866.40509375000022</v>
      </c>
      <c r="G270" s="296"/>
      <c r="H270" s="172"/>
      <c r="I270" s="173">
        <f>+SUMPRODUCT(('Budget révisé'!$A$8:$A$500=$A270)*('Budget révisé'!$C$3:$AO$3=I$2),'Budget révisé'!$C$8:$AO$500)</f>
        <v>866.40509375000022</v>
      </c>
      <c r="J270" s="297"/>
      <c r="K270" s="172"/>
      <c r="L270" s="174">
        <f>SUMIFS(BV_Data_An_Cour!$P:$P,BV_Data_An_Cour!$U:$U,$B270,BV_Data_An_Cour!$V:$V,$C270,BV_Data_An_Cour!$W:$W,$L$2)</f>
        <v>684.2</v>
      </c>
      <c r="M270" s="297"/>
      <c r="N270" s="298">
        <f t="shared" si="135"/>
        <v>-182.20509375000017</v>
      </c>
      <c r="O270" s="297"/>
      <c r="P270" s="172"/>
      <c r="Q270" s="174">
        <f>SUMIFS(BV_Data_An_Prec!$P:$P,BV_Data_An_Prec!$U:$U,$B270,BV_Data_An_Prec!$V:$V,$C270,BV_Data_An_Prec!$W:$W,$L$2)</f>
        <v>337.85</v>
      </c>
      <c r="R270" s="297"/>
      <c r="S270" s="193">
        <f t="shared" si="136"/>
        <v>346.35</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tr">
        <f t="shared" si="130"/>
        <v>CarrosserieServices extérieurs</v>
      </c>
      <c r="B271" s="24" t="s">
        <v>171</v>
      </c>
      <c r="C271" s="299" t="s">
        <v>126</v>
      </c>
      <c r="D271" s="301"/>
      <c r="E271" s="302"/>
      <c r="F271" s="171">
        <f>+SUMPRODUCT(('Budget original'!$A$8:$A$500=$A271)*('Budget original'!$C$3:$AO$3=F$2),'Budget original'!$C$8:$AO$500)</f>
        <v>4387.1287444444442</v>
      </c>
      <c r="G271" s="303"/>
      <c r="H271" s="302"/>
      <c r="I271" s="171">
        <f>+SUMPRODUCT(('Budget révisé'!$A$8:$A$500=$A271)*('Budget révisé'!$C$3:$AO$3=I$2),'Budget révisé'!$C$8:$AO$500)</f>
        <v>4387.1287444444442</v>
      </c>
      <c r="J271" s="304"/>
      <c r="K271" s="302"/>
      <c r="L271" s="174">
        <f>SUMIFS(BV_Data_An_Cour!$P:$P,BV_Data_An_Cour!$U:$U,$B271,BV_Data_An_Cour!$V:$V,$C271,BV_Data_An_Cour!$W:$W,$L$2)</f>
        <v>2825.97</v>
      </c>
      <c r="M271" s="304"/>
      <c r="N271" s="305">
        <f t="shared" si="135"/>
        <v>-1561.1587444444444</v>
      </c>
      <c r="O271" s="304"/>
      <c r="P271" s="302"/>
      <c r="Q271" s="171">
        <f>SUMIFS(BV_Data_An_Prec!$P:$P,BV_Data_An_Prec!$U:$U,$B271,BV_Data_An_Prec!$V:$V,$C271,BV_Data_An_Prec!$W:$W,$L$2)</f>
        <v>2589.16</v>
      </c>
      <c r="R271" s="304"/>
      <c r="S271" s="196">
        <f t="shared" si="136"/>
        <v>236.80999999999995</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ht="15.75" customHeight="1">
      <c r="A272" s="564" t="str">
        <f t="shared" ref="A272" si="137">+B272&amp;C272</f>
        <v>CarrosserieFournitures d'atelier</v>
      </c>
      <c r="B272" s="24" t="s">
        <v>171</v>
      </c>
      <c r="C272" s="680" t="s">
        <v>1989</v>
      </c>
      <c r="D272" s="295"/>
      <c r="E272" s="172"/>
      <c r="F272" s="173"/>
      <c r="G272" s="296"/>
      <c r="H272" s="172"/>
      <c r="I272" s="173"/>
      <c r="J272" s="297"/>
      <c r="K272" s="172"/>
      <c r="L272" s="423">
        <f>SUMIFS(BV_Data_An_Cour!$P:$P,BV_Data_An_Cour!$U:$U,$B272,BV_Data_An_Cour!$V:$V,$C272,BV_Data_An_Cour!$W:$W,$L$2)</f>
        <v>0</v>
      </c>
      <c r="M272" s="297"/>
      <c r="N272" s="298">
        <f t="shared" ref="N272" si="138">L272-I272</f>
        <v>0</v>
      </c>
      <c r="O272" s="297"/>
      <c r="P272" s="172"/>
      <c r="Q272" s="174">
        <f>SUMIFS(BV_Data_An_Prec!$P:$P,BV_Data_An_Prec!$U:$U,$B272,BV_Data_An_Prec!$V:$V,$C272,BV_Data_An_Prec!$W:$W,$L$2)</f>
        <v>0</v>
      </c>
      <c r="R272" s="297"/>
      <c r="S272" s="193">
        <f t="shared" ref="S272" si="139">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tr">
        <f t="shared" si="130"/>
        <v>CarrosserieFournitures autres</v>
      </c>
      <c r="B273" s="24" t="s">
        <v>171</v>
      </c>
      <c r="C273" s="299" t="s">
        <v>127</v>
      </c>
      <c r="D273" s="295"/>
      <c r="E273" s="172"/>
      <c r="F273" s="173">
        <f>+SUMPRODUCT(('Budget original'!$A$8:$A$500=$A273)*('Budget original'!$C$3:$AO$3=F$2),'Budget original'!$C$8:$AO$500)</f>
        <v>397.64807519158052</v>
      </c>
      <c r="G273" s="296"/>
      <c r="H273" s="172"/>
      <c r="I273" s="173">
        <f>+SUMPRODUCT(('Budget révisé'!$A$8:$A$500=$A273)*('Budget révisé'!$C$3:$AO$3=I$2),'Budget révisé'!$C$8:$AO$500)</f>
        <v>397.64807519158052</v>
      </c>
      <c r="J273" s="297"/>
      <c r="K273" s="172"/>
      <c r="L273" s="275">
        <f>SUMIFS(BV_Data_An_Cour!$P:$P,BV_Data_An_Cour!$U:$U,$B273,BV_Data_An_Cour!$V:$V,$C273,BV_Data_An_Cour!$W:$W,$L$2)</f>
        <v>2.8</v>
      </c>
      <c r="M273" s="297"/>
      <c r="N273" s="298">
        <f t="shared" si="135"/>
        <v>-394.84807519158051</v>
      </c>
      <c r="O273" s="297"/>
      <c r="P273" s="172"/>
      <c r="Q273" s="174">
        <f>SUMIFS(BV_Data_An_Prec!$P:$P,BV_Data_An_Prec!$U:$U,$B273,BV_Data_An_Prec!$V:$V,$C273,BV_Data_An_Prec!$W:$W,$L$2)</f>
        <v>120.74</v>
      </c>
      <c r="R273" s="297"/>
      <c r="S273" s="193">
        <f t="shared" si="136"/>
        <v>-117.94</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tr">
        <f t="shared" si="130"/>
        <v>CarrosserieUniformes</v>
      </c>
      <c r="B274" s="24" t="s">
        <v>171</v>
      </c>
      <c r="C274" s="299" t="s">
        <v>128</v>
      </c>
      <c r="D274" s="295"/>
      <c r="E274" s="172"/>
      <c r="F274" s="173">
        <f>+SUMPRODUCT(('Budget original'!$A$8:$A$500=$A274)*('Budget original'!$C$3:$AO$3=F$2),'Budget original'!$C$8:$AO$500)</f>
        <v>211.29973387094014</v>
      </c>
      <c r="G274" s="296"/>
      <c r="H274" s="172"/>
      <c r="I274" s="173">
        <f>+SUMPRODUCT(('Budget révisé'!$A$8:$A$500=$A274)*('Budget révisé'!$C$3:$AO$3=I$2),'Budget révisé'!$C$8:$AO$500)</f>
        <v>211.29973387094014</v>
      </c>
      <c r="J274" s="297"/>
      <c r="K274" s="172"/>
      <c r="L274" s="275">
        <f>SUMIFS(BV_Data_An_Cour!$P:$P,BV_Data_An_Cour!$U:$U,$B274,BV_Data_An_Cour!$V:$V,$C274,BV_Data_An_Cour!$W:$W,$L$2)</f>
        <v>0</v>
      </c>
      <c r="M274" s="297"/>
      <c r="N274" s="298">
        <f t="shared" si="135"/>
        <v>-211.29973387094014</v>
      </c>
      <c r="O274" s="297"/>
      <c r="P274" s="172"/>
      <c r="Q274" s="174">
        <f>SUMIFS(BV_Data_An_Prec!$P:$P,BV_Data_An_Prec!$U:$U,$B274,BV_Data_An_Prec!$V:$V,$C274,BV_Data_An_Prec!$W:$W,$L$2)</f>
        <v>0</v>
      </c>
      <c r="R274" s="297"/>
      <c r="S274" s="193">
        <f t="shared" si="136"/>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tr">
        <f t="shared" si="130"/>
        <v>CarrosseriePapeterie</v>
      </c>
      <c r="B275" s="24" t="s">
        <v>171</v>
      </c>
      <c r="C275" s="299" t="s">
        <v>129</v>
      </c>
      <c r="D275" s="295"/>
      <c r="E275" s="172"/>
      <c r="F275" s="173">
        <f>+SUMPRODUCT(('Budget original'!$A$8:$A$500=$A275)*('Budget original'!$C$3:$AO$3=F$2),'Budget original'!$C$8:$AO$500)</f>
        <v>714.07035000000008</v>
      </c>
      <c r="G275" s="296"/>
      <c r="H275" s="172"/>
      <c r="I275" s="173">
        <f>+SUMPRODUCT(('Budget révisé'!$A$8:$A$500=$A275)*('Budget révisé'!$C$3:$AO$3=I$2),'Budget révisé'!$C$8:$AO$500)</f>
        <v>714.07035000000008</v>
      </c>
      <c r="J275" s="297"/>
      <c r="K275" s="172"/>
      <c r="L275" s="958">
        <f>SUMIFS(BV_Data_An_Cour!$P:$P,BV_Data_An_Cour!$U:$U,$B275,BV_Data_An_Cour!$V:$V,$C275,BV_Data_An_Cour!$W:$W,$L$2)</f>
        <v>686.46</v>
      </c>
      <c r="M275" s="297"/>
      <c r="N275" s="298">
        <f t="shared" si="135"/>
        <v>-27.610350000000039</v>
      </c>
      <c r="O275" s="297"/>
      <c r="P275" s="172"/>
      <c r="Q275" s="548">
        <f>SUMIFS(BV_Data_An_Prec!$P:$P,BV_Data_An_Prec!$U:$U,$B275,BV_Data_An_Prec!$V:$V,$C275,BV_Data_An_Prec!$W:$W,$L$2)</f>
        <v>497.32</v>
      </c>
      <c r="R275" s="297"/>
      <c r="S275" s="193">
        <f t="shared" si="136"/>
        <v>189.14000000000004</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tr">
        <f t="shared" si="130"/>
        <v>CarrosserieTéléphone</v>
      </c>
      <c r="B276" s="24" t="s">
        <v>171</v>
      </c>
      <c r="C276" s="299" t="s">
        <v>130</v>
      </c>
      <c r="D276" s="295"/>
      <c r="E276" s="172"/>
      <c r="F276" s="173">
        <f>+SUMPRODUCT(('Budget original'!$A$8:$A$500=$A276)*('Budget original'!$C$3:$AO$3=F$2),'Budget original'!$C$8:$AO$500)</f>
        <v>329.7268260416667</v>
      </c>
      <c r="G276" s="296"/>
      <c r="H276" s="172"/>
      <c r="I276" s="173">
        <f>+SUMPRODUCT(('Budget révisé'!$A$8:$A$500=$A276)*('Budget révisé'!$C$3:$AO$3=I$2),'Budget révisé'!$C$8:$AO$500)</f>
        <v>329.7268260416667</v>
      </c>
      <c r="J276" s="297"/>
      <c r="K276" s="172"/>
      <c r="L276" s="275">
        <f>SUMIFS(BV_Data_An_Cour!$P:$P,BV_Data_An_Cour!$U:$U,$B276,BV_Data_An_Cour!$V:$V,$C276,BV_Data_An_Cour!$W:$W,$L$2)</f>
        <v>153.35</v>
      </c>
      <c r="M276" s="297"/>
      <c r="N276" s="298">
        <f t="shared" si="135"/>
        <v>-176.3768260416667</v>
      </c>
      <c r="O276" s="297"/>
      <c r="P276" s="172"/>
      <c r="Q276" s="174">
        <f>SUMIFS(BV_Data_An_Prec!$P:$P,BV_Data_An_Prec!$U:$U,$B276,BV_Data_An_Prec!$V:$V,$C276,BV_Data_An_Prec!$W:$W,$L$2)</f>
        <v>458.33</v>
      </c>
      <c r="R276" s="297"/>
      <c r="S276" s="193">
        <f t="shared" si="136"/>
        <v>-304.98</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tr">
        <f t="shared" si="130"/>
        <v>CarrosserieFrais postaux</v>
      </c>
      <c r="B277" s="24" t="s">
        <v>171</v>
      </c>
      <c r="C277" s="299" t="s">
        <v>131</v>
      </c>
      <c r="D277" s="295"/>
      <c r="E277" s="172"/>
      <c r="F277" s="173">
        <f>+SUMPRODUCT(('Budget original'!$A$8:$A$500=$A277)*('Budget original'!$C$3:$AO$3=F$2),'Budget original'!$C$8:$AO$500)</f>
        <v>176.00304895833332</v>
      </c>
      <c r="G277" s="296"/>
      <c r="H277" s="172"/>
      <c r="I277" s="173">
        <f>+SUMPRODUCT(('Budget révisé'!$A$8:$A$500=$A277)*('Budget révisé'!$C$3:$AO$3=I$2),'Budget révisé'!$C$8:$AO$500)</f>
        <v>176.00304895833332</v>
      </c>
      <c r="J277" s="297"/>
      <c r="K277" s="172"/>
      <c r="L277" s="275">
        <f>SUMIFS(BV_Data_An_Cour!$P:$P,BV_Data_An_Cour!$U:$U,$B277,BV_Data_An_Cour!$V:$V,$C277,BV_Data_An_Cour!$W:$W,$L$2)</f>
        <v>131.01</v>
      </c>
      <c r="M277" s="297"/>
      <c r="N277" s="298">
        <f t="shared" si="135"/>
        <v>-44.993048958333333</v>
      </c>
      <c r="O277" s="297"/>
      <c r="P277" s="172"/>
      <c r="Q277" s="174">
        <f>SUMIFS(BV_Data_An_Prec!$P:$P,BV_Data_An_Prec!$U:$U,$B277,BV_Data_An_Prec!$V:$V,$C277,BV_Data_An_Prec!$W:$W,$L$2)</f>
        <v>124.15</v>
      </c>
      <c r="R277" s="297"/>
      <c r="S277" s="193">
        <f t="shared" si="136"/>
        <v>6.8599999999999852</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tr">
        <f t="shared" si="130"/>
        <v>CarrosserieDivers</v>
      </c>
      <c r="B278" s="24" t="s">
        <v>171</v>
      </c>
      <c r="C278" s="299" t="s">
        <v>132</v>
      </c>
      <c r="D278" s="295"/>
      <c r="E278" s="172"/>
      <c r="F278" s="173">
        <f>+SUMPRODUCT(('Budget original'!$A$8:$A$500=$A278)*('Budget original'!$C$3:$AO$3=F$2),'Budget original'!$C$8:$AO$500)</f>
        <v>849.00549270833324</v>
      </c>
      <c r="G278" s="296"/>
      <c r="H278" s="172"/>
      <c r="I278" s="173">
        <f>+SUMPRODUCT(('Budget révisé'!$A$8:$A$500=$A278)*('Budget révisé'!$C$3:$AO$3=I$2),'Budget révisé'!$C$8:$AO$500)</f>
        <v>849.00549270833324</v>
      </c>
      <c r="J278" s="297"/>
      <c r="K278" s="172"/>
      <c r="L278" s="275">
        <f>SUMIFS(BV_Data_An_Cour!$P:$P,BV_Data_An_Cour!$U:$U,$B278,BV_Data_An_Cour!$V:$V,$C278,BV_Data_An_Cour!$W:$W,$L$2)</f>
        <v>422.58</v>
      </c>
      <c r="M278" s="297"/>
      <c r="N278" s="298">
        <f t="shared" si="135"/>
        <v>-426.42549270833325</v>
      </c>
      <c r="O278" s="297"/>
      <c r="P278" s="172"/>
      <c r="Q278" s="174">
        <f>SUMIFS(BV_Data_An_Prec!$P:$P,BV_Data_An_Prec!$U:$U,$B278,BV_Data_An_Prec!$V:$V,$C278,BV_Data_An_Prec!$W:$W,$L$2)</f>
        <v>876.33</v>
      </c>
      <c r="R278" s="297"/>
      <c r="S278" s="193">
        <f t="shared" si="136"/>
        <v>-453.75000000000006</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tr">
        <f t="shared" si="130"/>
        <v>CarrosserieFormation</v>
      </c>
      <c r="B279" s="24" t="s">
        <v>171</v>
      </c>
      <c r="C279" s="299" t="s">
        <v>133</v>
      </c>
      <c r="D279" s="295"/>
      <c r="E279" s="172"/>
      <c r="F279" s="173">
        <f>+SUMPRODUCT(('Budget original'!$A$8:$A$500=$A279)*('Budget original'!$C$3:$AO$3=F$2),'Budget original'!$C$8:$AO$500)</f>
        <v>1261.3740416666667</v>
      </c>
      <c r="G279" s="296"/>
      <c r="H279" s="172"/>
      <c r="I279" s="173">
        <f>+SUMPRODUCT(('Budget révisé'!$A$8:$A$500=$A279)*('Budget révisé'!$C$3:$AO$3=I$2),'Budget révisé'!$C$8:$AO$500)</f>
        <v>1261.3740416666667</v>
      </c>
      <c r="J279" s="297"/>
      <c r="K279" s="172"/>
      <c r="L279" s="275">
        <f>SUMIFS(BV_Data_An_Cour!$P:$P,BV_Data_An_Cour!$U:$U,$B279,BV_Data_An_Cour!$V:$V,$C279,BV_Data_An_Cour!$W:$W,$L$2)</f>
        <v>111.65</v>
      </c>
      <c r="M279" s="297"/>
      <c r="N279" s="298">
        <f t="shared" si="135"/>
        <v>-1149.7240416666666</v>
      </c>
      <c r="O279" s="297"/>
      <c r="P279" s="172"/>
      <c r="Q279" s="174">
        <f>SUMIFS(BV_Data_An_Prec!$P:$P,BV_Data_An_Prec!$U:$U,$B279,BV_Data_An_Prec!$V:$V,$C279,BV_Data_An_Prec!$W:$W,$L$2)</f>
        <v>101</v>
      </c>
      <c r="R279" s="297"/>
      <c r="S279" s="193">
        <f t="shared" si="136"/>
        <v>10.650000000000006</v>
      </c>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tr">
        <f t="shared" si="130"/>
        <v>CarrosserieFrais bancaires</v>
      </c>
      <c r="B280" s="24" t="s">
        <v>171</v>
      </c>
      <c r="C280" s="299" t="s">
        <v>134</v>
      </c>
      <c r="D280" s="295"/>
      <c r="E280" s="172"/>
      <c r="F280" s="225">
        <f>+SUMPRODUCT(('Budget original'!$A$8:$A$500=$A280)*('Budget original'!$C$3:$AO$3=F$2),'Budget original'!$C$8:$AO$500)</f>
        <v>2454.5931146990715</v>
      </c>
      <c r="G280" s="296"/>
      <c r="H280" s="172"/>
      <c r="I280" s="173">
        <f>+SUMPRODUCT(('Budget révisé'!$A$8:$A$500=$A280)*('Budget révisé'!$C$3:$AO$3=I$2),'Budget révisé'!$C$8:$AO$500)</f>
        <v>2454.5931146990715</v>
      </c>
      <c r="J280" s="297"/>
      <c r="K280" s="172"/>
      <c r="L280" s="275">
        <f>AF447*W6</f>
        <v>916.94100000000003</v>
      </c>
      <c r="M280" s="297"/>
      <c r="N280" s="298">
        <f t="shared" si="135"/>
        <v>-1537.6521146990715</v>
      </c>
      <c r="O280" s="297"/>
      <c r="P280" s="172"/>
      <c r="Q280" s="174">
        <f>AL447*W6</f>
        <v>803.89600000000007</v>
      </c>
      <c r="R280" s="297"/>
      <c r="S280" s="193">
        <f t="shared" si="136"/>
        <v>113.04499999999996</v>
      </c>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tr">
        <f t="shared" si="130"/>
        <v>Carrosserie[...]</v>
      </c>
      <c r="B281" s="24" t="s">
        <v>171</v>
      </c>
      <c r="C281" s="299" t="s">
        <v>42</v>
      </c>
      <c r="D281" s="295"/>
      <c r="E281" s="172"/>
      <c r="F281" s="173">
        <f>+SUMPRODUCT(('Budget original'!$A$8:$A$500=$A281)*('Budget original'!$C$3:$AO$3=F$2),'Budget original'!$C$8:$AO$500)</f>
        <v>0</v>
      </c>
      <c r="G281" s="296"/>
      <c r="H281" s="172"/>
      <c r="I281" s="173">
        <f>+SUMPRODUCT(('Budget révisé'!$A$8:$A$500=$A281)*('Budget révisé'!$C$3:$AO$3=I$2),'Budget révisé'!$C$8:$AO$500)</f>
        <v>0</v>
      </c>
      <c r="J281" s="297"/>
      <c r="K281" s="172"/>
      <c r="L281" s="174">
        <f>SUMIFS(BV_Data_An_Cour!$P:$P,BV_Data_An_Cour!$U:$U,$B281,BV_Data_An_Cour!$V:$V,$C281,BV_Data_An_Cour!$W:$W,$L$2)</f>
        <v>0</v>
      </c>
      <c r="M281" s="297"/>
      <c r="N281" s="298">
        <f t="shared" si="135"/>
        <v>0</v>
      </c>
      <c r="O281" s="297"/>
      <c r="P281" s="172"/>
      <c r="Q281" s="174">
        <f>SUMIFS(BV_Data_An_Prec!$P:$P,BV_Data_An_Prec!$U:$U,$B281,BV_Data_An_Prec!$V:$V,$C281,BV_Data_An_Prec!$W:$W,$L$2)</f>
        <v>0</v>
      </c>
      <c r="R281" s="297"/>
      <c r="S281" s="193">
        <f t="shared" si="136"/>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ht="15.75" hidden="1" customHeight="1">
      <c r="A282" s="564" t="str">
        <f t="shared" ref="A282" si="140">+B282&amp;C282</f>
        <v>Carrosserie[...]</v>
      </c>
      <c r="B282" s="24" t="s">
        <v>171</v>
      </c>
      <c r="C282" s="299" t="s">
        <v>42</v>
      </c>
      <c r="D282" s="295"/>
      <c r="E282" s="172"/>
      <c r="F282" s="173">
        <f>+SUMPRODUCT(('Budget original'!$A$8:$A$500=$A282)*('Budget original'!$C$3:$AO$3=F$2),'Budget original'!$C$8:$AO$500)</f>
        <v>0</v>
      </c>
      <c r="G282" s="296"/>
      <c r="H282" s="172"/>
      <c r="I282" s="173">
        <f>+SUMPRODUCT(('Budget révisé'!$A$8:$A$500=$A282)*('Budget révisé'!$C$3:$AO$3=I$2),'Budget révisé'!$C$8:$AO$500)</f>
        <v>0</v>
      </c>
      <c r="J282" s="297"/>
      <c r="K282" s="172"/>
      <c r="L282" s="174">
        <f>SUMIFS(BV_Data_An_Cour!$P:$P,BV_Data_An_Cour!$U:$U,$B282,BV_Data_An_Cour!$V:$V,$C282,BV_Data_An_Cour!$W:$W,$L$2)</f>
        <v>0</v>
      </c>
      <c r="M282" s="297"/>
      <c r="N282" s="298">
        <f t="shared" ref="N282" si="141">L282-I282</f>
        <v>0</v>
      </c>
      <c r="O282" s="297"/>
      <c r="P282" s="172"/>
      <c r="Q282" s="174">
        <f>SUMIFS(BV_Data_An_Prec!$P:$P,BV_Data_An_Prec!$U:$U,$B282,BV_Data_An_Prec!$V:$V,$C282,BV_Data_An_Prec!$W:$W,$L$2)</f>
        <v>0</v>
      </c>
      <c r="R282" s="297"/>
      <c r="S282" s="193">
        <f t="shared" ref="S282" si="142">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tr">
        <f t="shared" si="130"/>
        <v>Carrosserie[...]</v>
      </c>
      <c r="B283" s="24" t="s">
        <v>171</v>
      </c>
      <c r="C283" s="299" t="s">
        <v>42</v>
      </c>
      <c r="D283" s="295"/>
      <c r="E283" s="172"/>
      <c r="F283" s="173">
        <f>+SUMPRODUCT(('Budget original'!$A$8:$A$500=$A283)*('Budget original'!$C$3:$AO$3=F$2),'Budget original'!$C$8:$AO$500)</f>
        <v>0</v>
      </c>
      <c r="G283" s="296"/>
      <c r="H283" s="172"/>
      <c r="I283" s="173">
        <f>+SUMPRODUCT(('Budget révisé'!$A$8:$A$500=$A283)*('Budget révisé'!$C$3:$AO$3=I$2),'Budget révisé'!$C$8:$AO$500)</f>
        <v>0</v>
      </c>
      <c r="J283" s="297"/>
      <c r="K283" s="172"/>
      <c r="L283" s="174">
        <f>SUMIFS(BV_Data_An_Cour!$P:$P,BV_Data_An_Cour!$U:$U,$B283,BV_Data_An_Cour!$V:$V,$C283,BV_Data_An_Cour!$W:$W,$L$2)</f>
        <v>0</v>
      </c>
      <c r="M283" s="297"/>
      <c r="N283" s="298">
        <f t="shared" si="135"/>
        <v>0</v>
      </c>
      <c r="O283" s="297"/>
      <c r="P283" s="172"/>
      <c r="Q283" s="174">
        <f>SUMIFS(BV_Data_An_Prec!$P:$P,BV_Data_An_Prec!$U:$U,$B283,BV_Data_An_Prec!$V:$V,$C283,BV_Data_An_Prec!$W:$W,$L$2)</f>
        <v>0</v>
      </c>
      <c r="R283" s="297"/>
      <c r="S283" s="193">
        <f t="shared" si="136"/>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21725.238845905733</v>
      </c>
      <c r="G284" s="42" t="s">
        <v>111</v>
      </c>
      <c r="H284" s="40" t="e">
        <f>I284/I$243</f>
        <v>#DIV/0!</v>
      </c>
      <c r="I284" s="41">
        <f>+SUM(I266:I283)</f>
        <v>21725.238845905733</v>
      </c>
      <c r="J284" s="42" t="s">
        <v>111</v>
      </c>
      <c r="K284" s="40" t="e">
        <f>IF(L261=0,0,L284/L$243)</f>
        <v>#DIV/0!</v>
      </c>
      <c r="L284" s="41">
        <f>+SUM(L266:L283)</f>
        <v>16189.581</v>
      </c>
      <c r="M284" s="44"/>
      <c r="N284" s="41">
        <f>+SUM(N266:N283)</f>
        <v>-5535.6578459057346</v>
      </c>
      <c r="O284" s="42" t="s">
        <v>111</v>
      </c>
      <c r="P284" s="40" t="e">
        <f>IF(Q261=0,0,Q284/Q$243)</f>
        <v>#DIV/0!</v>
      </c>
      <c r="Q284" s="41">
        <f>+SUM(Q266:Q283)</f>
        <v>16514.875999999997</v>
      </c>
      <c r="R284" s="44"/>
      <c r="S284" s="310">
        <f t="shared" si="136"/>
        <v>-325.29499999999643</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58890.55694865941</v>
      </c>
      <c r="G286" s="42" t="s">
        <v>111</v>
      </c>
      <c r="H286" s="40" t="e">
        <f>I286/I$243</f>
        <v>#DIV/0!</v>
      </c>
      <c r="I286" s="41">
        <f>I265+I284</f>
        <v>58890.55694865941</v>
      </c>
      <c r="J286" s="42" t="s">
        <v>111</v>
      </c>
      <c r="K286" s="40" t="e">
        <f>IF(L263=0,0,L286/L$243)</f>
        <v>#DIV/0!</v>
      </c>
      <c r="L286" s="41">
        <f>L265+L284</f>
        <v>62067.250999999997</v>
      </c>
      <c r="M286" s="44"/>
      <c r="N286" s="46">
        <f t="shared" ref="N286:N288" si="143">L286-I286</f>
        <v>3176.6940513405862</v>
      </c>
      <c r="O286" s="42" t="s">
        <v>111</v>
      </c>
      <c r="P286" s="40" t="e">
        <f>IF(Q263=0,0,Q286/Q$243)</f>
        <v>#DIV/0!</v>
      </c>
      <c r="Q286" s="41">
        <f>Q265+Q284</f>
        <v>66707.885999999999</v>
      </c>
      <c r="R286" s="44"/>
      <c r="S286" s="293">
        <f>L286-Q286</f>
        <v>-4640.635000000002</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3"/>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15.75" customHeight="1" thickBot="1">
      <c r="B288" s="24"/>
      <c r="C288" s="334" t="s">
        <v>143</v>
      </c>
      <c r="D288" s="335"/>
      <c r="E288" s="336"/>
      <c r="F288" s="337">
        <f>F249-F286</f>
        <v>43773.549048614812</v>
      </c>
      <c r="G288" s="338"/>
      <c r="H288" s="336"/>
      <c r="I288" s="337">
        <f>I249-I286</f>
        <v>43773.549048614812</v>
      </c>
      <c r="J288" s="339"/>
      <c r="K288" s="340"/>
      <c r="L288" s="337">
        <f>L249-L286</f>
        <v>53088.839000000029</v>
      </c>
      <c r="M288" s="339"/>
      <c r="N288" s="337">
        <f t="shared" si="143"/>
        <v>9315.2899513852171</v>
      </c>
      <c r="O288" s="339"/>
      <c r="P288" s="340"/>
      <c r="Q288" s="337">
        <f>Q249-Q286</f>
        <v>20880.834000000061</v>
      </c>
      <c r="R288" s="339"/>
      <c r="S288" s="341">
        <f>L288-Q288</f>
        <v>32208.004999999968</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AAJ, Mai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426" t="s">
        <v>77</v>
      </c>
      <c r="E292" s="1427"/>
      <c r="F292" s="1428"/>
      <c r="G292" s="1429" t="s">
        <v>145</v>
      </c>
      <c r="H292" s="1427"/>
      <c r="I292" s="1428"/>
      <c r="J292" s="1429" t="s">
        <v>79</v>
      </c>
      <c r="K292" s="1427"/>
      <c r="L292" s="1428"/>
      <c r="M292" s="1429" t="s">
        <v>80</v>
      </c>
      <c r="N292" s="1428"/>
      <c r="O292" s="1426" t="s">
        <v>81</v>
      </c>
      <c r="P292" s="1427"/>
      <c r="Q292" s="1428"/>
      <c r="R292" s="1429" t="s">
        <v>82</v>
      </c>
      <c r="S292" s="1430"/>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tr">
        <f t="shared" ref="A293:A342" si="144">+B293&amp;C293</f>
        <v>Pièces</v>
      </c>
      <c r="B293" s="24" t="s">
        <v>175</v>
      </c>
      <c r="C293" s="258"/>
      <c r="D293" s="260" t="s">
        <v>157</v>
      </c>
      <c r="E293" s="260" t="s">
        <v>176</v>
      </c>
      <c r="F293" s="261" t="s">
        <v>85</v>
      </c>
      <c r="G293" s="259" t="s">
        <v>157</v>
      </c>
      <c r="H293" s="260" t="s">
        <v>176</v>
      </c>
      <c r="I293" s="261" t="s">
        <v>85</v>
      </c>
      <c r="J293" s="259" t="s">
        <v>157</v>
      </c>
      <c r="K293" s="260" t="s">
        <v>176</v>
      </c>
      <c r="L293" s="261" t="s">
        <v>85</v>
      </c>
      <c r="M293" s="259" t="s">
        <v>156</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tr">
        <f t="shared" si="144"/>
        <v>PiècesPièces Ro Clients</v>
      </c>
      <c r="B294" s="24" t="s">
        <v>175</v>
      </c>
      <c r="C294" s="258" t="s">
        <v>177</v>
      </c>
      <c r="D294" s="191">
        <f>+SUMPRODUCT(('Budget original'!$A$8:$A$500=$A294)*('Budget original'!$C$3:$AO$3=D$2),'Budget original'!$C$8:$AO$500)</f>
        <v>365459.57215021562</v>
      </c>
      <c r="E294" s="204">
        <f>IF(D294=0,0,F294/D294)</f>
        <v>0.35811007851031496</v>
      </c>
      <c r="F294" s="193">
        <f>+SUMPRODUCT(('Budget original'!$A$8:$A$500=$A294)*('Budget original'!$C$3:$AO$3=F$2),'Budget original'!$C$8:$AO$500)</f>
        <v>130874.75607505982</v>
      </c>
      <c r="G294" s="191">
        <f>+SUMPRODUCT(('Budget révisé'!$A$8:$A$500=$A294)*('Budget révisé'!$C$3:$AO$3=G$2),'Budget révisé'!$C$8:$AO$500)</f>
        <v>365459.57215021562</v>
      </c>
      <c r="H294" s="204">
        <f>IF(G294=0,0,I294/G294)</f>
        <v>0.35811007851031496</v>
      </c>
      <c r="I294" s="193">
        <f>+SUMPRODUCT(('Budget révisé'!$A$8:$A$500=$A294)*('Budget révisé'!$C$3:$AO$3=I$2),'Budget révisé'!$C$8:$AO$500)</f>
        <v>130874.75607505982</v>
      </c>
      <c r="J294" s="173">
        <f>-SUMIFS(BV_Data_An_Cour!$P:$P,BV_Data_An_Cour!$X:$X,"Oui",BV_Data_An_Cour!$U:$U,$B294,BV_Data_An_Cour!$V:$V,$C294)</f>
        <v>328200.68</v>
      </c>
      <c r="K294" s="204">
        <f t="shared" ref="K294:K303" si="145">IF(J294&lt;=0,0,L294/J294)</f>
        <v>0.35983069870543843</v>
      </c>
      <c r="L294" s="174">
        <f>-SUMIFS(BV_Data_An_Cour!$P:$P,BV_Data_An_Cour!$U:$U,$B294,BV_Data_An_Cour!$V:$V,$C294,BV_Data_An_Cour!$W:$W,$L$2)</f>
        <v>118096.68000000001</v>
      </c>
      <c r="M294" s="318">
        <f t="shared" ref="M294:M299" si="146">(+J294-G294)/G294</f>
        <v>-0.10195079015443335</v>
      </c>
      <c r="N294" s="298">
        <f t="shared" ref="N294:N303" si="147">L294-I294</f>
        <v>-12778.076075059813</v>
      </c>
      <c r="O294" s="173">
        <f>-SUMIFS(BV_Data_An_Prec!$P:$P,BV_Data_An_Prec!$X:$X,"Oui",BV_Data_An_Prec!$U:$U,$B294,BV_Data_An_Prec!$V:$V,$C294)</f>
        <v>292275.45</v>
      </c>
      <c r="P294" s="204">
        <f t="shared" ref="P294:P303" si="148">IF(O294&lt;=0,0,Q294/O294)</f>
        <v>0.35733606774020882</v>
      </c>
      <c r="Q294" s="174">
        <f>-SUMIFS(BV_Data_An_Prec!$P:$P,BV_Data_An_Prec!$U:$U,$B294,BV_Data_An_Prec!$V:$V,$C294,BV_Data_An_Prec!$W:$W,$L$2)</f>
        <v>104440.56000000001</v>
      </c>
      <c r="R294" s="318">
        <f>IF(O294=0,0,(J294-O294)/O294)</f>
        <v>0.12291566055240007</v>
      </c>
      <c r="S294" s="193">
        <f t="shared" ref="S294:S303" si="149">L294-Q294</f>
        <v>13656.119999999995</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tr">
        <f t="shared" si="144"/>
        <v>PiècesPièces Ro Carrosserie</v>
      </c>
      <c r="B295" s="24" t="s">
        <v>175</v>
      </c>
      <c r="C295" s="258" t="s">
        <v>178</v>
      </c>
      <c r="D295" s="191">
        <f>+SUMPRODUCT(('Budget original'!$A$8:$A$500=$A295)*('Budget original'!$C$3:$AO$3=D$2),'Budget original'!$C$8:$AO$500)</f>
        <v>246308.02401399906</v>
      </c>
      <c r="E295" s="204">
        <f t="shared" ref="E295:E302" si="150">IF(D295=0,0,F295/D295)</f>
        <v>0.2571723304036081</v>
      </c>
      <c r="F295" s="193">
        <f>+SUMPRODUCT(('Budget original'!$A$8:$A$500=$A295)*('Budget original'!$C$3:$AO$3=F$2),'Budget original'!$C$8:$AO$500)</f>
        <v>63343.608532787999</v>
      </c>
      <c r="G295" s="191">
        <f>+SUMPRODUCT(('Budget révisé'!$A$8:$A$500=$A295)*('Budget révisé'!$C$3:$AO$3=G$2),'Budget révisé'!$C$8:$AO$500)</f>
        <v>246308.02401399906</v>
      </c>
      <c r="H295" s="204">
        <f t="shared" ref="H295:H302" si="151">IF(G295=0,0,I295/G295)</f>
        <v>0.2571723304036081</v>
      </c>
      <c r="I295" s="193">
        <f>+SUMPRODUCT(('Budget révisé'!$A$8:$A$500=$A295)*('Budget révisé'!$C$3:$AO$3=I$2),'Budget révisé'!$C$8:$AO$500)</f>
        <v>63343.608532787999</v>
      </c>
      <c r="J295" s="173">
        <f>-SUMIFS(BV_Data_An_Cour!$P:$P,BV_Data_An_Cour!$X:$X,"Oui",BV_Data_An_Cour!$U:$U,$B295,BV_Data_An_Cour!$V:$V,$C295)</f>
        <v>293471.94</v>
      </c>
      <c r="K295" s="204">
        <f t="shared" si="145"/>
        <v>0.24842882764192034</v>
      </c>
      <c r="L295" s="174">
        <f>-SUMIFS(BV_Data_An_Cour!$P:$P,BV_Data_An_Cour!$U:$U,$B295,BV_Data_An_Cour!$V:$V,$C295,BV_Data_An_Cour!$W:$W,$L$2)</f>
        <v>72906.889999999985</v>
      </c>
      <c r="M295" s="318">
        <f t="shared" si="146"/>
        <v>0.1914834734873288</v>
      </c>
      <c r="N295" s="298">
        <f t="shared" si="147"/>
        <v>9563.2814672119857</v>
      </c>
      <c r="O295" s="173">
        <f>-SUMIFS(BV_Data_An_Prec!$P:$P,BV_Data_An_Prec!$X:$X,"Oui",BV_Data_An_Prec!$U:$U,$B295,BV_Data_An_Prec!$V:$V,$C295)</f>
        <v>219022.63</v>
      </c>
      <c r="P295" s="204">
        <f t="shared" si="148"/>
        <v>0.24546746607873346</v>
      </c>
      <c r="Q295" s="174">
        <f>-SUMIFS(BV_Data_An_Prec!$P:$P,BV_Data_An_Prec!$U:$U,$B295,BV_Data_An_Prec!$V:$V,$C295,BV_Data_An_Prec!$W:$W,$L$2)</f>
        <v>53762.929999999993</v>
      </c>
      <c r="R295" s="318">
        <f t="shared" ref="R295:R302" si="152">IF(O295=0,0,(J295-O295)/O295)</f>
        <v>0.33991606255481455</v>
      </c>
      <c r="S295" s="193">
        <f t="shared" si="149"/>
        <v>19143.959999999992</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tr">
        <f t="shared" si="144"/>
        <v>PiècesP/A Garantie</v>
      </c>
      <c r="B296" s="24" t="s">
        <v>175</v>
      </c>
      <c r="C296" s="258" t="s">
        <v>179</v>
      </c>
      <c r="D296" s="191">
        <f>+SUMPRODUCT(('Budget original'!$A$8:$A$500=$A296)*('Budget original'!$C$3:$AO$3=D$2),'Budget original'!$C$8:$AO$500)</f>
        <v>371605.2963648088</v>
      </c>
      <c r="E296" s="204">
        <f t="shared" si="150"/>
        <v>0.24177651145507989</v>
      </c>
      <c r="F296" s="193">
        <f>+SUMPRODUCT(('Budget original'!$A$8:$A$500=$A296)*('Budget original'!$C$3:$AO$3=F$2),'Budget original'!$C$8:$AO$500)</f>
        <v>89845.432193314555</v>
      </c>
      <c r="G296" s="191">
        <f>+SUMPRODUCT(('Budget révisé'!$A$8:$A$500=$A296)*('Budget révisé'!$C$3:$AO$3=G$2),'Budget révisé'!$C$8:$AO$500)</f>
        <v>371605.2963648088</v>
      </c>
      <c r="H296" s="204">
        <f t="shared" si="151"/>
        <v>0.24177651145507989</v>
      </c>
      <c r="I296" s="193">
        <f>+SUMPRODUCT(('Budget révisé'!$A$8:$A$500=$A296)*('Budget révisé'!$C$3:$AO$3=I$2),'Budget révisé'!$C$8:$AO$500)</f>
        <v>89845.432193314555</v>
      </c>
      <c r="J296" s="173">
        <f>-SUMIFS(BV_Data_An_Cour!$P:$P,BV_Data_An_Cour!$X:$X,"Oui",BV_Data_An_Cour!$U:$U,$B296,BV_Data_An_Cour!$V:$V,$C296)</f>
        <v>279622.88</v>
      </c>
      <c r="K296" s="204">
        <f t="shared" si="145"/>
        <v>0.24307860644307788</v>
      </c>
      <c r="L296" s="174">
        <f>-SUMIFS(BV_Data_An_Cour!$P:$P,BV_Data_An_Cour!$U:$U,$B296,BV_Data_An_Cour!$V:$V,$C296,BV_Data_An_Cour!$W:$W,$L$2)</f>
        <v>67970.34</v>
      </c>
      <c r="M296" s="318">
        <f t="shared" si="146"/>
        <v>-0.24752719421552244</v>
      </c>
      <c r="N296" s="298">
        <f t="shared" si="147"/>
        <v>-21875.092193314558</v>
      </c>
      <c r="O296" s="173">
        <f>-SUMIFS(BV_Data_An_Prec!$P:$P,BV_Data_An_Prec!$X:$X,"Oui",BV_Data_An_Prec!$U:$U,$B296,BV_Data_An_Prec!$V:$V,$C296)</f>
        <v>352679.36</v>
      </c>
      <c r="P296" s="204">
        <f t="shared" si="148"/>
        <v>0.23885664871343762</v>
      </c>
      <c r="Q296" s="174">
        <f>-SUMIFS(BV_Data_An_Prec!$P:$P,BV_Data_An_Prec!$U:$U,$B296,BV_Data_An_Prec!$V:$V,$C296,BV_Data_An_Prec!$W:$W,$L$2)</f>
        <v>84239.81</v>
      </c>
      <c r="R296" s="318">
        <f t="shared" si="152"/>
        <v>-0.2071470244246785</v>
      </c>
      <c r="S296" s="193">
        <f t="shared" si="149"/>
        <v>-16269.470000000001</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tr">
        <f t="shared" si="144"/>
        <v>PiècesVentes Internes</v>
      </c>
      <c r="B297" s="24" t="s">
        <v>175</v>
      </c>
      <c r="C297" s="258" t="s">
        <v>180</v>
      </c>
      <c r="D297" s="191">
        <f>+SUMPRODUCT(('Budget original'!$A$8:$A$500=$A297)*('Budget original'!$C$3:$AO$3=D$2),'Budget original'!$C$8:$AO$500)</f>
        <v>227051.44580857479</v>
      </c>
      <c r="E297" s="204">
        <f t="shared" si="150"/>
        <v>0.32393223852119102</v>
      </c>
      <c r="F297" s="193">
        <f>+SUMPRODUCT(('Budget original'!$A$8:$A$500=$A297)*('Budget original'!$C$3:$AO$3=F$2),'Budget original'!$C$8:$AO$500)</f>
        <v>73549.283100244531</v>
      </c>
      <c r="G297" s="191">
        <f>+SUMPRODUCT(('Budget révisé'!$A$8:$A$500=$A297)*('Budget révisé'!$C$3:$AO$3=G$2),'Budget révisé'!$C$8:$AO$500)</f>
        <v>227051.44580857479</v>
      </c>
      <c r="H297" s="204">
        <f t="shared" si="151"/>
        <v>0.32393223852119102</v>
      </c>
      <c r="I297" s="193">
        <f>+SUMPRODUCT(('Budget révisé'!$A$8:$A$500=$A297)*('Budget révisé'!$C$3:$AO$3=I$2),'Budget révisé'!$C$8:$AO$500)</f>
        <v>73549.283100244531</v>
      </c>
      <c r="J297" s="173">
        <f>-SUMIFS(BV_Data_An_Cour!$P:$P,BV_Data_An_Cour!$X:$X,"Oui",BV_Data_An_Cour!$U:$U,$B297,BV_Data_An_Cour!$V:$V,$C297)</f>
        <v>200379.06</v>
      </c>
      <c r="K297" s="204">
        <f t="shared" si="145"/>
        <v>0.31598541284703097</v>
      </c>
      <c r="L297" s="174">
        <f>-SUMIFS(BV_Data_An_Cour!$P:$P,BV_Data_An_Cour!$U:$U,$B297,BV_Data_An_Cour!$V:$V,$C297,BV_Data_An_Cour!$W:$W,$L$2)</f>
        <v>63316.859999999986</v>
      </c>
      <c r="M297" s="318">
        <f t="shared" si="146"/>
        <v>-0.11747287366345185</v>
      </c>
      <c r="N297" s="298">
        <f t="shared" si="147"/>
        <v>-10232.423100244545</v>
      </c>
      <c r="O297" s="173">
        <f>-SUMIFS(BV_Data_An_Prec!$P:$P,BV_Data_An_Prec!$X:$X,"Oui",BV_Data_An_Prec!$U:$U,$B297,BV_Data_An_Prec!$V:$V,$C297)</f>
        <v>218955.37</v>
      </c>
      <c r="P297" s="204">
        <f t="shared" si="148"/>
        <v>0.32095371764574676</v>
      </c>
      <c r="Q297" s="174">
        <f>-SUMIFS(BV_Data_An_Prec!$P:$P,BV_Data_An_Prec!$U:$U,$B297,BV_Data_An_Prec!$V:$V,$C297,BV_Data_An_Prec!$W:$W,$L$2)</f>
        <v>70274.540000000008</v>
      </c>
      <c r="R297" s="318">
        <f t="shared" si="152"/>
        <v>-8.4840623000020501E-2</v>
      </c>
      <c r="S297" s="193">
        <f t="shared" si="149"/>
        <v>-6957.6800000000221</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tr">
        <f t="shared" si="144"/>
        <v>PiècesVentes Détails</v>
      </c>
      <c r="B298" s="24" t="s">
        <v>175</v>
      </c>
      <c r="C298" s="258" t="s">
        <v>181</v>
      </c>
      <c r="D298" s="191">
        <f>+SUMPRODUCT(('Budget original'!$A$8:$A$500=$A298)*('Budget original'!$C$3:$AO$3=D$2),'Budget original'!$C$8:$AO$500)</f>
        <v>76843.898630343232</v>
      </c>
      <c r="E298" s="204">
        <f t="shared" si="150"/>
        <v>0.2811373070712001</v>
      </c>
      <c r="F298" s="193">
        <f>+SUMPRODUCT(('Budget original'!$A$8:$A$500=$A298)*('Budget original'!$C$3:$AO$3=F$2),'Budget original'!$C$8:$AO$500)</f>
        <v>21603.686725786978</v>
      </c>
      <c r="G298" s="191">
        <f>+SUMPRODUCT(('Budget révisé'!$A$8:$A$500=$A298)*('Budget révisé'!$C$3:$AO$3=G$2),'Budget révisé'!$C$8:$AO$500)</f>
        <v>76843.898630343232</v>
      </c>
      <c r="H298" s="204">
        <f t="shared" si="151"/>
        <v>0.2811373070712001</v>
      </c>
      <c r="I298" s="193">
        <f>+SUMPRODUCT(('Budget révisé'!$A$8:$A$500=$A298)*('Budget révisé'!$C$3:$AO$3=I$2),'Budget révisé'!$C$8:$AO$500)</f>
        <v>21603.686725786978</v>
      </c>
      <c r="J298" s="173">
        <f>-SUMIFS(BV_Data_An_Cour!$P:$P,BV_Data_An_Cour!$X:$X,"Oui",BV_Data_An_Cour!$U:$U,$B298,BV_Data_An_Cour!$V:$V,$C298)</f>
        <v>77124.13</v>
      </c>
      <c r="K298" s="204">
        <f t="shared" si="145"/>
        <v>0.30791621247461726</v>
      </c>
      <c r="L298" s="174">
        <f>-SUMIFS(BV_Data_An_Cour!$P:$P,BV_Data_An_Cour!$U:$U,$B298,BV_Data_An_Cour!$V:$V,$C298,BV_Data_An_Cour!$W:$W,$L$2)</f>
        <v>23747.770000000004</v>
      </c>
      <c r="M298" s="318">
        <f t="shared" si="146"/>
        <v>3.6467614820640823E-3</v>
      </c>
      <c r="N298" s="298">
        <f t="shared" si="147"/>
        <v>2144.083274213026</v>
      </c>
      <c r="O298" s="173">
        <f>-SUMIFS(BV_Data_An_Prec!$P:$P,BV_Data_An_Prec!$X:$X,"Oui",BV_Data_An_Prec!$U:$U,$B298,BV_Data_An_Prec!$V:$V,$C298)</f>
        <v>70797.240000000005</v>
      </c>
      <c r="P298" s="204">
        <f t="shared" si="148"/>
        <v>0.28373916836306051</v>
      </c>
      <c r="Q298" s="174">
        <f>-SUMIFS(BV_Data_An_Prec!$P:$P,BV_Data_An_Prec!$U:$U,$B298,BV_Data_An_Prec!$V:$V,$C298,BV_Data_An_Prec!$W:$W,$L$2)</f>
        <v>20087.950000000004</v>
      </c>
      <c r="R298" s="318">
        <f t="shared" si="152"/>
        <v>8.9366336879799252E-2</v>
      </c>
      <c r="S298" s="193">
        <f t="shared" si="149"/>
        <v>3659.8199999999997</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tr">
        <f t="shared" ref="A299:A300" si="153">+B299&amp;C299</f>
        <v>PiècesVentes de Gros</v>
      </c>
      <c r="B299" s="24" t="s">
        <v>175</v>
      </c>
      <c r="C299" s="258" t="s">
        <v>182</v>
      </c>
      <c r="D299" s="191">
        <f>+SUMPRODUCT(('Budget original'!$A$8:$A$500=$A299)*('Budget original'!$C$3:$AO$3=D$2),'Budget original'!$C$8:$AO$500)</f>
        <v>239569.21920472838</v>
      </c>
      <c r="E299" s="204">
        <f t="shared" si="150"/>
        <v>0.18194830719212418</v>
      </c>
      <c r="F299" s="193">
        <f>+SUMPRODUCT(('Budget original'!$A$8:$A$500=$A299)*('Budget original'!$C$3:$AO$3=F$2),'Budget original'!$C$8:$AO$500)</f>
        <v>43589.213889639257</v>
      </c>
      <c r="G299" s="191">
        <f>+SUMPRODUCT(('Budget révisé'!$A$8:$A$500=$A299)*('Budget révisé'!$C$3:$AO$3=G$2),'Budget révisé'!$C$8:$AO$500)</f>
        <v>239569.21920472838</v>
      </c>
      <c r="H299" s="204">
        <f t="shared" si="151"/>
        <v>0.18194830719212418</v>
      </c>
      <c r="I299" s="193">
        <f>+SUMPRODUCT(('Budget révisé'!$A$8:$A$500=$A299)*('Budget révisé'!$C$3:$AO$3=I$2),'Budget révisé'!$C$8:$AO$500)</f>
        <v>43589.213889639257</v>
      </c>
      <c r="J299" s="173">
        <f>-SUMIFS(BV_Data_An_Cour!$P:$P,BV_Data_An_Cour!$X:$X,"Oui",BV_Data_An_Cour!$U:$U,$B299,BV_Data_An_Cour!$V:$V,$C299)</f>
        <v>372981.02</v>
      </c>
      <c r="K299" s="204">
        <f t="shared" si="145"/>
        <v>0.17322353292937004</v>
      </c>
      <c r="L299" s="174">
        <f>-SUMIFS(BV_Data_An_Cour!$P:$P,BV_Data_An_Cour!$U:$U,$B299,BV_Data_An_Cour!$V:$V,$C299,BV_Data_An_Cour!$W:$W,$L$2)</f>
        <v>64609.090000000026</v>
      </c>
      <c r="M299" s="318">
        <f t="shared" si="146"/>
        <v>0.55688206205348145</v>
      </c>
      <c r="N299" s="298">
        <f t="shared" si="147"/>
        <v>21019.876110360769</v>
      </c>
      <c r="O299" s="173">
        <f>-SUMIFS(BV_Data_An_Prec!$P:$P,BV_Data_An_Prec!$X:$X,"Oui",BV_Data_An_Prec!$U:$U,$B299,BV_Data_An_Prec!$V:$V,$C299)</f>
        <v>194054.15</v>
      </c>
      <c r="P299" s="204">
        <f t="shared" si="148"/>
        <v>0.18110656226625393</v>
      </c>
      <c r="Q299" s="174">
        <f>-SUMIFS(BV_Data_An_Prec!$P:$P,BV_Data_An_Prec!$U:$U,$B299,BV_Data_An_Prec!$V:$V,$C299,BV_Data_An_Prec!$W:$W,$L$2)</f>
        <v>35144.479999999981</v>
      </c>
      <c r="R299" s="318">
        <f t="shared" si="152"/>
        <v>0.92204608868194793</v>
      </c>
      <c r="S299" s="193">
        <f t="shared" si="149"/>
        <v>29464.610000000044</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ht="15.75" hidden="1" customHeight="1">
      <c r="A300" s="564" t="str">
        <f t="shared" si="153"/>
        <v>Pièces[...]</v>
      </c>
      <c r="B300" s="24" t="s">
        <v>175</v>
      </c>
      <c r="C300" s="258" t="s">
        <v>42</v>
      </c>
      <c r="D300" s="191">
        <f>+SUMPRODUCT(('Budget original'!$A$8:$A$500=$A300)*('Budget original'!$C$3:$AO$3=D$2),'Budget original'!$C$8:$AO$500)</f>
        <v>0</v>
      </c>
      <c r="E300" s="204">
        <f t="shared" ref="E300" si="154">IF(D300=0,0,F300/D300)</f>
        <v>0</v>
      </c>
      <c r="F300" s="193">
        <f>+SUMPRODUCT(('Budget original'!$A$8:$A$500=$A300)*('Budget original'!$C$3:$AO$3=F$2),'Budget original'!$C$8:$AO$500)</f>
        <v>0</v>
      </c>
      <c r="G300" s="191">
        <f>+SUMPRODUCT(('Budget révisé'!$A$8:$A$500=$A300)*('Budget révisé'!$C$3:$AO$3=G$2),'Budget révisé'!$C$8:$AO$500)</f>
        <v>0</v>
      </c>
      <c r="H300" s="204">
        <f t="shared" ref="H300" si="155">IF(G300=0,0,I300/G300)</f>
        <v>0</v>
      </c>
      <c r="I300" s="193">
        <f>+SUMPRODUCT(('Budget révisé'!$A$8:$A$500=$A300)*('Budget révisé'!$C$3:$AO$3=I$2),'Budget révisé'!$C$8:$AO$500)</f>
        <v>0</v>
      </c>
      <c r="J300" s="173">
        <f>-SUMIFS(BV_Data_An_Cour!$P:$P,BV_Data_An_Cour!$X:$X,"Oui",BV_Data_An_Cour!$U:$U,$B300,BV_Data_An_Cour!$V:$V,$C300)</f>
        <v>0</v>
      </c>
      <c r="K300" s="204">
        <f t="shared" ref="K300" si="156">IF(J300&lt;=0,0,L300/J300)</f>
        <v>0</v>
      </c>
      <c r="L300" s="174">
        <f>-SUMIFS(BV_Data_An_Cour!$P:$P,BV_Data_An_Cour!$U:$U,$B300,BV_Data_An_Cour!$V:$V,$C300,BV_Data_An_Cour!$W:$W,$L$2)</f>
        <v>0</v>
      </c>
      <c r="M300" s="318" t="e">
        <f t="shared" ref="M300" si="157">(+J300-G300)/G300</f>
        <v>#DIV/0!</v>
      </c>
      <c r="N300" s="298">
        <f t="shared" ref="N300" si="158">L300-I300</f>
        <v>0</v>
      </c>
      <c r="O300" s="173">
        <f>-SUMIFS(BV_Data_An_Prec!$P:$P,BV_Data_An_Prec!$X:$X,"Oui",BV_Data_An_Prec!$U:$U,$B300,BV_Data_An_Prec!$V:$V,$C300)</f>
        <v>0</v>
      </c>
      <c r="P300" s="204">
        <f t="shared" ref="P300" si="159">IF(O300&lt;=0,0,Q300/O300)</f>
        <v>0</v>
      </c>
      <c r="Q300" s="174">
        <f>-SUMIFS(BV_Data_An_Prec!$P:$P,BV_Data_An_Prec!$U:$U,$B300,BV_Data_An_Prec!$V:$V,$C300,BV_Data_An_Prec!$W:$W,$L$2)</f>
        <v>0</v>
      </c>
      <c r="R300" s="318">
        <f t="shared" ref="R300" si="160">IF(O300=0,0,(J300-O300)/O300)</f>
        <v>0</v>
      </c>
      <c r="S300" s="193">
        <f t="shared" ref="S300" si="161">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tr">
        <f t="shared" si="144"/>
        <v>PiècesEscomptes</v>
      </c>
      <c r="B301" s="24" t="s">
        <v>175</v>
      </c>
      <c r="C301" s="258" t="s">
        <v>183</v>
      </c>
      <c r="D301" s="191">
        <f>+SUMPRODUCT(('Budget original'!$A$8:$A$500=$A301)*('Budget original'!$C$3:$AO$3=D$2),'Budget original'!$C$8:$AO$500)</f>
        <v>0</v>
      </c>
      <c r="E301" s="204">
        <f t="shared" si="150"/>
        <v>0</v>
      </c>
      <c r="F301" s="193">
        <f>+SUMPRODUCT(('Budget original'!$A$8:$A$500=$A301)*('Budget original'!$C$3:$AO$3=F$2),'Budget original'!$C$8:$AO$500)</f>
        <v>25303.228125738551</v>
      </c>
      <c r="G301" s="191">
        <f>+SUMPRODUCT(('Budget révisé'!$A$8:$A$500=$A301)*('Budget révisé'!$C$3:$AO$3=G$2),'Budget révisé'!$C$8:$AO$500)</f>
        <v>0</v>
      </c>
      <c r="H301" s="204">
        <f t="shared" si="151"/>
        <v>0</v>
      </c>
      <c r="I301" s="193">
        <f>+SUMPRODUCT(('Budget révisé'!$A$8:$A$500=$A301)*('Budget révisé'!$C$3:$AO$3=I$2),'Budget révisé'!$C$8:$AO$500)</f>
        <v>25303.228125738551</v>
      </c>
      <c r="J301" s="173">
        <f>-SUMIFS(BV_Data_An_Cour!$P:$P,BV_Data_An_Cour!$X:$X,"Oui",BV_Data_An_Cour!$U:$U,$B301,BV_Data_An_Cour!$V:$V,$C301)</f>
        <v>0</v>
      </c>
      <c r="K301" s="204">
        <f t="shared" si="145"/>
        <v>0</v>
      </c>
      <c r="L301" s="174">
        <f>-SUMIFS(BV_Data_An_Cour!$P:$P,BV_Data_An_Cour!$U:$U,$B301,BV_Data_An_Cour!$V:$V,$C301,BV_Data_An_Cour!$W:$W,$L$2)</f>
        <v>29675.409999999996</v>
      </c>
      <c r="M301" s="318"/>
      <c r="N301" s="298">
        <f t="shared" si="147"/>
        <v>4372.181874261445</v>
      </c>
      <c r="O301" s="173">
        <f>-SUMIFS(BV_Data_An_Prec!$P:$P,BV_Data_An_Prec!$X:$X,"Oui",BV_Data_An_Prec!$U:$U,$B301,BV_Data_An_Prec!$V:$V,$C301)</f>
        <v>0</v>
      </c>
      <c r="P301" s="204">
        <f t="shared" si="148"/>
        <v>0</v>
      </c>
      <c r="Q301" s="174">
        <f>-SUMIFS(BV_Data_An_Prec!$P:$P,BV_Data_An_Prec!$U:$U,$B301,BV_Data_An_Prec!$V:$V,$C301,BV_Data_An_Prec!$W:$W,$L$2)</f>
        <v>32685.7</v>
      </c>
      <c r="R301" s="318">
        <f t="shared" si="152"/>
        <v>0</v>
      </c>
      <c r="S301" s="193">
        <f t="shared" si="149"/>
        <v>-3010.2900000000045</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tr">
        <f t="shared" si="144"/>
        <v>PiècesRectif. Inventaire</v>
      </c>
      <c r="B302" s="24" t="s">
        <v>175</v>
      </c>
      <c r="C302" s="320" t="s">
        <v>184</v>
      </c>
      <c r="D302" s="191">
        <f>+SUMPRODUCT(('Budget original'!$A$8:$A$500=$A302)*('Budget original'!$C$3:$AO$3=D$2),'Budget original'!$C$8:$AO$500)</f>
        <v>0</v>
      </c>
      <c r="E302" s="204">
        <f t="shared" si="150"/>
        <v>0</v>
      </c>
      <c r="F302" s="193">
        <f>+SUMPRODUCT(('Budget original'!$A$8:$A$500=$A302)*('Budget original'!$C$3:$AO$3=F$2),'Budget original'!$C$8:$AO$500)</f>
        <v>0</v>
      </c>
      <c r="G302" s="191">
        <f>+SUMPRODUCT(('Budget révisé'!$A$8:$A$500=$A302)*('Budget révisé'!$C$3:$AO$3=G$2),'Budget révisé'!$C$8:$AO$500)</f>
        <v>0</v>
      </c>
      <c r="H302" s="204">
        <f t="shared" si="151"/>
        <v>0</v>
      </c>
      <c r="I302" s="193">
        <f>+SUMPRODUCT(('Budget révisé'!$A$8:$A$500=$A302)*('Budget révisé'!$C$3:$AO$3=I$2),'Budget révisé'!$C$8:$AO$500)</f>
        <v>0</v>
      </c>
      <c r="J302" s="173">
        <f>-SUMIFS(BV_Data_An_Cour!$P:$P,BV_Data_An_Cour!$X:$X,"Oui",BV_Data_An_Cour!$U:$U,$B302,BV_Data_An_Cour!$V:$V,$C302)</f>
        <v>0</v>
      </c>
      <c r="K302" s="204">
        <f t="shared" si="145"/>
        <v>0</v>
      </c>
      <c r="L302" s="174">
        <f>-SUMIFS(BV_Data_An_Cour!$P:$P,BV_Data_An_Cour!$U:$U,$B302,BV_Data_An_Cour!$V:$V,$C302,BV_Data_An_Cour!$W:$W,$L$2)</f>
        <v>0</v>
      </c>
      <c r="M302" s="318"/>
      <c r="N302" s="298">
        <f t="shared" si="147"/>
        <v>0</v>
      </c>
      <c r="O302" s="173">
        <f>-SUMIFS(BV_Data_An_Prec!$P:$P,BV_Data_An_Prec!$X:$X,"Oui",BV_Data_An_Prec!$U:$U,$B302,BV_Data_An_Prec!$V:$V,$C302)</f>
        <v>0</v>
      </c>
      <c r="P302" s="204">
        <f t="shared" si="148"/>
        <v>0</v>
      </c>
      <c r="Q302" s="174">
        <f>-SUMIFS(BV_Data_An_Prec!$P:$P,BV_Data_An_Prec!$U:$U,$B302,BV_Data_An_Prec!$V:$V,$C302,BV_Data_An_Prec!$W:$W,$L$2)</f>
        <v>0</v>
      </c>
      <c r="R302" s="318">
        <f t="shared" si="152"/>
        <v>0</v>
      </c>
      <c r="S302" s="193">
        <f t="shared" si="149"/>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tr">
        <f t="shared" si="144"/>
        <v>PiècesSous-total Pièces</v>
      </c>
      <c r="B303" s="24" t="s">
        <v>175</v>
      </c>
      <c r="C303" s="321" t="s">
        <v>185</v>
      </c>
      <c r="D303" s="192">
        <f>SUM(D294:D302)</f>
        <v>1526837.4561726698</v>
      </c>
      <c r="E303" s="322">
        <f>IF(D303&lt;=0,0,F303/D303)</f>
        <v>0.29348848289709178</v>
      </c>
      <c r="F303" s="194">
        <f>SUM(F294:F302)</f>
        <v>448109.2086425717</v>
      </c>
      <c r="G303" s="192">
        <f>SUM(G294:G302)</f>
        <v>1526837.4561726698</v>
      </c>
      <c r="H303" s="322">
        <f>IF(G303&lt;=0,0,I303/G303)</f>
        <v>0.29348848289709178</v>
      </c>
      <c r="I303" s="194">
        <f>SUM(I294:I302)</f>
        <v>448109.2086425717</v>
      </c>
      <c r="J303" s="192">
        <f>SUM(J294:J302)</f>
        <v>1551779.71</v>
      </c>
      <c r="K303" s="322">
        <f t="shared" si="145"/>
        <v>0.28375357479058677</v>
      </c>
      <c r="L303" s="323">
        <f>SUM(L294:L302)</f>
        <v>440323.04000000004</v>
      </c>
      <c r="M303" s="324">
        <f>(+J303-G303)/G303</f>
        <v>1.6335893337233846E-2</v>
      </c>
      <c r="N303" s="323">
        <f t="shared" si="147"/>
        <v>-7786.1686425716616</v>
      </c>
      <c r="O303" s="192">
        <f>SUM(O294:O302)</f>
        <v>1347784.2</v>
      </c>
      <c r="P303" s="322">
        <f t="shared" si="148"/>
        <v>0.29725528018506225</v>
      </c>
      <c r="Q303" s="323">
        <f>SUM(Q294:Q302)</f>
        <v>400635.97</v>
      </c>
      <c r="R303" s="324">
        <f>IF(O303=0,0,(J303-O303)/O303)</f>
        <v>0.15135621117980164</v>
      </c>
      <c r="S303" s="194">
        <f t="shared" si="149"/>
        <v>39687.070000000065</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tr">
        <f t="shared" si="144"/>
        <v>Pièces</v>
      </c>
      <c r="B304" s="24" t="s">
        <v>175</v>
      </c>
      <c r="C304" s="258"/>
      <c r="D304" s="172"/>
      <c r="E304" s="172"/>
      <c r="F304" s="306"/>
      <c r="G304" s="297"/>
      <c r="H304" s="172"/>
      <c r="I304" s="306"/>
      <c r="J304" s="297"/>
      <c r="K304" s="172"/>
      <c r="L304" s="306"/>
      <c r="M304" s="297"/>
      <c r="N304" s="326">
        <f>N303/I303</f>
        <v>-1.7375605081086817E-2</v>
      </c>
      <c r="O304" s="297"/>
      <c r="P304" s="172"/>
      <c r="Q304" s="306"/>
      <c r="R304" s="297"/>
      <c r="S304" s="327">
        <f>IF(Q303=0,0,S303/Q303)</f>
        <v>9.9060176748483331E-2</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tr">
        <f t="shared" si="144"/>
        <v>Pièces</v>
      </c>
      <c r="B305" s="24" t="s">
        <v>175</v>
      </c>
      <c r="C305" s="320"/>
      <c r="D305" s="302"/>
      <c r="E305" s="302"/>
      <c r="F305" s="328"/>
      <c r="G305" s="304"/>
      <c r="H305" s="329"/>
      <c r="I305" s="328"/>
      <c r="J305" s="400"/>
      <c r="K305" s="302"/>
      <c r="L305" s="328"/>
      <c r="M305" s="304"/>
      <c r="N305" s="330"/>
      <c r="O305" s="304"/>
      <c r="P305" s="302"/>
      <c r="Q305" s="328"/>
      <c r="R305" s="304"/>
      <c r="S305" s="331"/>
      <c r="T305" s="216"/>
      <c r="U305" s="216" t="s">
        <v>2891</v>
      </c>
      <c r="V305" s="216" t="s">
        <v>6</v>
      </c>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tr">
        <f t="shared" si="144"/>
        <v>PiècesVentes Pneus</v>
      </c>
      <c r="B306" s="24" t="s">
        <v>175</v>
      </c>
      <c r="C306" s="258" t="s">
        <v>186</v>
      </c>
      <c r="D306" s="191">
        <f>+SUMPRODUCT(('Budget original'!$A$8:$A$500=$A306)*('Budget original'!$C$3:$AO$3=D$2),'Budget original'!$C$8:$AO$500)</f>
        <v>168636.80338860169</v>
      </c>
      <c r="E306" s="204">
        <f t="shared" ref="E306:E307" si="162">IF(D306=0,0,F306/D306)</f>
        <v>0.1816444838198383</v>
      </c>
      <c r="F306" s="195">
        <f>+SUMPRODUCT(('Budget original'!$A$8:$A$500=$A306)*('Budget original'!$C$3:$AO$3=F$2),'Budget original'!$C$8:$AO$500)</f>
        <v>30631.945104550112</v>
      </c>
      <c r="G306" s="191">
        <f>+SUMPRODUCT(('Budget révisé'!$A$8:$A$500=$A306)*('Budget révisé'!$C$3:$AO$3=G$2),'Budget révisé'!$C$8:$AO$500)</f>
        <v>168636.80338860169</v>
      </c>
      <c r="H306" s="204">
        <f t="shared" ref="H306:H307" si="163">IF(G306=0,0,I306/G306)</f>
        <v>0.1816444838198383</v>
      </c>
      <c r="I306" s="195">
        <f>+SUMPRODUCT(('Budget révisé'!$A$8:$A$500=$A306)*('Budget révisé'!$C$3:$AO$3=I$2),'Budget révisé'!$C$8:$AO$500)</f>
        <v>30631.945104550112</v>
      </c>
      <c r="J306" s="173">
        <f>-SUMIFS(BV_Data_An_Cour!$P:$P,BV_Data_An_Cour!$X:$X,"Oui",BV_Data_An_Cour!$U:$U,$B306,BV_Data_An_Cour!$V:$V,$C306)</f>
        <v>152211.88</v>
      </c>
      <c r="K306" s="204">
        <f t="shared" ref="K306:K308" si="164">IF(J306&lt;=0,0,L306/J306)</f>
        <v>0.17425203604344158</v>
      </c>
      <c r="L306" s="174">
        <f>-SUMIFS(BV_Data_An_Cour!$P:$P,BV_Data_An_Cour!$U:$U,$B306,BV_Data_An_Cour!$V:$V,$C306,BV_Data_An_Cour!$W:$W,$L$2)</f>
        <v>26523.230000000007</v>
      </c>
      <c r="M306" s="318">
        <f t="shared" ref="M306:M308" si="165">(+J306-G306)/G306</f>
        <v>-9.7398213548631957E-2</v>
      </c>
      <c r="N306" s="298">
        <f t="shared" ref="N306:N308" si="166">L306-I306</f>
        <v>-4108.715104550105</v>
      </c>
      <c r="O306" s="173">
        <f>-SUMIFS(BV_Data_An_Prec!$P:$P,BV_Data_An_Prec!$X:$X,"Oui",BV_Data_An_Prec!$U:$U,$B306,BV_Data_An_Prec!$V:$V,$C306)</f>
        <v>153927.76</v>
      </c>
      <c r="P306" s="204">
        <f t="shared" ref="P306:P308" si="167">IF(O306&lt;=0,0,Q306/O306)</f>
        <v>0.17872643634910299</v>
      </c>
      <c r="Q306" s="174">
        <f>-SUMIFS(BV_Data_An_Prec!$P:$P,BV_Data_An_Prec!$U:$U,$B306,BV_Data_An_Prec!$V:$V,$C306,BV_Data_An_Prec!$W:$W,$L$2)</f>
        <v>27510.960000000003</v>
      </c>
      <c r="R306" s="318">
        <f t="shared" ref="R306:R307" si="168">IF(O306=0,0,(J306-O306)/O306)</f>
        <v>-1.1147307022463034E-2</v>
      </c>
      <c r="S306" s="193">
        <f t="shared" ref="S306:S308" si="169">L306-Q306</f>
        <v>-987.72999999999593</v>
      </c>
      <c r="T306" s="216"/>
      <c r="U306" s="216">
        <f>J306/(J96+J27)</f>
        <v>450.33100591715976</v>
      </c>
      <c r="V306" s="216">
        <f>G306/(G96+G27)</f>
        <v>322.87667844878086</v>
      </c>
      <c r="W306" s="216"/>
      <c r="X306" s="216" t="s">
        <v>2892</v>
      </c>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tr">
        <f t="shared" si="144"/>
        <v>PiècesHuiles et Graisse</v>
      </c>
      <c r="B307" s="24" t="s">
        <v>175</v>
      </c>
      <c r="C307" s="320" t="s">
        <v>187</v>
      </c>
      <c r="D307" s="191">
        <f>+SUMPRODUCT(('Budget original'!$A$8:$A$500=$A307)*('Budget original'!$C$3:$AO$3=D$2),'Budget original'!$C$8:$AO$500)</f>
        <v>84196.212736687623</v>
      </c>
      <c r="E307" s="204">
        <f t="shared" si="162"/>
        <v>0.29130399895825637</v>
      </c>
      <c r="F307" s="196">
        <f>+SUMPRODUCT(('Budget original'!$A$8:$A$500=$A307)*('Budget original'!$C$3:$AO$3=F$2),'Budget original'!$C$8:$AO$500)</f>
        <v>24526.693467337183</v>
      </c>
      <c r="G307" s="191">
        <f>+SUMPRODUCT(('Budget révisé'!$A$8:$A$500=$A307)*('Budget révisé'!$C$3:$AO$3=G$2),'Budget révisé'!$C$8:$AO$500)</f>
        <v>84196.212736687623</v>
      </c>
      <c r="H307" s="204">
        <f t="shared" si="163"/>
        <v>0.29130399895825637</v>
      </c>
      <c r="I307" s="196">
        <f>+SUMPRODUCT(('Budget révisé'!$A$8:$A$500=$A307)*('Budget révisé'!$C$3:$AO$3=I$2),'Budget révisé'!$C$8:$AO$500)</f>
        <v>24526.693467337183</v>
      </c>
      <c r="J307" s="173">
        <f>-SUMIFS(BV_Data_An_Cour!$P:$P,BV_Data_An_Cour!$X:$X,"Oui",BV_Data_An_Cour!$U:$U,$B307,BV_Data_An_Cour!$V:$V,$C307)</f>
        <v>107808.52</v>
      </c>
      <c r="K307" s="204">
        <f t="shared" si="164"/>
        <v>0.30848146324613313</v>
      </c>
      <c r="L307" s="174">
        <f>-SUMIFS(BV_Data_An_Cour!$P:$P,BV_Data_An_Cour!$U:$U,$B307,BV_Data_An_Cour!$V:$V,$C307,BV_Data_An_Cour!$W:$W,$L$2)</f>
        <v>33256.930000000008</v>
      </c>
      <c r="M307" s="318">
        <f t="shared" si="165"/>
        <v>0.28044381683956154</v>
      </c>
      <c r="N307" s="298">
        <f t="shared" si="166"/>
        <v>8730.2365326628242</v>
      </c>
      <c r="O307" s="173">
        <f>-SUMIFS(BV_Data_An_Prec!$P:$P,BV_Data_An_Prec!$X:$X,"Oui",BV_Data_An_Prec!$U:$U,$B307,BV_Data_An_Prec!$V:$V,$C307)</f>
        <v>79764.91</v>
      </c>
      <c r="P307" s="204">
        <f t="shared" si="167"/>
        <v>0.28989501774652543</v>
      </c>
      <c r="Q307" s="174">
        <f>-SUMIFS(BV_Data_An_Prec!$P:$P,BV_Data_An_Prec!$U:$U,$B307,BV_Data_An_Prec!$V:$V,$C307,BV_Data_An_Prec!$W:$W,$L$2)</f>
        <v>23123.450000000004</v>
      </c>
      <c r="R307" s="318">
        <f t="shared" si="168"/>
        <v>0.35157828172814337</v>
      </c>
      <c r="S307" s="193">
        <f t="shared" si="169"/>
        <v>10133.480000000003</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tr">
        <f t="shared" si="144"/>
        <v>PiècesSous-total Pièces et Acc.</v>
      </c>
      <c r="B308" s="24" t="s">
        <v>175</v>
      </c>
      <c r="C308" s="321" t="s">
        <v>188</v>
      </c>
      <c r="D308" s="192">
        <f>D303+D306+D307</f>
        <v>1779670.472297959</v>
      </c>
      <c r="E308" s="322">
        <f>IF(D308&lt;=0,0,F308/D308)</f>
        <v>0.28278709741395314</v>
      </c>
      <c r="F308" s="323">
        <f t="shared" ref="F308" si="170">F303+F306+F307</f>
        <v>503267.84721445898</v>
      </c>
      <c r="G308" s="325">
        <f>G303+G306+G307</f>
        <v>1779670.472297959</v>
      </c>
      <c r="H308" s="322">
        <f>IF(G308&lt;=0,0,I308/G308)</f>
        <v>0.28278709741395314</v>
      </c>
      <c r="I308" s="323">
        <f t="shared" ref="I308" si="171">I303+I306+I307</f>
        <v>503267.84721445898</v>
      </c>
      <c r="J308" s="325">
        <f t="shared" ref="J308" si="172">J303+J306+J307</f>
        <v>1811800.1099999999</v>
      </c>
      <c r="K308" s="322">
        <f t="shared" si="164"/>
        <v>0.2760255931323462</v>
      </c>
      <c r="L308" s="323">
        <f>L303+L306+L307</f>
        <v>500103.2</v>
      </c>
      <c r="M308" s="324">
        <f t="shared" si="165"/>
        <v>1.805370050364109E-2</v>
      </c>
      <c r="N308" s="323">
        <f t="shared" si="166"/>
        <v>-3164.6472144589643</v>
      </c>
      <c r="O308" s="325">
        <f t="shared" ref="O308" si="173">O303+O306+O307</f>
        <v>1581476.8699999999</v>
      </c>
      <c r="P308" s="322">
        <f t="shared" si="167"/>
        <v>0.28534744235620724</v>
      </c>
      <c r="Q308" s="323">
        <f>Q303+Q306+Q307</f>
        <v>451270.38</v>
      </c>
      <c r="R308" s="324">
        <f>IF(O308=0,0,(J308-O308)/O308)</f>
        <v>0.14563807057133882</v>
      </c>
      <c r="S308" s="194">
        <f t="shared" si="169"/>
        <v>48832.820000000007</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tr">
        <f t="shared" si="144"/>
        <v>Pièces</v>
      </c>
      <c r="B309" s="24" t="s">
        <v>175</v>
      </c>
      <c r="C309" s="258"/>
      <c r="D309" s="172"/>
      <c r="E309" s="172"/>
      <c r="F309" s="306"/>
      <c r="G309" s="297"/>
      <c r="H309" s="172"/>
      <c r="I309" s="306"/>
      <c r="J309" s="297"/>
      <c r="K309" s="172"/>
      <c r="L309" s="306"/>
      <c r="M309" s="297"/>
      <c r="N309" s="326">
        <f>N308/I308</f>
        <v>-6.2881966967987205E-3</v>
      </c>
      <c r="O309" s="297"/>
      <c r="P309" s="172"/>
      <c r="Q309" s="306"/>
      <c r="R309" s="297"/>
      <c r="S309" s="327">
        <f>IF(Q308=0,0,S308/Q308)</f>
        <v>0.10821188840269109</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tr">
        <f t="shared" si="144"/>
        <v>Pièces</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tr">
        <f t="shared" si="144"/>
        <v>PiècesAutostock</v>
      </c>
      <c r="B311" s="24" t="s">
        <v>175</v>
      </c>
      <c r="C311" s="320" t="s">
        <v>189</v>
      </c>
      <c r="D311" s="184">
        <f>+SUMPRODUCT(('Budget original'!$A$8:$A$500=$A311)*('Budget original'!$C$3:$AO$3=D$2),'Budget original'!$C$8:$AO$500)</f>
        <v>0</v>
      </c>
      <c r="E311" s="189">
        <f t="shared" ref="E311" si="174">IF(D311=0,0,F311/D311)</f>
        <v>0</v>
      </c>
      <c r="F311" s="190">
        <f>+SUMPRODUCT(('Budget original'!$A$8:$A$500=$A311)*('Budget original'!$C$3:$AO$3=F$2),'Budget original'!$C$8:$AO$500)</f>
        <v>0</v>
      </c>
      <c r="G311" s="205">
        <f>+SUMPRODUCT(('Budget révisé'!$A$8:$A$500=$A311)*('Budget révisé'!$C$3:$AO$3=G$2),'Budget révisé'!$C$8:$AO$500)</f>
        <v>0</v>
      </c>
      <c r="H311" s="189">
        <f t="shared" ref="H311" si="175">IF(G311=0,0,I311/G311)</f>
        <v>0</v>
      </c>
      <c r="I311" s="190">
        <f>+SUMPRODUCT(('Budget révisé'!$A$8:$A$500=$A311)*('Budget révisé'!$C$3:$AO$3=I$2),'Budget révisé'!$C$8:$AO$500)</f>
        <v>0</v>
      </c>
      <c r="J311" s="177">
        <f>-SUMIFS(BV_Data_An_Cour!$P:$P,BV_Data_An_Cour!$X:$X,"Oui",BV_Data_An_Cour!$U:$U,$B311,BV_Data_An_Cour!$V:$V,$C311)</f>
        <v>0</v>
      </c>
      <c r="K311" s="332">
        <f>IF(J311&lt;=0,0,L311/J311)</f>
        <v>0</v>
      </c>
      <c r="L311" s="171">
        <f>-SUMIFS(BV_Data_An_Cour!$P:$P,BV_Data_An_Cour!$U:$U,$B311,BV_Data_An_Cour!$V:$V,$C311,BV_Data_An_Cour!$W:$W,$L$2)</f>
        <v>0</v>
      </c>
      <c r="M311" s="332">
        <f>IF(F311=0,0,(+L311-F311)/F311)</f>
        <v>0</v>
      </c>
      <c r="N311" s="305">
        <f>L311-I311</f>
        <v>0</v>
      </c>
      <c r="O311" s="177">
        <f>-SUMIFS(BV_Data_An_Prec!$P:$P,BV_Data_An_Prec!$X:$X,"Oui",BV_Data_An_Prec!$U:$U,$B311,BV_Data_An_Prec!$V:$V,$C311)</f>
        <v>0</v>
      </c>
      <c r="P311" s="332">
        <f>IF(O311&lt;=0,0,Q311/O311)</f>
        <v>0</v>
      </c>
      <c r="Q311" s="171">
        <f>-SUMIFS(BV_Data_An_Prec!$P:$P,BV_Data_An_Prec!$U:$U,$B311,BV_Data_An_Prec!$V:$V,$C311,BV_Data_An_Prec!$W:$W,$L$2)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tr">
        <f t="shared" si="144"/>
        <v>Pièces</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tr">
        <f t="shared" si="144"/>
        <v>PiècesTotal Dépt. Pièces</v>
      </c>
      <c r="B313" s="24" t="s">
        <v>175</v>
      </c>
      <c r="C313" s="263" t="s">
        <v>190</v>
      </c>
      <c r="D313" s="26">
        <f>D308+D311</f>
        <v>1779670.472297959</v>
      </c>
      <c r="E313" s="71">
        <f>IF(D313&lt;=0,0,F313/D313)</f>
        <v>0.28278709741395314</v>
      </c>
      <c r="F313" s="28">
        <f t="shared" ref="F313" si="176">F308+F311</f>
        <v>503267.84721445898</v>
      </c>
      <c r="G313" s="29">
        <f>G308+G311</f>
        <v>1779670.472297959</v>
      </c>
      <c r="H313" s="71">
        <f>IF(G313&lt;=0,0,I313/G313)</f>
        <v>0.28278709741395314</v>
      </c>
      <c r="I313" s="28">
        <f t="shared" ref="I313" si="177">I308+I311</f>
        <v>503267.84721445898</v>
      </c>
      <c r="J313" s="29">
        <f t="shared" ref="J313" si="178">J308+J311</f>
        <v>1811800.1099999999</v>
      </c>
      <c r="K313" s="71">
        <f>IF(J313&lt;=0,0,L313/J313)</f>
        <v>0.2760255931323462</v>
      </c>
      <c r="L313" s="28">
        <f>L308+L311</f>
        <v>500103.2</v>
      </c>
      <c r="M313" s="72">
        <f>(+J313-G313)/G313</f>
        <v>1.805370050364109E-2</v>
      </c>
      <c r="N313" s="73">
        <f>L313-I313</f>
        <v>-3164.6472144589643</v>
      </c>
      <c r="O313" s="29">
        <f t="shared" ref="O313" si="179">O308+O311</f>
        <v>1581476.8699999999</v>
      </c>
      <c r="P313" s="71">
        <f>IF(O313&lt;=0,0,Q313/O313)</f>
        <v>0.28534744235620724</v>
      </c>
      <c r="Q313" s="28">
        <f>Q308+Q311</f>
        <v>451270.38</v>
      </c>
      <c r="R313" s="72">
        <f>IF(O313=0,0,(J313-O313)/O313)</f>
        <v>0.14563807057133882</v>
      </c>
      <c r="S313" s="264">
        <f>L313-Q313</f>
        <v>48832.820000000007</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tr">
        <f t="shared" si="144"/>
        <v>Pièces</v>
      </c>
      <c r="B314" s="24" t="s">
        <v>175</v>
      </c>
      <c r="C314" s="265"/>
      <c r="D314" s="74"/>
      <c r="E314" s="75"/>
      <c r="F314" s="76"/>
      <c r="G314" s="77"/>
      <c r="H314" s="75"/>
      <c r="I314" s="76"/>
      <c r="J314" s="77"/>
      <c r="K314" s="75"/>
      <c r="L314" s="76"/>
      <c r="M314" s="78"/>
      <c r="N314" s="34">
        <f>N313/I313</f>
        <v>-6.2881966967987205E-3</v>
      </c>
      <c r="O314" s="77"/>
      <c r="P314" s="75"/>
      <c r="Q314" s="76"/>
      <c r="R314" s="78"/>
      <c r="S314" s="266">
        <f>IF(Q313=0,0,S313/Q313)</f>
        <v>0.10821188840269109</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tr">
        <f t="shared" si="144"/>
        <v>Pièces</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tr">
        <f t="shared" si="144"/>
        <v>PiècesDEPENSES</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tr">
        <f t="shared" si="144"/>
        <v>PiècesSalaires cadres</v>
      </c>
      <c r="B317" s="24" t="s">
        <v>175</v>
      </c>
      <c r="C317" s="274" t="s">
        <v>112</v>
      </c>
      <c r="D317" s="227"/>
      <c r="E317" s="227"/>
      <c r="F317" s="225">
        <f>+SUMPRODUCT(('Budget original'!$A$8:$A$500=$A317)*('Budget original'!$C$3:$AO$3=F$2),'Budget original'!$C$8:$AO$500)</f>
        <v>12676.75325670498</v>
      </c>
      <c r="G317" s="221"/>
      <c r="H317" s="227"/>
      <c r="I317" s="225">
        <f>+SUMPRODUCT(('Budget révisé'!$A$8:$A$500=$A317)*('Budget révisé'!$C$3:$AO$3=I$2),'Budget révisé'!$C$8:$AO$500)</f>
        <v>12676.75325670498</v>
      </c>
      <c r="J317" s="221"/>
      <c r="K317" s="227"/>
      <c r="L317" s="275">
        <f>SUMIFS(BV_Data_An_Cour!$P:$P,BV_Data_An_Cour!$U:$U,$B317,BV_Data_An_Cour!$V:$V,$C317,BV_Data_An_Cour!$W:$W,$L$2)</f>
        <v>22855</v>
      </c>
      <c r="M317" s="221"/>
      <c r="N317" s="226">
        <f t="shared" ref="N317:N342" si="180">L317-I317</f>
        <v>10178.24674329502</v>
      </c>
      <c r="O317" s="221"/>
      <c r="P317" s="227"/>
      <c r="Q317" s="275">
        <f>SUMIFS(BV_Data_An_Prec!$P:$P,BV_Data_An_Prec!$U:$U,$B317,BV_Data_An_Prec!$V:$V,$C317,BV_Data_An_Prec!$W:$W,$L$2)</f>
        <v>29890.83</v>
      </c>
      <c r="R317" s="221"/>
      <c r="S317" s="506">
        <f>L317-Q317</f>
        <v>-7035.8300000000017</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tr">
        <f t="shared" si="144"/>
        <v>PiècesSalaires commis</v>
      </c>
      <c r="B318" s="24" t="s">
        <v>175</v>
      </c>
      <c r="C318" s="276" t="s">
        <v>113</v>
      </c>
      <c r="D318" s="256"/>
      <c r="E318" s="227"/>
      <c r="F318" s="238">
        <f>+SUMPRODUCT(('Budget original'!$A$8:$A$500=$A318)*('Budget original'!$C$3:$AO$3=F$2),'Budget original'!$C$8:$AO$500)</f>
        <v>21245.499437226055</v>
      </c>
      <c r="G318" s="277"/>
      <c r="H318" s="227"/>
      <c r="I318" s="238">
        <f>+SUMPRODUCT(('Budget révisé'!$A$8:$A$500=$A318)*('Budget révisé'!$C$3:$AO$3=I$2),'Budget révisé'!$C$8:$AO$500)</f>
        <v>21245.499437226055</v>
      </c>
      <c r="J318" s="221"/>
      <c r="K318" s="227"/>
      <c r="L318" s="275">
        <f>SUMIFS(BV_Data_An_Cour!$P:$P,BV_Data_An_Cour!$U:$U,$B318,BV_Data_An_Cour!$V:$V,$C318,BV_Data_An_Cour!$W:$W,$L$2)</f>
        <v>18028.5</v>
      </c>
      <c r="M318" s="221"/>
      <c r="N318" s="226">
        <f t="shared" si="180"/>
        <v>-3216.9994372260553</v>
      </c>
      <c r="O318" s="221"/>
      <c r="P318" s="227"/>
      <c r="Q318" s="275">
        <f>SUMIFS(BV_Data_An_Prec!$P:$P,BV_Data_An_Prec!$U:$U,$B318,BV_Data_An_Prec!$V:$V,$C318,BV_Data_An_Prec!$W:$W,$L$2)</f>
        <v>20265.03</v>
      </c>
      <c r="R318" s="221"/>
      <c r="S318" s="278">
        <f t="shared" ref="S318:S342" si="181">L318-Q318</f>
        <v>-2236.5299999999988</v>
      </c>
      <c r="T318" s="216"/>
      <c r="U318" s="216" t="s">
        <v>2889</v>
      </c>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tr">
        <f t="shared" si="144"/>
        <v>PiècesSalaires autres</v>
      </c>
      <c r="B319" s="24" t="s">
        <v>175</v>
      </c>
      <c r="C319" s="274" t="s">
        <v>114</v>
      </c>
      <c r="D319" s="279"/>
      <c r="E319" s="280"/>
      <c r="F319" s="225">
        <f>+SUMPRODUCT(('Budget original'!$A$8:$A$500=$A319)*('Budget original'!$C$3:$AO$3=F$2),'Budget original'!$C$8:$AO$500)</f>
        <v>119603.60676806129</v>
      </c>
      <c r="G319" s="281"/>
      <c r="H319" s="280"/>
      <c r="I319" s="225">
        <f>+SUMPRODUCT(('Budget révisé'!$A$8:$A$500=$A319)*('Budget révisé'!$C$3:$AO$3=I$2),'Budget révisé'!$C$8:$AO$500)</f>
        <v>119603.60676806129</v>
      </c>
      <c r="J319" s="282"/>
      <c r="K319" s="280"/>
      <c r="L319" s="239">
        <f>SUMIFS(BV_Data_An_Cour!$P:$P,BV_Data_An_Cour!$U:$U,$B319,BV_Data_An_Cour!$V:$V,$C319,BV_Data_An_Cour!$W:$W,$L$2)</f>
        <v>97538.05</v>
      </c>
      <c r="M319" s="282"/>
      <c r="N319" s="283">
        <f t="shared" si="180"/>
        <v>-22065.556768061288</v>
      </c>
      <c r="O319" s="282"/>
      <c r="P319" s="280"/>
      <c r="Q319" s="239">
        <f>SUMIFS(BV_Data_An_Prec!$P:$P,BV_Data_An_Prec!$U:$U,$B319,BV_Data_An_Prec!$V:$V,$C319,BV_Data_An_Prec!$W:$W,$L$2)</f>
        <v>101876.62</v>
      </c>
      <c r="R319" s="282"/>
      <c r="S319" s="284">
        <f t="shared" si="181"/>
        <v>-4338.5699999999924</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tr">
        <f t="shared" si="144"/>
        <v>PiècesSalaires spécialistes</v>
      </c>
      <c r="B320" s="24" t="s">
        <v>175</v>
      </c>
      <c r="C320" s="274" t="s">
        <v>115</v>
      </c>
      <c r="D320" s="256"/>
      <c r="E320" s="227"/>
      <c r="F320" s="225">
        <f>+SUMPRODUCT(('Budget original'!$A$8:$A$500=$A320)*('Budget original'!$C$3:$AO$3=F$2),'Budget original'!$C$8:$AO$500)</f>
        <v>0</v>
      </c>
      <c r="G320" s="277"/>
      <c r="H320" s="227"/>
      <c r="I320" s="225">
        <f>+SUMPRODUCT(('Budget révisé'!$A$8:$A$500=$A320)*('Budget révisé'!$C$3:$AO$3=I$2),'Budget révisé'!$C$8:$AO$500)</f>
        <v>0</v>
      </c>
      <c r="J320" s="221"/>
      <c r="K320" s="227"/>
      <c r="L320" s="275">
        <f>SUMIFS(BV_Data_An_Cour!$P:$P,BV_Data_An_Cour!$U:$U,$B320,BV_Data_An_Cour!$V:$V,$C320,BV_Data_An_Cour!$W:$W,$L$2)</f>
        <v>0</v>
      </c>
      <c r="M320" s="221"/>
      <c r="N320" s="226">
        <f t="shared" si="180"/>
        <v>0</v>
      </c>
      <c r="O320" s="221"/>
      <c r="P320" s="227"/>
      <c r="Q320" s="275">
        <f>SUMIFS(BV_Data_An_Prec!$P:$P,BV_Data_An_Prec!$U:$U,$B320,BV_Data_An_Prec!$V:$V,$C320,BV_Data_An_Prec!$W:$W,$L$2)</f>
        <v>0</v>
      </c>
      <c r="R320" s="221"/>
      <c r="S320" s="278">
        <f t="shared" si="181"/>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ht="15.75" hidden="1" customHeight="1">
      <c r="A321" s="564" t="str">
        <f t="shared" ref="A321:A323" si="182">+B321&amp;C321</f>
        <v>Pièces[...]</v>
      </c>
      <c r="B321" s="24" t="s">
        <v>175</v>
      </c>
      <c r="C321" s="629" t="s">
        <v>42</v>
      </c>
      <c r="D321" s="256"/>
      <c r="E321" s="227"/>
      <c r="F321" s="225">
        <f>+SUMPRODUCT(('Budget original'!$A$8:$A$500=$A321)*('Budget original'!$C$3:$AO$3=F$2),'Budget original'!$C$8:$AO$500)</f>
        <v>0</v>
      </c>
      <c r="G321" s="277"/>
      <c r="H321" s="227"/>
      <c r="I321" s="225">
        <f>+SUMPRODUCT(('Budget révisé'!$A$8:$A$500=$A321)*('Budget révisé'!$C$3:$AO$3=I$2),'Budget révisé'!$C$8:$AO$500)</f>
        <v>0</v>
      </c>
      <c r="J321" s="221"/>
      <c r="K321" s="227"/>
      <c r="L321" s="275">
        <f>SUMIFS(BV_Data_An_Cour!$P:$P,BV_Data_An_Cour!$U:$U,$B321,BV_Data_An_Cour!$V:$V,$C321,BV_Data_An_Cour!$W:$W,$L$2)</f>
        <v>0</v>
      </c>
      <c r="M321" s="221"/>
      <c r="N321" s="226">
        <f t="shared" ref="N321:N323" si="183">L321-I321</f>
        <v>0</v>
      </c>
      <c r="O321" s="221"/>
      <c r="P321" s="227"/>
      <c r="Q321" s="275">
        <f>SUMIFS(BV_Data_An_Prec!$P:$P,BV_Data_An_Prec!$U:$U,$B321,BV_Data_An_Prec!$V:$V,$C321,BV_Data_An_Prec!$W:$W,$L$2)</f>
        <v>0</v>
      </c>
      <c r="R321" s="221"/>
      <c r="S321" s="278">
        <f t="shared" ref="S321:S323" si="184">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ht="15.75" hidden="1" customHeight="1">
      <c r="A322" s="564" t="str">
        <f t="shared" si="182"/>
        <v>Pièces[...]</v>
      </c>
      <c r="B322" s="24" t="s">
        <v>175</v>
      </c>
      <c r="C322" s="629" t="s">
        <v>42</v>
      </c>
      <c r="D322" s="256"/>
      <c r="E322" s="227"/>
      <c r="F322" s="225">
        <f>+SUMPRODUCT(('Budget original'!$A$8:$A$500=$A322)*('Budget original'!$C$3:$AO$3=F$2),'Budget original'!$C$8:$AO$500)</f>
        <v>0</v>
      </c>
      <c r="G322" s="277"/>
      <c r="H322" s="227"/>
      <c r="I322" s="225">
        <f>+SUMPRODUCT(('Budget révisé'!$A$8:$A$500=$A322)*('Budget révisé'!$C$3:$AO$3=I$2),'Budget révisé'!$C$8:$AO$500)</f>
        <v>0</v>
      </c>
      <c r="J322" s="221"/>
      <c r="K322" s="227"/>
      <c r="L322" s="275">
        <f>SUMIFS(BV_Data_An_Cour!$P:$P,BV_Data_An_Cour!$U:$U,$B322,BV_Data_An_Cour!$V:$V,$C322,BV_Data_An_Cour!$W:$W,$L$2)</f>
        <v>0</v>
      </c>
      <c r="M322" s="221"/>
      <c r="N322" s="226">
        <f t="shared" si="183"/>
        <v>0</v>
      </c>
      <c r="O322" s="221"/>
      <c r="P322" s="227"/>
      <c r="Q322" s="275">
        <f>SUMIFS(BV_Data_An_Prec!$P:$P,BV_Data_An_Prec!$U:$U,$B322,BV_Data_An_Prec!$V:$V,$C322,BV_Data_An_Prec!$W:$W,$L$2)</f>
        <v>0</v>
      </c>
      <c r="R322" s="221"/>
      <c r="S322" s="278">
        <f t="shared" si="184"/>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ht="15.75" hidden="1" customHeight="1">
      <c r="A323" s="564" t="str">
        <f t="shared" si="182"/>
        <v>Pièces[...]</v>
      </c>
      <c r="B323" s="24" t="s">
        <v>175</v>
      </c>
      <c r="C323" s="629" t="s">
        <v>42</v>
      </c>
      <c r="D323" s="256"/>
      <c r="E323" s="227"/>
      <c r="F323" s="225">
        <f>+SUMPRODUCT(('Budget original'!$A$8:$A$500=$A323)*('Budget original'!$C$3:$AO$3=F$2),'Budget original'!$C$8:$AO$500)</f>
        <v>0</v>
      </c>
      <c r="G323" s="277"/>
      <c r="H323" s="227"/>
      <c r="I323" s="225">
        <f>+SUMPRODUCT(('Budget révisé'!$A$8:$A$500=$A323)*('Budget révisé'!$C$3:$AO$3=I$2),'Budget révisé'!$C$8:$AO$500)</f>
        <v>0</v>
      </c>
      <c r="J323" s="221"/>
      <c r="K323" s="227"/>
      <c r="L323" s="275">
        <f>SUMIFS(BV_Data_An_Cour!$P:$P,BV_Data_An_Cour!$U:$U,$B323,BV_Data_An_Cour!$V:$V,$C323,BV_Data_An_Cour!$W:$W,$L$2)</f>
        <v>0</v>
      </c>
      <c r="M323" s="221"/>
      <c r="N323" s="226">
        <f t="shared" si="183"/>
        <v>0</v>
      </c>
      <c r="O323" s="221"/>
      <c r="P323" s="227"/>
      <c r="Q323" s="275">
        <f>SUMIFS(BV_Data_An_Prec!$P:$P,BV_Data_An_Prec!$U:$U,$B323,BV_Data_An_Prec!$V:$V,$C323,BV_Data_An_Prec!$W:$W,$L$2)</f>
        <v>0</v>
      </c>
      <c r="R323" s="221"/>
      <c r="S323" s="278">
        <f t="shared" si="184"/>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tr">
        <f t="shared" si="144"/>
        <v>PiècesSalaires en absences</v>
      </c>
      <c r="B324" s="24" t="s">
        <v>175</v>
      </c>
      <c r="C324" s="276" t="s">
        <v>116</v>
      </c>
      <c r="D324" s="256"/>
      <c r="E324" s="227"/>
      <c r="F324" s="238">
        <f>+SUMPRODUCT(('Budget original'!$A$8:$A$500=$A324)*('Budget original'!$C$3:$AO$3=F$2),'Budget original'!$C$8:$AO$500)</f>
        <v>19219.03177212401</v>
      </c>
      <c r="G324" s="277"/>
      <c r="H324" s="227"/>
      <c r="I324" s="238">
        <f>+SUMPRODUCT(('Budget révisé'!$A$8:$A$500=$A324)*('Budget révisé'!$C$3:$AO$3=I$2),'Budget révisé'!$C$8:$AO$500)</f>
        <v>19219.03177212401</v>
      </c>
      <c r="J324" s="221"/>
      <c r="K324" s="227"/>
      <c r="L324" s="275">
        <f>SUMIFS(BV_Data_An_Cour!$P:$P,BV_Data_An_Cour!$U:$U,$B324,BV_Data_An_Cour!$V:$V,$C324,BV_Data_An_Cour!$W:$W,$L$2)</f>
        <v>14775.06</v>
      </c>
      <c r="M324" s="221"/>
      <c r="N324" s="226">
        <f t="shared" si="180"/>
        <v>-4443.9717721240104</v>
      </c>
      <c r="O324" s="221"/>
      <c r="P324" s="227"/>
      <c r="Q324" s="275">
        <f>SUMIFS(BV_Data_An_Prec!$P:$P,BV_Data_An_Prec!$U:$U,$B324,BV_Data_An_Prec!$V:$V,$C324,BV_Data_An_Prec!$W:$W,$L$2)</f>
        <v>15196.15</v>
      </c>
      <c r="R324" s="221"/>
      <c r="S324" s="278">
        <f t="shared" si="181"/>
        <v>-421.09000000000015</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tr">
        <f t="shared" si="144"/>
        <v>PiècesDéduction à la source</v>
      </c>
      <c r="B325" s="24" t="s">
        <v>175</v>
      </c>
      <c r="C325" s="274" t="s">
        <v>117</v>
      </c>
      <c r="D325" s="279"/>
      <c r="E325" s="280"/>
      <c r="F325" s="225">
        <f>+SUMPRODUCT(('Budget original'!$A$8:$A$500=$A325)*('Budget original'!$C$3:$AO$3=F$2),'Budget original'!$C$8:$AO$500)</f>
        <v>17212.61301280322</v>
      </c>
      <c r="G325" s="281"/>
      <c r="H325" s="280"/>
      <c r="I325" s="225">
        <f>+SUMPRODUCT(('Budget révisé'!$A$8:$A$500=$A325)*('Budget révisé'!$C$3:$AO$3=I$2),'Budget révisé'!$C$8:$AO$500)</f>
        <v>17212.61301280322</v>
      </c>
      <c r="J325" s="282"/>
      <c r="K325" s="280"/>
      <c r="L325" s="239">
        <f>SUMIFS(BV_Data_An_Cour!$P:$P,BV_Data_An_Cour!$U:$U,$B325,BV_Data_An_Cour!$V:$V,$C325,BV_Data_An_Cour!$W:$W,$L$2)</f>
        <v>233.13</v>
      </c>
      <c r="M325" s="282"/>
      <c r="N325" s="283">
        <f t="shared" si="180"/>
        <v>-16979.483012803219</v>
      </c>
      <c r="O325" s="282"/>
      <c r="P325" s="280"/>
      <c r="Q325" s="239">
        <f>SUMIFS(BV_Data_An_Prec!$P:$P,BV_Data_An_Prec!$U:$U,$B325,BV_Data_An_Prec!$V:$V,$C325,BV_Data_An_Prec!$W:$W,$L$2)</f>
        <v>208.93</v>
      </c>
      <c r="R325" s="282"/>
      <c r="S325" s="284">
        <f t="shared" si="181"/>
        <v>24.199999999999989</v>
      </c>
      <c r="T325" s="216"/>
      <c r="U325" s="955">
        <f>L325-Print_Mois!L325</f>
        <v>177.32999999999998</v>
      </c>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tr">
        <f t="shared" si="144"/>
        <v>PiècesBénéfices marginaux</v>
      </c>
      <c r="B326" s="24" t="s">
        <v>175</v>
      </c>
      <c r="C326" s="274" t="s">
        <v>118</v>
      </c>
      <c r="D326" s="256"/>
      <c r="E326" s="227"/>
      <c r="F326" s="225">
        <f>+SUMPRODUCT(('Budget original'!$A$8:$A$500=$A326)*('Budget original'!$C$3:$AO$3=F$2),'Budget original'!$C$8:$AO$500)</f>
        <v>13668.839745461379</v>
      </c>
      <c r="G326" s="277"/>
      <c r="H326" s="227"/>
      <c r="I326" s="225">
        <f>+SUMPRODUCT(('Budget révisé'!$A$8:$A$500=$A326)*('Budget révisé'!$C$3:$AO$3=I$2),'Budget révisé'!$C$8:$AO$500)</f>
        <v>13668.839745461379</v>
      </c>
      <c r="J326" s="221"/>
      <c r="K326" s="227"/>
      <c r="L326" s="275">
        <f>SUMIFS(BV_Data_An_Cour!$P:$P,BV_Data_An_Cour!$U:$U,$B326,BV_Data_An_Cour!$V:$V,$C326,BV_Data_An_Cour!$W:$W,$L$2)</f>
        <v>18791.25</v>
      </c>
      <c r="M326" s="221"/>
      <c r="N326" s="226">
        <f t="shared" si="180"/>
        <v>5122.4102545386213</v>
      </c>
      <c r="O326" s="221"/>
      <c r="P326" s="227"/>
      <c r="Q326" s="275">
        <f>SUMIFS(BV_Data_An_Prec!$P:$P,BV_Data_An_Prec!$U:$U,$B326,BV_Data_An_Prec!$V:$V,$C326,BV_Data_An_Prec!$W:$W,$L$2)</f>
        <v>12782.24</v>
      </c>
      <c r="R326" s="221"/>
      <c r="S326" s="278">
        <f t="shared" si="181"/>
        <v>6009.01</v>
      </c>
      <c r="T326" s="216"/>
      <c r="U326" s="955">
        <f>L326-Print_Mois!L326</f>
        <v>13595.41</v>
      </c>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tr">
        <f t="shared" si="144"/>
        <v>PiècesCsst</v>
      </c>
      <c r="B327" s="24" t="s">
        <v>175</v>
      </c>
      <c r="C327" s="274" t="s">
        <v>119</v>
      </c>
      <c r="D327" s="256"/>
      <c r="E327" s="227"/>
      <c r="F327" s="225">
        <f>+SUMPRODUCT(('Budget original'!$A$8:$A$500=$A327)*('Budget original'!$C$3:$AO$3=F$2),'Budget original'!$C$8:$AO$500)</f>
        <v>5568.7865629657472</v>
      </c>
      <c r="G327" s="277"/>
      <c r="H327" s="227"/>
      <c r="I327" s="225">
        <f>+SUMPRODUCT(('Budget révisé'!$A$8:$A$500=$A327)*('Budget révisé'!$C$3:$AO$3=I$2),'Budget révisé'!$C$8:$AO$500)</f>
        <v>5568.7865629657472</v>
      </c>
      <c r="J327" s="221"/>
      <c r="K327" s="227"/>
      <c r="L327" s="275">
        <f>SUMIFS(BV_Data_An_Cour!$P:$P,BV_Data_An_Cour!$U:$U,$B327,BV_Data_An_Cour!$V:$V,$C327,BV_Data_An_Cour!$W:$W,$L$2)</f>
        <v>29490.38</v>
      </c>
      <c r="M327" s="221"/>
      <c r="N327" s="226">
        <f t="shared" si="180"/>
        <v>23921.593437034255</v>
      </c>
      <c r="O327" s="221"/>
      <c r="P327" s="227"/>
      <c r="Q327" s="275">
        <f>SUMIFS(BV_Data_An_Prec!$P:$P,BV_Data_An_Prec!$U:$U,$B327,BV_Data_An_Prec!$V:$V,$C327,BV_Data_An_Prec!$W:$W,$L$2)</f>
        <v>22175.949999999997</v>
      </c>
      <c r="R327" s="221"/>
      <c r="S327" s="278">
        <f t="shared" si="181"/>
        <v>7314.4300000000039</v>
      </c>
      <c r="T327" s="216"/>
      <c r="U327" s="955">
        <f>L327-Print_Mois!L327</f>
        <v>22648.75</v>
      </c>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tr">
        <f t="shared" si="144"/>
        <v>Pièces[...]</v>
      </c>
      <c r="B328" s="24" t="s">
        <v>175</v>
      </c>
      <c r="C328" s="285" t="s">
        <v>42</v>
      </c>
      <c r="D328" s="286"/>
      <c r="E328" s="287"/>
      <c r="F328" s="225">
        <f>+SUMPRODUCT(('Budget original'!$A$8:$A$500=$A328)*('Budget original'!$C$3:$AO$3=F$2),'Budget original'!$C$8:$AO$500)</f>
        <v>0</v>
      </c>
      <c r="G328" s="288"/>
      <c r="H328" s="287"/>
      <c r="I328" s="225">
        <f>+SUMPRODUCT(('Budget révisé'!$A$8:$A$500=$A328)*('Budget révisé'!$C$3:$AO$3=I$2),'Budget révisé'!$C$8:$AO$500)</f>
        <v>0</v>
      </c>
      <c r="J328" s="289"/>
      <c r="K328" s="287"/>
      <c r="L328" s="275">
        <f>SUMIFS(BV_Data_An_Cour!$P:$P,BV_Data_An_Cour!$U:$U,$B328,BV_Data_An_Cour!$V:$V,$C328,BV_Data_An_Cour!$W:$W,$L$2)</f>
        <v>0</v>
      </c>
      <c r="M328" s="289"/>
      <c r="N328" s="290">
        <f t="shared" si="180"/>
        <v>0</v>
      </c>
      <c r="O328" s="289"/>
      <c r="P328" s="287"/>
      <c r="Q328" s="275">
        <f>SUMIFS(BV_Data_An_Prec!$P:$P,BV_Data_An_Prec!$U:$U,$B328,BV_Data_An_Prec!$V:$V,$C328,BV_Data_An_Prec!$W:$W,$L$2)</f>
        <v>0</v>
      </c>
      <c r="R328" s="289"/>
      <c r="S328" s="291">
        <f t="shared" si="181"/>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tr">
        <f t="shared" si="144"/>
        <v>PiècesTOTAL PERSONNEL</v>
      </c>
      <c r="B329" s="24" t="s">
        <v>175</v>
      </c>
      <c r="C329" s="292" t="s">
        <v>120</v>
      </c>
      <c r="D329" s="39" t="s">
        <v>111</v>
      </c>
      <c r="E329" s="40">
        <f>F329/F$313</f>
        <v>0.41567354583294447</v>
      </c>
      <c r="F329" s="41">
        <f>+SUM(F317:F328)</f>
        <v>209195.1305553467</v>
      </c>
      <c r="G329" s="42" t="s">
        <v>111</v>
      </c>
      <c r="H329" s="40">
        <f>I329/I$313</f>
        <v>0.41567354583294447</v>
      </c>
      <c r="I329" s="41">
        <f>+SUM(I317:I328)</f>
        <v>209195.1305553467</v>
      </c>
      <c r="J329" s="42" t="s">
        <v>111</v>
      </c>
      <c r="K329" s="40">
        <f>L329/L$313</f>
        <v>0.40333949072911351</v>
      </c>
      <c r="L329" s="41">
        <f>+SUM(L317:L328)</f>
        <v>201711.37</v>
      </c>
      <c r="M329" s="43"/>
      <c r="N329" s="46">
        <f t="shared" si="180"/>
        <v>-7483.7605553467001</v>
      </c>
      <c r="O329" s="42" t="s">
        <v>111</v>
      </c>
      <c r="P329" s="40">
        <f>Q329/Q$313</f>
        <v>0.44850218177403961</v>
      </c>
      <c r="Q329" s="41">
        <f>+SUM(Q317:Q328)</f>
        <v>202395.74999999994</v>
      </c>
      <c r="R329" s="43"/>
      <c r="S329" s="293">
        <f t="shared" si="181"/>
        <v>-684.37999999994645</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tr">
        <f t="shared" si="144"/>
        <v>PiècesPublicité 2</v>
      </c>
      <c r="B330" s="24" t="s">
        <v>175</v>
      </c>
      <c r="C330" s="546" t="s">
        <v>121</v>
      </c>
      <c r="D330" s="295"/>
      <c r="E330" s="172"/>
      <c r="F330" s="173">
        <f>+SUMPRODUCT(('Budget original'!$A$8:$A$500=$A330)*('Budget original'!$C$3:$AO$3=F$2),'Budget original'!$C$8:$AO$500)</f>
        <v>18627.4375</v>
      </c>
      <c r="G330" s="296"/>
      <c r="H330" s="172"/>
      <c r="I330" s="173">
        <f>+SUMPRODUCT(('Budget révisé'!$A$8:$A$500=$A330)*('Budget révisé'!$C$3:$AO$3=I$2),'Budget révisé'!$C$8:$AO$500)</f>
        <v>18627.4375</v>
      </c>
      <c r="J330" s="297"/>
      <c r="K330" s="172"/>
      <c r="L330" s="275">
        <f>SUMIFS(BV_Data_An_Cour!$P:$P,BV_Data_An_Cour!$U:$U,$B330,BV_Data_An_Cour!$V:$V,$C330,BV_Data_An_Cour!$W:$W,$L$2)</f>
        <v>21296.32</v>
      </c>
      <c r="M330" s="297"/>
      <c r="N330" s="298">
        <f t="shared" si="180"/>
        <v>2668.8824999999997</v>
      </c>
      <c r="O330" s="297"/>
      <c r="P330" s="172"/>
      <c r="Q330" s="275">
        <f>SUMIFS(BV_Data_An_Prec!$P:$P,BV_Data_An_Prec!$U:$U,$B330,BV_Data_An_Prec!$V:$V,$C330,BV_Data_An_Prec!$W:$W,$L$2)</f>
        <v>19044.09</v>
      </c>
      <c r="R330" s="297"/>
      <c r="S330" s="193">
        <f t="shared" si="181"/>
        <v>2252.2299999999996</v>
      </c>
      <c r="T330" s="216"/>
      <c r="U330" s="216"/>
      <c r="V330" s="216"/>
      <c r="W330" s="216"/>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tr">
        <f t="shared" si="144"/>
        <v>PiècesService gratuit 2</v>
      </c>
      <c r="B331" s="24" t="s">
        <v>175</v>
      </c>
      <c r="C331" s="299" t="s">
        <v>122</v>
      </c>
      <c r="D331" s="295"/>
      <c r="E331" s="172"/>
      <c r="F331" s="173">
        <f>+SUMPRODUCT(('Budget original'!$A$8:$A$500=$A331)*('Budget original'!$C$3:$AO$3=F$2),'Budget original'!$C$8:$AO$500)</f>
        <v>3064.1443701653175</v>
      </c>
      <c r="G331" s="296"/>
      <c r="H331" s="172"/>
      <c r="I331" s="173">
        <f>+SUMPRODUCT(('Budget révisé'!$A$8:$A$500=$A331)*('Budget révisé'!$C$3:$AO$3=I$2),'Budget révisé'!$C$8:$AO$500)</f>
        <v>3064.1443701653175</v>
      </c>
      <c r="J331" s="297"/>
      <c r="K331" s="172"/>
      <c r="L331" s="174">
        <f>SUMIFS(BV_Data_An_Cour!$P:$P,BV_Data_An_Cour!$U:$U,$B331,BV_Data_An_Cour!$V:$V,$C331,BV_Data_An_Cour!$W:$W,$L$2)</f>
        <v>5136.4799999999996</v>
      </c>
      <c r="M331" s="297"/>
      <c r="N331" s="298">
        <f t="shared" si="180"/>
        <v>2072.3356298346821</v>
      </c>
      <c r="O331" s="297"/>
      <c r="P331" s="172"/>
      <c r="Q331" s="174">
        <f>SUMIFS(BV_Data_An_Prec!$P:$P,BV_Data_An_Prec!$U:$U,$B331,BV_Data_An_Prec!$V:$V,$C331,BV_Data_An_Prec!$W:$W,$L$2)</f>
        <v>346.23</v>
      </c>
      <c r="R331" s="297"/>
      <c r="S331" s="193">
        <f t="shared" si="181"/>
        <v>4790.25</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tr">
        <f t="shared" si="144"/>
        <v>PiècesFrais véhicules de cie</v>
      </c>
      <c r="B332" s="24" t="s">
        <v>175</v>
      </c>
      <c r="C332" s="300" t="s">
        <v>123</v>
      </c>
      <c r="D332" s="301"/>
      <c r="E332" s="302"/>
      <c r="F332" s="171">
        <f>+SUMPRODUCT(('Budget original'!$A$8:$A$500=$A332)*('Budget original'!$C$3:$AO$3=F$2),'Budget original'!$C$8:$AO$500)</f>
        <v>2167.5</v>
      </c>
      <c r="G332" s="303"/>
      <c r="H332" s="302"/>
      <c r="I332" s="171">
        <f>+SUMPRODUCT(('Budget révisé'!$A$8:$A$500=$A332)*('Budget révisé'!$C$3:$AO$3=I$2),'Budget révisé'!$C$8:$AO$500)</f>
        <v>2167.5</v>
      </c>
      <c r="J332" s="304"/>
      <c r="K332" s="302"/>
      <c r="L332" s="174">
        <f>SUMIFS(BV_Data_An_Cour!$P:$P,BV_Data_An_Cour!$U:$U,$B332,BV_Data_An_Cour!$V:$V,$C332,BV_Data_An_Cour!$W:$W,$L$2)</f>
        <v>2557.2399999999998</v>
      </c>
      <c r="M332" s="304"/>
      <c r="N332" s="305">
        <f t="shared" si="180"/>
        <v>389.73999999999978</v>
      </c>
      <c r="O332" s="304"/>
      <c r="P332" s="302"/>
      <c r="Q332" s="174">
        <f>SUMIFS(BV_Data_An_Prec!$P:$P,BV_Data_An_Prec!$U:$U,$B332,BV_Data_An_Prec!$V:$V,$C332,BV_Data_An_Prec!$W:$W,$L$2)</f>
        <v>1400.5</v>
      </c>
      <c r="R332" s="304"/>
      <c r="S332" s="196">
        <f t="shared" si="181"/>
        <v>1156.7399999999998</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tr">
        <f t="shared" si="144"/>
        <v>PiècesInformatique</v>
      </c>
      <c r="B333" s="24" t="s">
        <v>175</v>
      </c>
      <c r="C333" s="299" t="s">
        <v>124</v>
      </c>
      <c r="D333" s="295"/>
      <c r="E333" s="172"/>
      <c r="F333" s="173">
        <f>+SUMPRODUCT(('Budget original'!$A$8:$A$500=$A333)*('Budget original'!$C$3:$AO$3=F$2),'Budget original'!$C$8:$AO$500)</f>
        <v>17447.426145833335</v>
      </c>
      <c r="G333" s="296"/>
      <c r="H333" s="172"/>
      <c r="I333" s="173">
        <f>+SUMPRODUCT(('Budget révisé'!$A$8:$A$500=$A333)*('Budget révisé'!$C$3:$AO$3=I$2),'Budget révisé'!$C$8:$AO$500)</f>
        <v>17447.426145833335</v>
      </c>
      <c r="J333" s="297"/>
      <c r="K333" s="172"/>
      <c r="L333" s="175">
        <f>SUMIFS(BV_Data_An_Cour!$P:$P,BV_Data_An_Cour!$U:$U,$B333,BV_Data_An_Cour!$V:$V,$C333,BV_Data_An_Cour!$W:$W,$L$2)</f>
        <v>18933.669999999998</v>
      </c>
      <c r="M333" s="297"/>
      <c r="N333" s="298">
        <f t="shared" si="180"/>
        <v>1486.2438541666634</v>
      </c>
      <c r="O333" s="297"/>
      <c r="P333" s="172"/>
      <c r="Q333" s="175">
        <f>SUMIFS(BV_Data_An_Prec!$P:$P,BV_Data_An_Prec!$U:$U,$B333,BV_Data_An_Prec!$V:$V,$C333,BV_Data_An_Prec!$W:$W,$L$2)</f>
        <v>18391.3</v>
      </c>
      <c r="R333" s="297"/>
      <c r="S333" s="193">
        <f t="shared" si="181"/>
        <v>542.36999999999898</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tr">
        <f t="shared" si="144"/>
        <v>PiècesFrais de déplacement</v>
      </c>
      <c r="B334" s="24" t="s">
        <v>175</v>
      </c>
      <c r="C334" s="299" t="s">
        <v>125</v>
      </c>
      <c r="D334" s="295"/>
      <c r="E334" s="172"/>
      <c r="F334" s="173">
        <f>+SUMPRODUCT(('Budget original'!$A$8:$A$500=$A334)*('Budget original'!$C$3:$AO$3=F$2),'Budget original'!$C$8:$AO$500)</f>
        <v>3094.3039062500002</v>
      </c>
      <c r="G334" s="296"/>
      <c r="H334" s="172"/>
      <c r="I334" s="173">
        <f>+SUMPRODUCT(('Budget révisé'!$A$8:$A$500=$A334)*('Budget révisé'!$C$3:$AO$3=I$2),'Budget révisé'!$C$8:$AO$500)</f>
        <v>3094.3039062500002</v>
      </c>
      <c r="J334" s="297"/>
      <c r="K334" s="172"/>
      <c r="L334" s="174">
        <f>SUMIFS(BV_Data_An_Cour!$P:$P,BV_Data_An_Cour!$U:$U,$B334,BV_Data_An_Cour!$V:$V,$C334,BV_Data_An_Cour!$W:$W,$L$2)</f>
        <v>2744.61</v>
      </c>
      <c r="M334" s="297"/>
      <c r="N334" s="298">
        <f t="shared" si="180"/>
        <v>-349.69390625000005</v>
      </c>
      <c r="O334" s="297"/>
      <c r="P334" s="172"/>
      <c r="Q334" s="174">
        <f>SUMIFS(BV_Data_An_Prec!$P:$P,BV_Data_An_Prec!$U:$U,$B334,BV_Data_An_Prec!$V:$V,$C334,BV_Data_An_Prec!$W:$W,$L$2)</f>
        <v>1206.53</v>
      </c>
      <c r="R334" s="297"/>
      <c r="S334" s="193">
        <f t="shared" si="181"/>
        <v>1538.0800000000002</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tr">
        <f t="shared" si="144"/>
        <v>PiècesServices extérieurs</v>
      </c>
      <c r="B335" s="24" t="s">
        <v>175</v>
      </c>
      <c r="C335" s="679" t="s">
        <v>126</v>
      </c>
      <c r="D335" s="301"/>
      <c r="E335" s="302"/>
      <c r="F335" s="171">
        <f>+SUMPRODUCT(('Budget original'!$A$8:$A$500=$A335)*('Budget original'!$C$3:$AO$3=F$2),'Budget original'!$C$8:$AO$500)</f>
        <v>41208.721344444442</v>
      </c>
      <c r="G335" s="303"/>
      <c r="H335" s="302"/>
      <c r="I335" s="171">
        <f>+SUMPRODUCT(('Budget révisé'!$A$8:$A$500=$A335)*('Budget révisé'!$C$3:$AO$3=I$2),'Budget révisé'!$C$8:$AO$500)</f>
        <v>41208.721344444442</v>
      </c>
      <c r="J335" s="304"/>
      <c r="K335" s="302"/>
      <c r="L335" s="399">
        <f>SUMIFS(BV_Data_An_Cour!$P:$P,BV_Data_An_Cour!$U:$U,$B335,BV_Data_An_Cour!$V:$V,$C335,BV_Data_An_Cour!$W:$W,$L$2)</f>
        <v>41698.67</v>
      </c>
      <c r="M335" s="304"/>
      <c r="N335" s="305">
        <f t="shared" si="180"/>
        <v>489.94865555555589</v>
      </c>
      <c r="O335" s="304"/>
      <c r="P335" s="302"/>
      <c r="Q335" s="399">
        <f>SUMIFS(BV_Data_An_Prec!$P:$P,BV_Data_An_Prec!$U:$U,$B335,BV_Data_An_Prec!$V:$V,$C335,BV_Data_An_Prec!$W:$W,$L$2)</f>
        <v>30098.79</v>
      </c>
      <c r="R335" s="304"/>
      <c r="S335" s="196">
        <f t="shared" si="181"/>
        <v>11599.879999999997</v>
      </c>
      <c r="T335" s="216"/>
      <c r="U335" s="216"/>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ht="15.75" customHeight="1">
      <c r="A336" s="564" t="str">
        <f t="shared" ref="A336" si="185">+B336&amp;C336</f>
        <v>PiècesFournitures d'atelier</v>
      </c>
      <c r="B336" s="24" t="s">
        <v>175</v>
      </c>
      <c r="C336" s="299" t="s">
        <v>1989</v>
      </c>
      <c r="D336" s="295"/>
      <c r="E336" s="172"/>
      <c r="F336" s="173"/>
      <c r="G336" s="296"/>
      <c r="H336" s="172"/>
      <c r="I336" s="173"/>
      <c r="J336" s="297"/>
      <c r="K336" s="172"/>
      <c r="L336" s="174">
        <f>SUMIFS(BV_Data_An_Cour!$P:$P,BV_Data_An_Cour!$U:$U,$B336,BV_Data_An_Cour!$V:$V,$C336,BV_Data_An_Cour!$W:$W,$L$2)</f>
        <v>0</v>
      </c>
      <c r="M336" s="297"/>
      <c r="N336" s="298">
        <f t="shared" ref="N336" si="186">L336-I336</f>
        <v>0</v>
      </c>
      <c r="O336" s="297"/>
      <c r="P336" s="172"/>
      <c r="Q336" s="174">
        <f>SUMIFS(BV_Data_An_Prec!$P:$P,BV_Data_An_Prec!$U:$U,$B336,BV_Data_An_Prec!$V:$V,$C336,BV_Data_An_Prec!$W:$W,$L$2)</f>
        <v>0</v>
      </c>
      <c r="R336" s="297"/>
      <c r="S336" s="193">
        <f t="shared" ref="S336" si="187">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tr">
        <f t="shared" si="144"/>
        <v>PiècesFournitures autres</v>
      </c>
      <c r="B337" s="24" t="s">
        <v>175</v>
      </c>
      <c r="C337" s="299" t="s">
        <v>127</v>
      </c>
      <c r="D337" s="295"/>
      <c r="E337" s="172"/>
      <c r="F337" s="173">
        <f>+SUMPRODUCT(('Budget original'!$A$8:$A$500=$A337)*('Budget original'!$C$3:$AO$3=F$2),'Budget original'!$C$8:$AO$500)</f>
        <v>397.64807519158052</v>
      </c>
      <c r="G337" s="296"/>
      <c r="H337" s="172"/>
      <c r="I337" s="173">
        <f>+SUMPRODUCT(('Budget révisé'!$A$8:$A$500=$A337)*('Budget révisé'!$C$3:$AO$3=I$2),'Budget révisé'!$C$8:$AO$500)</f>
        <v>397.64807519158052</v>
      </c>
      <c r="J337" s="297"/>
      <c r="K337" s="172"/>
      <c r="L337" s="174">
        <f>SUMIFS(BV_Data_An_Cour!$P:$P,BV_Data_An_Cour!$U:$U,$B337,BV_Data_An_Cour!$V:$V,$C337,BV_Data_An_Cour!$W:$W,$L$2)</f>
        <v>514.79999999999995</v>
      </c>
      <c r="M337" s="297"/>
      <c r="N337" s="298">
        <f t="shared" si="180"/>
        <v>117.15192480841944</v>
      </c>
      <c r="O337" s="297"/>
      <c r="P337" s="172"/>
      <c r="Q337" s="174">
        <f>SUMIFS(BV_Data_An_Prec!$P:$P,BV_Data_An_Prec!$U:$U,$B337,BV_Data_An_Prec!$V:$V,$C337,BV_Data_An_Prec!$W:$W,$L$2)</f>
        <v>1028.29</v>
      </c>
      <c r="R337" s="297"/>
      <c r="S337" s="193">
        <f t="shared" si="181"/>
        <v>-513.49</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tr">
        <f t="shared" si="144"/>
        <v>PiècesUniformes</v>
      </c>
      <c r="B338" s="24" t="s">
        <v>175</v>
      </c>
      <c r="C338" s="299" t="s">
        <v>128</v>
      </c>
      <c r="D338" s="295"/>
      <c r="E338" s="172"/>
      <c r="F338" s="173">
        <f>+SUMPRODUCT(('Budget original'!$A$8:$A$500=$A338)*('Budget original'!$C$3:$AO$3=F$2),'Budget original'!$C$8:$AO$500)</f>
        <v>211.29973387094014</v>
      </c>
      <c r="G338" s="296"/>
      <c r="H338" s="172"/>
      <c r="I338" s="173">
        <f>+SUMPRODUCT(('Budget révisé'!$A$8:$A$500=$A338)*('Budget révisé'!$C$3:$AO$3=I$2),'Budget révisé'!$C$8:$AO$500)</f>
        <v>211.29973387094014</v>
      </c>
      <c r="J338" s="297"/>
      <c r="K338" s="172"/>
      <c r="L338" s="174">
        <f>SUMIFS(BV_Data_An_Cour!$P:$P,BV_Data_An_Cour!$U:$U,$B338,BV_Data_An_Cour!$V:$V,$C338,BV_Data_An_Cour!$W:$W,$L$2)</f>
        <v>0</v>
      </c>
      <c r="M338" s="297"/>
      <c r="N338" s="298">
        <f t="shared" si="180"/>
        <v>-211.29973387094014</v>
      </c>
      <c r="O338" s="297"/>
      <c r="P338" s="172"/>
      <c r="Q338" s="174">
        <f>SUMIFS(BV_Data_An_Prec!$P:$P,BV_Data_An_Prec!$U:$U,$B338,BV_Data_An_Prec!$V:$V,$C338,BV_Data_An_Prec!$W:$W,$L$2)</f>
        <v>0</v>
      </c>
      <c r="R338" s="297"/>
      <c r="S338" s="193">
        <f t="shared" si="181"/>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tr">
        <f t="shared" si="144"/>
        <v>PiècesPapeterie</v>
      </c>
      <c r="B339" s="24" t="s">
        <v>175</v>
      </c>
      <c r="C339" s="299" t="s">
        <v>129</v>
      </c>
      <c r="D339" s="295"/>
      <c r="E339" s="172"/>
      <c r="F339" s="173">
        <f>+SUMPRODUCT(('Budget original'!$A$8:$A$500=$A339)*('Budget original'!$C$3:$AO$3=F$2),'Budget original'!$C$8:$AO$500)</f>
        <v>2550.2512500000003</v>
      </c>
      <c r="G339" s="296"/>
      <c r="H339" s="172"/>
      <c r="I339" s="173">
        <f>+SUMPRODUCT(('Budget révisé'!$A$8:$A$500=$A339)*('Budget révisé'!$C$3:$AO$3=I$2),'Budget révisé'!$C$8:$AO$500)</f>
        <v>2550.2512500000003</v>
      </c>
      <c r="J339" s="297"/>
      <c r="K339" s="172"/>
      <c r="L339" s="548">
        <f>SUMIFS(BV_Data_An_Cour!$P:$P,BV_Data_An_Cour!$U:$U,$B339,BV_Data_An_Cour!$V:$V,$C339,BV_Data_An_Cour!$W:$W,$L$2)</f>
        <v>3014</v>
      </c>
      <c r="M339" s="297"/>
      <c r="N339" s="298">
        <f t="shared" si="180"/>
        <v>463.74874999999975</v>
      </c>
      <c r="O339" s="297"/>
      <c r="P339" s="172"/>
      <c r="Q339" s="548">
        <f>SUMIFS(BV_Data_An_Prec!$P:$P,BV_Data_An_Prec!$U:$U,$B339,BV_Data_An_Prec!$V:$V,$C339,BV_Data_An_Prec!$W:$W,$L$2)</f>
        <v>2540.39</v>
      </c>
      <c r="R339" s="297"/>
      <c r="S339" s="193">
        <f t="shared" si="181"/>
        <v>473.61000000000013</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tr">
        <f t="shared" si="144"/>
        <v>PiècesTéléphone</v>
      </c>
      <c r="B340" s="24" t="s">
        <v>175</v>
      </c>
      <c r="C340" s="299" t="s">
        <v>130</v>
      </c>
      <c r="D340" s="295"/>
      <c r="E340" s="172"/>
      <c r="F340" s="173">
        <f>+SUMPRODUCT(('Budget original'!$A$8:$A$500=$A340)*('Budget original'!$C$3:$AO$3=F$2),'Budget original'!$C$8:$AO$500)</f>
        <v>1177.5958072916667</v>
      </c>
      <c r="G340" s="296"/>
      <c r="H340" s="172"/>
      <c r="I340" s="173">
        <f>+SUMPRODUCT(('Budget révisé'!$A$8:$A$500=$A340)*('Budget révisé'!$C$3:$AO$3=I$2),'Budget révisé'!$C$8:$AO$500)</f>
        <v>1177.5958072916667</v>
      </c>
      <c r="J340" s="297"/>
      <c r="K340" s="172"/>
      <c r="L340" s="174">
        <f>SUMIFS(BV_Data_An_Cour!$P:$P,BV_Data_An_Cour!$U:$U,$B340,BV_Data_An_Cour!$V:$V,$C340,BV_Data_An_Cour!$W:$W,$L$2)</f>
        <v>424.48</v>
      </c>
      <c r="M340" s="297"/>
      <c r="N340" s="298">
        <f t="shared" si="180"/>
        <v>-753.11580729166667</v>
      </c>
      <c r="O340" s="297"/>
      <c r="P340" s="172"/>
      <c r="Q340" s="174">
        <f>SUMIFS(BV_Data_An_Prec!$P:$P,BV_Data_An_Prec!$U:$U,$B340,BV_Data_An_Prec!$V:$V,$C340,BV_Data_An_Prec!$W:$W,$L$2)</f>
        <v>907.1</v>
      </c>
      <c r="R340" s="297"/>
      <c r="S340" s="193">
        <f t="shared" si="181"/>
        <v>-482.62</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tr">
        <f t="shared" si="144"/>
        <v>PiècesFrais postaux</v>
      </c>
      <c r="B341" s="24" t="s">
        <v>175</v>
      </c>
      <c r="C341" s="299" t="s">
        <v>131</v>
      </c>
      <c r="D341" s="295"/>
      <c r="E341" s="172"/>
      <c r="F341" s="173">
        <f>+SUMPRODUCT(('Budget original'!$A$8:$A$500=$A341)*('Budget original'!$C$3:$AO$3=F$2),'Budget original'!$C$8:$AO$500)</f>
        <v>628.58231770833322</v>
      </c>
      <c r="G341" s="296"/>
      <c r="H341" s="172"/>
      <c r="I341" s="173">
        <f>+SUMPRODUCT(('Budget révisé'!$A$8:$A$500=$A341)*('Budget révisé'!$C$3:$AO$3=I$2),'Budget révisé'!$C$8:$AO$500)</f>
        <v>628.58231770833322</v>
      </c>
      <c r="J341" s="297"/>
      <c r="K341" s="172"/>
      <c r="L341" s="275">
        <f>SUMIFS(BV_Data_An_Cour!$P:$P,BV_Data_An_Cour!$U:$U,$B341,BV_Data_An_Cour!$V:$V,$C341,BV_Data_An_Cour!$W:$W,$L$2)</f>
        <v>-115.31</v>
      </c>
      <c r="M341" s="297"/>
      <c r="N341" s="298">
        <f t="shared" si="180"/>
        <v>-743.89231770833317</v>
      </c>
      <c r="O341" s="297"/>
      <c r="P341" s="172"/>
      <c r="Q341" s="174">
        <f>SUMIFS(BV_Data_An_Prec!$P:$P,BV_Data_An_Prec!$U:$U,$B341,BV_Data_An_Prec!$V:$V,$C341,BV_Data_An_Prec!$W:$W,$L$2)</f>
        <v>9.02</v>
      </c>
      <c r="R341" s="297"/>
      <c r="S341" s="193">
        <f t="shared" si="181"/>
        <v>-124.33</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tr">
        <f t="shared" si="144"/>
        <v>PiècesDivers</v>
      </c>
      <c r="B342" s="24" t="s">
        <v>175</v>
      </c>
      <c r="C342" s="299" t="s">
        <v>132</v>
      </c>
      <c r="D342" s="295"/>
      <c r="E342" s="172"/>
      <c r="F342" s="173">
        <f>+SUMPRODUCT(('Budget original'!$A$8:$A$500=$A342)*('Budget original'!$C$3:$AO$3=F$2),'Budget original'!$C$8:$AO$500)</f>
        <v>3032.1624739583326</v>
      </c>
      <c r="G342" s="296"/>
      <c r="H342" s="172"/>
      <c r="I342" s="173">
        <f>+SUMPRODUCT(('Budget révisé'!$A$8:$A$500=$A342)*('Budget révisé'!$C$3:$AO$3=I$2),'Budget révisé'!$C$8:$AO$500)</f>
        <v>3032.1624739583326</v>
      </c>
      <c r="J342" s="297"/>
      <c r="K342" s="172"/>
      <c r="L342" s="275">
        <f>SUMIFS(BV_Data_An_Cour!$P:$P,BV_Data_An_Cour!$U:$U,$B342,BV_Data_An_Cour!$V:$V,$C342,BV_Data_An_Cour!$W:$W,$L$2)</f>
        <v>1509.1</v>
      </c>
      <c r="M342" s="297"/>
      <c r="N342" s="298">
        <f t="shared" si="180"/>
        <v>-1523.0624739583327</v>
      </c>
      <c r="O342" s="297"/>
      <c r="P342" s="172"/>
      <c r="Q342" s="174">
        <f>SUMIFS(BV_Data_An_Prec!$P:$P,BV_Data_An_Prec!$U:$U,$B342,BV_Data_An_Prec!$V:$V,$C342,BV_Data_An_Prec!$W:$W,$L$2)</f>
        <v>3129.76</v>
      </c>
      <c r="R342" s="297"/>
      <c r="S342" s="193">
        <f t="shared" si="181"/>
        <v>-1620.6600000000003</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ht="15.75" customHeight="1">
      <c r="A343" s="564" t="str">
        <f t="shared" ref="A343:A346" si="188">+B343&amp;C343</f>
        <v>PiècesFormation</v>
      </c>
      <c r="B343" s="24" t="s">
        <v>175</v>
      </c>
      <c r="C343" s="299" t="s">
        <v>133</v>
      </c>
      <c r="D343" s="295"/>
      <c r="E343" s="172"/>
      <c r="F343" s="173">
        <f>+SUMPRODUCT(('Budget original'!$A$8:$A$500=$A343)*('Budget original'!$C$3:$AO$3=F$2),'Budget original'!$C$8:$AO$500)</f>
        <v>4504.9072916666664</v>
      </c>
      <c r="G343" s="296"/>
      <c r="H343" s="172"/>
      <c r="I343" s="173">
        <f>+SUMPRODUCT(('Budget révisé'!$A$8:$A$500=$A343)*('Budget révisé'!$C$3:$AO$3=I$2),'Budget révisé'!$C$8:$AO$500)</f>
        <v>4504.9072916666664</v>
      </c>
      <c r="J343" s="297"/>
      <c r="K343" s="172"/>
      <c r="L343" s="275">
        <f>SUMIFS(BV_Data_An_Cour!$P:$P,BV_Data_An_Cour!$U:$U,$B343,BV_Data_An_Cour!$V:$V,$C343,BV_Data_An_Cour!$W:$W,$L$2)</f>
        <v>398.75</v>
      </c>
      <c r="M343" s="297"/>
      <c r="N343" s="298">
        <f t="shared" ref="N343:N347" si="189">L343-I343</f>
        <v>-4106.1572916666664</v>
      </c>
      <c r="O343" s="297"/>
      <c r="P343" s="172"/>
      <c r="Q343" s="174">
        <f>SUMIFS(BV_Data_An_Prec!$P:$P,BV_Data_An_Prec!$U:$U,$B343,BV_Data_An_Prec!$V:$V,$C343,BV_Data_An_Prec!$W:$W,$L$2)</f>
        <v>360.7</v>
      </c>
      <c r="R343" s="297"/>
      <c r="S343" s="193">
        <f t="shared" ref="S343:S347" si="190">L343-Q343</f>
        <v>38.050000000000011</v>
      </c>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ht="15.75" customHeight="1">
      <c r="A344" s="564" t="str">
        <f t="shared" si="188"/>
        <v>PiècesFrais bancaires</v>
      </c>
      <c r="B344" s="24" t="s">
        <v>175</v>
      </c>
      <c r="C344" s="299" t="s">
        <v>134</v>
      </c>
      <c r="D344" s="295"/>
      <c r="E344" s="172"/>
      <c r="F344" s="173">
        <f>+SUMPRODUCT(('Budget original'!$A$8:$A$500=$A344)*('Budget original'!$C$3:$AO$3=F$2),'Budget original'!$C$8:$AO$500)</f>
        <v>8766.4039810681115</v>
      </c>
      <c r="G344" s="296"/>
      <c r="H344" s="172"/>
      <c r="I344" s="173">
        <f>+SUMPRODUCT(('Budget révisé'!$A$8:$A$500=$A344)*('Budget révisé'!$C$3:$AO$3=I$2),'Budget révisé'!$C$8:$AO$500)</f>
        <v>8766.4039810681115</v>
      </c>
      <c r="J344" s="297"/>
      <c r="K344" s="172"/>
      <c r="L344" s="958">
        <f>AF447*W7</f>
        <v>7335.5280000000002</v>
      </c>
      <c r="M344" s="297"/>
      <c r="N344" s="298">
        <f t="shared" si="189"/>
        <v>-1430.8759810681113</v>
      </c>
      <c r="O344" s="297"/>
      <c r="P344" s="172"/>
      <c r="Q344" s="174">
        <f>AL447*W7</f>
        <v>6431.1680000000006</v>
      </c>
      <c r="R344" s="297"/>
      <c r="S344" s="193">
        <f t="shared" si="190"/>
        <v>904.35999999999967</v>
      </c>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ht="15.75" hidden="1" customHeight="1">
      <c r="A345" s="564" t="str">
        <f t="shared" si="188"/>
        <v>Pièces[...]</v>
      </c>
      <c r="B345" s="24" t="s">
        <v>175</v>
      </c>
      <c r="C345" s="299" t="s">
        <v>42</v>
      </c>
      <c r="D345" s="295"/>
      <c r="E345" s="172"/>
      <c r="F345" s="173">
        <f>+SUMPRODUCT(('Budget original'!$A$8:$A$500=$A345)*('Budget original'!$C$3:$AO$3=F$2),'Budget original'!$C$8:$AO$500)</f>
        <v>0</v>
      </c>
      <c r="G345" s="296"/>
      <c r="H345" s="172"/>
      <c r="I345" s="173">
        <f>+SUMPRODUCT(('Budget révisé'!$A$8:$A$500=$A345)*('Budget révisé'!$C$3:$AO$3=I$2),'Budget révisé'!$C$8:$AO$500)</f>
        <v>0</v>
      </c>
      <c r="J345" s="297"/>
      <c r="K345" s="172"/>
      <c r="L345" s="275">
        <f>SUMIFS(BV_Data_An_Cour!$P:$P,BV_Data_An_Cour!$U:$U,$B345,BV_Data_An_Cour!$V:$V,$C345,BV_Data_An_Cour!$W:$W,$L$2)</f>
        <v>0</v>
      </c>
      <c r="M345" s="297"/>
      <c r="N345" s="298">
        <f t="shared" si="189"/>
        <v>0</v>
      </c>
      <c r="O345" s="297"/>
      <c r="P345" s="172"/>
      <c r="Q345" s="174">
        <f>SUMIFS(BV_Data_An_Prec!$P:$P,BV_Data_An_Prec!$U:$U,$B345,BV_Data_An_Prec!$V:$V,$C345,BV_Data_An_Prec!$W:$W,$L$2)</f>
        <v>0</v>
      </c>
      <c r="R345" s="297"/>
      <c r="S345" s="193">
        <f t="shared" si="190"/>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tr">
        <f t="shared" si="188"/>
        <v>Pièces[...]</v>
      </c>
      <c r="B346" s="24" t="s">
        <v>175</v>
      </c>
      <c r="C346" s="299" t="s">
        <v>42</v>
      </c>
      <c r="D346" s="295"/>
      <c r="E346" s="172"/>
      <c r="F346" s="173">
        <f>+SUMPRODUCT(('Budget original'!$A$8:$A$500=$A346)*('Budget original'!$C$3:$AO$3=F$2),'Budget original'!$C$8:$AO$500)</f>
        <v>0</v>
      </c>
      <c r="G346" s="296"/>
      <c r="H346" s="172"/>
      <c r="I346" s="173">
        <f>+SUMPRODUCT(('Budget révisé'!$A$8:$A$500=$A346)*('Budget révisé'!$C$3:$AO$3=I$2),'Budget révisé'!$C$8:$AO$500)</f>
        <v>0</v>
      </c>
      <c r="J346" s="297"/>
      <c r="K346" s="172"/>
      <c r="L346" s="174">
        <f>SUMIFS(BV_Data_An_Cour!$P:$P,BV_Data_An_Cour!$U:$U,$B346,BV_Data_An_Cour!$V:$V,$C346,BV_Data_An_Cour!$W:$W,$L$2)</f>
        <v>0</v>
      </c>
      <c r="M346" s="297"/>
      <c r="N346" s="298">
        <f t="shared" si="189"/>
        <v>0</v>
      </c>
      <c r="O346" s="297"/>
      <c r="P346" s="172"/>
      <c r="Q346" s="174">
        <f>SUMIFS(BV_Data_An_Prec!$P:$P,BV_Data_An_Prec!$U:$U,$B346,BV_Data_An_Prec!$V:$V,$C346,BV_Data_An_Prec!$W:$W,$L$2)</f>
        <v>0</v>
      </c>
      <c r="R346" s="297"/>
      <c r="S346" s="193">
        <f t="shared" si="190"/>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tr">
        <f t="shared" ref="A347" si="191">+B347&amp;C347</f>
        <v>Pièces[...]</v>
      </c>
      <c r="B347" s="24" t="s">
        <v>175</v>
      </c>
      <c r="C347" s="299" t="s">
        <v>42</v>
      </c>
      <c r="D347" s="295"/>
      <c r="E347" s="172"/>
      <c r="F347" s="173">
        <f>+SUMPRODUCT(('Budget original'!$A$8:$A$500=$A347)*('Budget original'!$C$3:$AO$3=F$2),'Budget original'!$C$8:$AO$500)</f>
        <v>0</v>
      </c>
      <c r="G347" s="296"/>
      <c r="H347" s="172"/>
      <c r="I347" s="173">
        <f>+SUMPRODUCT(('Budget révisé'!$A$8:$A$500=$A347)*('Budget révisé'!$C$3:$AO$3=I$2),'Budget révisé'!$C$8:$AO$500)</f>
        <v>0</v>
      </c>
      <c r="J347" s="297"/>
      <c r="K347" s="172"/>
      <c r="L347" s="174">
        <f>SUMIFS(BV_Data_An_Cour!$P:$P,BV_Data_An_Cour!$U:$U,$B347,BV_Data_An_Cour!$V:$V,$C347,BV_Data_An_Cour!$W:$W,$L$2)</f>
        <v>0</v>
      </c>
      <c r="M347" s="297"/>
      <c r="N347" s="298">
        <f t="shared" si="189"/>
        <v>0</v>
      </c>
      <c r="O347" s="297"/>
      <c r="P347" s="172"/>
      <c r="Q347" s="174">
        <f>SUMIFS(BV_Data_An_Prec!$P:$P,BV_Data_An_Prec!$U:$U,$B347,BV_Data_An_Prec!$V:$V,$C347,BV_Data_An_Prec!$W:$W,$L$2)</f>
        <v>0</v>
      </c>
      <c r="R347" s="297"/>
      <c r="S347" s="193">
        <f t="shared" si="190"/>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159"/>
      <c r="C348" s="292" t="s">
        <v>135</v>
      </c>
      <c r="D348" s="39" t="s">
        <v>111</v>
      </c>
      <c r="E348" s="40">
        <f>F348/F$313</f>
        <v>0.21236879087152241</v>
      </c>
      <c r="F348" s="41">
        <f>+SUM(F330:F347)</f>
        <v>106878.38419744873</v>
      </c>
      <c r="G348" s="42" t="s">
        <v>111</v>
      </c>
      <c r="H348" s="40">
        <f>I348/I$313</f>
        <v>0.21236879087152241</v>
      </c>
      <c r="I348" s="41">
        <f>+SUM(I330:I347)</f>
        <v>106878.38419744873</v>
      </c>
      <c r="J348" s="42" t="s">
        <v>111</v>
      </c>
      <c r="K348" s="40">
        <f>L348/L$313</f>
        <v>0.21085315590862047</v>
      </c>
      <c r="L348" s="41">
        <f>+SUM(L330:L347)</f>
        <v>105448.338</v>
      </c>
      <c r="M348" s="44"/>
      <c r="N348" s="41">
        <f>+SUM(N330:N347)</f>
        <v>-1430.0461974487307</v>
      </c>
      <c r="O348" s="42" t="s">
        <v>111</v>
      </c>
      <c r="P348" s="40">
        <f>Q348/Q$313</f>
        <v>0.18812195916780533</v>
      </c>
      <c r="Q348" s="41">
        <f>+SUM(Q330:Q347)</f>
        <v>84893.868000000002</v>
      </c>
      <c r="R348" s="44"/>
      <c r="S348" s="310">
        <f>+SUM(S330:S347)</f>
        <v>20554.469999999994</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159"/>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159"/>
      <c r="C350" s="292" t="s">
        <v>136</v>
      </c>
      <c r="D350" s="39" t="s">
        <v>111</v>
      </c>
      <c r="E350" s="40">
        <f>F350/F$313</f>
        <v>0.62804233670446696</v>
      </c>
      <c r="F350" s="41">
        <f>F329+F348</f>
        <v>316073.51475279545</v>
      </c>
      <c r="G350" s="42" t="s">
        <v>111</v>
      </c>
      <c r="H350" s="40">
        <f>I350/I$313</f>
        <v>0.62804233670446696</v>
      </c>
      <c r="I350" s="41">
        <f>I329+I348</f>
        <v>316073.51475279545</v>
      </c>
      <c r="J350" s="42" t="s">
        <v>111</v>
      </c>
      <c r="K350" s="40">
        <f>L350/L$313</f>
        <v>0.61419264663773387</v>
      </c>
      <c r="L350" s="41">
        <f>L329+L348</f>
        <v>307159.70799999998</v>
      </c>
      <c r="M350" s="44"/>
      <c r="N350" s="46">
        <f t="shared" ref="N350:N352" si="192">L350-I350</f>
        <v>-8913.8067527954699</v>
      </c>
      <c r="O350" s="42" t="s">
        <v>111</v>
      </c>
      <c r="P350" s="40">
        <f>Q350/Q$313</f>
        <v>0.63662414094184505</v>
      </c>
      <c r="Q350" s="41">
        <f>Q329+Q348</f>
        <v>287289.61799999996</v>
      </c>
      <c r="R350" s="44"/>
      <c r="S350" s="293">
        <f>L350-Q350</f>
        <v>19870.090000000026</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159"/>
      <c r="C351" s="258"/>
      <c r="D351" s="295"/>
      <c r="E351" s="172"/>
      <c r="F351" s="298"/>
      <c r="G351" s="296"/>
      <c r="H351" s="172"/>
      <c r="I351" s="298"/>
      <c r="J351" s="297"/>
      <c r="K351" s="172"/>
      <c r="L351" s="298"/>
      <c r="M351" s="297"/>
      <c r="N351" s="298">
        <f t="shared" si="192"/>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15.75" customHeight="1" thickBot="1">
      <c r="B352" s="159"/>
      <c r="C352" s="334" t="s">
        <v>143</v>
      </c>
      <c r="D352" s="335"/>
      <c r="E352" s="336"/>
      <c r="F352" s="337">
        <f>F313-F350</f>
        <v>187194.33246166352</v>
      </c>
      <c r="G352" s="338"/>
      <c r="H352" s="336"/>
      <c r="I352" s="337">
        <f>I313-I350</f>
        <v>187194.33246166352</v>
      </c>
      <c r="J352" s="339"/>
      <c r="K352" s="340"/>
      <c r="L352" s="337">
        <f>L313-L350</f>
        <v>192943.49200000003</v>
      </c>
      <c r="M352" s="339"/>
      <c r="N352" s="337">
        <f t="shared" si="192"/>
        <v>5749.1595383365056</v>
      </c>
      <c r="O352" s="339"/>
      <c r="P352" s="340"/>
      <c r="Q352" s="337">
        <f>Q313-Q350</f>
        <v>163980.76200000005</v>
      </c>
      <c r="R352" s="339"/>
      <c r="S352" s="341">
        <f>L352-Q352</f>
        <v>28962.729999999981</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159"/>
      <c r="C353" s="56"/>
      <c r="D353" s="36"/>
      <c r="E353" s="25"/>
      <c r="F353" s="45"/>
      <c r="G353" s="36"/>
      <c r="H353" s="25"/>
      <c r="I353" s="45"/>
      <c r="J353" s="56"/>
      <c r="K353" s="56"/>
      <c r="L353" s="45"/>
      <c r="M353" s="56"/>
      <c r="N353" s="45"/>
      <c r="O353" s="56"/>
      <c r="P353" s="56"/>
      <c r="Q353" s="45"/>
      <c r="R353" s="56"/>
      <c r="S353" s="1059">
        <v>0.25</v>
      </c>
      <c r="T353" s="25">
        <v>0.75</v>
      </c>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159"/>
      <c r="C354" s="56"/>
      <c r="D354" s="36"/>
      <c r="E354" s="25"/>
      <c r="F354" s="45"/>
      <c r="G354" s="36"/>
      <c r="H354" s="25"/>
      <c r="I354" s="45"/>
      <c r="J354" s="56"/>
      <c r="K354" s="56"/>
      <c r="L354" s="45"/>
      <c r="M354" s="56"/>
      <c r="N354" s="45"/>
      <c r="O354" s="56"/>
      <c r="P354" s="56"/>
      <c r="Q354" s="45"/>
      <c r="R354" s="56"/>
      <c r="S354" s="45"/>
      <c r="T354" s="25"/>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159"/>
      <c r="C355" s="21" t="str">
        <f>+C290</f>
        <v>Volks</v>
      </c>
      <c r="D355" s="19"/>
      <c r="E355" s="19"/>
      <c r="F355" s="19"/>
      <c r="G355" s="19"/>
      <c r="H355" s="18"/>
      <c r="I355" s="18"/>
      <c r="J355" s="18"/>
      <c r="K355" s="5" t="s">
        <v>191</v>
      </c>
      <c r="L355" s="19"/>
      <c r="M355" s="19"/>
      <c r="N355" s="18"/>
      <c r="O355" s="18"/>
      <c r="P355" s="19"/>
      <c r="Q355" s="18"/>
      <c r="R355" s="19"/>
      <c r="S355" s="6" t="str">
        <f>$S$1</f>
        <v>Réalisé AAJ, Mai 2022</v>
      </c>
      <c r="T355" s="23"/>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thickBot="1">
      <c r="B356" s="159"/>
      <c r="C356" s="22"/>
      <c r="D356" s="23"/>
      <c r="E356" s="23"/>
      <c r="F356" s="23"/>
      <c r="G356" s="23"/>
      <c r="H356" s="23"/>
      <c r="I356" s="23"/>
      <c r="J356" s="23"/>
      <c r="K356" s="23"/>
      <c r="L356" s="23"/>
      <c r="M356" s="23"/>
      <c r="N356" s="23"/>
      <c r="O356" s="23"/>
      <c r="P356" s="23"/>
      <c r="Q356" s="23"/>
      <c r="R356" s="23"/>
      <c r="S356" s="23"/>
      <c r="T356" s="23"/>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159"/>
      <c r="C357" s="257"/>
      <c r="D357" s="1426" t="s">
        <v>77</v>
      </c>
      <c r="E357" s="1426"/>
      <c r="F357" s="1436"/>
      <c r="G357" s="1429" t="s">
        <v>145</v>
      </c>
      <c r="H357" s="1426"/>
      <c r="I357" s="1436"/>
      <c r="J357" s="1429" t="s">
        <v>79</v>
      </c>
      <c r="K357" s="1426"/>
      <c r="L357" s="1436"/>
      <c r="M357" s="1429" t="s">
        <v>80</v>
      </c>
      <c r="N357" s="1436"/>
      <c r="O357" s="1429" t="s">
        <v>81</v>
      </c>
      <c r="P357" s="1426"/>
      <c r="Q357" s="1436"/>
      <c r="R357" s="1429" t="s">
        <v>82</v>
      </c>
      <c r="S357" s="1437"/>
      <c r="T357" s="23"/>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tr">
        <f t="shared" ref="A358:A393" si="193">+B358&amp;C358</f>
        <v>Boutique</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23"/>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tr">
        <f t="shared" si="193"/>
        <v>BoutiqueBoutique</v>
      </c>
      <c r="B359" s="24" t="s">
        <v>191</v>
      </c>
      <c r="C359" s="263" t="s">
        <v>191</v>
      </c>
      <c r="D359" s="197">
        <f>+SUMPRODUCT(('Budget original'!$A$8:$A$500=$A359)*('Budget original'!$C$3:$AO$3=D$2),'Budget original'!$C$8:$AO$500)</f>
        <v>0</v>
      </c>
      <c r="E359" s="198">
        <f>IFERROR(F359/D359,0)</f>
        <v>0</v>
      </c>
      <c r="F359" s="202">
        <f>+SUMPRODUCT(('Budget original'!$A$8:$A$500=$A359)*('Budget original'!$C$3:$AO$3=F$2),'Budget original'!$C$8:$AO$500)</f>
        <v>0</v>
      </c>
      <c r="G359" s="197">
        <v>0</v>
      </c>
      <c r="H359" s="198">
        <f>IFERROR(I359/G359,0)</f>
        <v>0</v>
      </c>
      <c r="I359" s="197">
        <v>0</v>
      </c>
      <c r="J359" s="215">
        <f>-SUMIFS(BV_Data_An_Cour!$N:$N,BV_Data_An_Cour!$Q:$Q,$B359,BV_Data_An_Cour!$O:$O,"S",BV_Data_An_Cour!$R:$R,$C359)</f>
        <v>0</v>
      </c>
      <c r="K359" s="71">
        <f>IF(J359&lt;=0,0,L359/J359)</f>
        <v>0</v>
      </c>
      <c r="L359" s="214">
        <f>J359-SUMIFS(BV_Data_An_Cour!$N:$N,BV_Data_An_Cour!$Q:$Q,$B359,BV_Data_An_Cour!$O:$O,"C",BV_Data_An_Cour!$R:$R,$C359)</f>
        <v>0</v>
      </c>
      <c r="M359" s="72">
        <f>IF(G359=0,0,(+J359-G359)/G359)</f>
        <v>0</v>
      </c>
      <c r="N359" s="73">
        <f>L359-I359</f>
        <v>0</v>
      </c>
      <c r="O359" s="215">
        <v>0</v>
      </c>
      <c r="P359" s="71">
        <v>0</v>
      </c>
      <c r="Q359" s="214">
        <v>0</v>
      </c>
      <c r="R359" s="72">
        <f>IF(O359=0,0,(J359-O359)/O359)</f>
        <v>0</v>
      </c>
      <c r="S359" s="264">
        <f>L359-Q359</f>
        <v>0</v>
      </c>
      <c r="T359" s="23"/>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tr">
        <f t="shared" si="193"/>
        <v>Boutique</v>
      </c>
      <c r="B360" s="24" t="s">
        <v>191</v>
      </c>
      <c r="C360" s="265"/>
      <c r="D360" s="74"/>
      <c r="E360" s="75"/>
      <c r="F360" s="76"/>
      <c r="G360" s="77"/>
      <c r="H360" s="75"/>
      <c r="I360" s="76"/>
      <c r="J360" s="77"/>
      <c r="K360" s="75"/>
      <c r="L360" s="76"/>
      <c r="M360" s="78"/>
      <c r="N360" s="34"/>
      <c r="O360" s="77"/>
      <c r="P360" s="75"/>
      <c r="Q360" s="76"/>
      <c r="R360" s="78"/>
      <c r="S360" s="266"/>
      <c r="T360" s="23"/>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tr">
        <f t="shared" si="193"/>
        <v>BoutiqueTotal Dépt. Boutique</v>
      </c>
      <c r="B361" s="24" t="s">
        <v>191</v>
      </c>
      <c r="C361" s="267" t="s">
        <v>192</v>
      </c>
      <c r="D361" s="240">
        <f>+D359</f>
        <v>0</v>
      </c>
      <c r="E361" s="231">
        <f>IF(D361&lt;=0,0,F361/D361)</f>
        <v>0</v>
      </c>
      <c r="F361" s="232">
        <f t="shared" ref="F361" si="194">+F359</f>
        <v>0</v>
      </c>
      <c r="G361" s="365">
        <f>+G359</f>
        <v>0</v>
      </c>
      <c r="H361" s="364">
        <f>IF(G361&lt;=0,0,I361/G361)</f>
        <v>0</v>
      </c>
      <c r="I361" s="366">
        <f t="shared" ref="I361:J361" si="195">+I359</f>
        <v>0</v>
      </c>
      <c r="J361" s="365">
        <f t="shared" si="195"/>
        <v>0</v>
      </c>
      <c r="K361" s="364">
        <f>IF(J361&lt;=0,0,L361/J361)</f>
        <v>0</v>
      </c>
      <c r="L361" s="366">
        <f>+L359</f>
        <v>0</v>
      </c>
      <c r="M361" s="618">
        <f>IF(G361=0,0,(+J361-G361)/G361)</f>
        <v>0</v>
      </c>
      <c r="N361" s="1060">
        <f>L361-I361</f>
        <v>0</v>
      </c>
      <c r="O361" s="365">
        <f t="shared" ref="O361" si="196">+O359</f>
        <v>0</v>
      </c>
      <c r="P361" s="364">
        <f>IF(O361&lt;=0,0,Q361/O361)</f>
        <v>0</v>
      </c>
      <c r="Q361" s="366">
        <f>+Q359</f>
        <v>0</v>
      </c>
      <c r="R361" s="297">
        <f>IF(O361=0,0,(J361-O361)/O361)</f>
        <v>0</v>
      </c>
      <c r="S361" s="327">
        <f>L361-Q361</f>
        <v>0</v>
      </c>
      <c r="T361" s="23"/>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tr">
        <f t="shared" si="193"/>
        <v>Boutique</v>
      </c>
      <c r="B362" s="24" t="s">
        <v>191</v>
      </c>
      <c r="C362" s="270"/>
      <c r="D362" s="227"/>
      <c r="E362" s="227"/>
      <c r="F362" s="226"/>
      <c r="G362" s="297"/>
      <c r="H362" s="1061"/>
      <c r="I362" s="298"/>
      <c r="J362" s="297"/>
      <c r="K362" s="172"/>
      <c r="L362" s="306"/>
      <c r="M362" s="297"/>
      <c r="N362" s="268">
        <f>IF(H362=0,0,(+K362-H362)/H362)</f>
        <v>0</v>
      </c>
      <c r="O362" s="297"/>
      <c r="P362" s="172"/>
      <c r="Q362" s="306"/>
      <c r="R362" s="297"/>
      <c r="S362" s="385">
        <f>IF(Q361=0,0,S361/Q361)</f>
        <v>0</v>
      </c>
      <c r="T362" s="23"/>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tr">
        <f t="shared" si="193"/>
        <v>BoutiqueDEPENSES</v>
      </c>
      <c r="B363" s="24" t="s">
        <v>191</v>
      </c>
      <c r="C363" s="270" t="s">
        <v>102</v>
      </c>
      <c r="D363" s="227"/>
      <c r="E363" s="227"/>
      <c r="F363" s="226"/>
      <c r="G363" s="297"/>
      <c r="H363" s="172"/>
      <c r="I363" s="298"/>
      <c r="J363" s="297"/>
      <c r="K363" s="172"/>
      <c r="L363" s="306"/>
      <c r="M363" s="297"/>
      <c r="N363" s="306"/>
      <c r="O363" s="297"/>
      <c r="P363" s="172"/>
      <c r="Q363" s="306"/>
      <c r="R363" s="297"/>
      <c r="S363" s="385"/>
      <c r="T363" s="23"/>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tr">
        <f t="shared" si="193"/>
        <v>BoutiqueSalaires cadres</v>
      </c>
      <c r="B364" s="24" t="s">
        <v>191</v>
      </c>
      <c r="C364" s="274" t="s">
        <v>112</v>
      </c>
      <c r="D364" s="227"/>
      <c r="E364" s="227"/>
      <c r="F364" s="225">
        <f>+SUMPRODUCT(('Budget original'!$A$8:$A$500=$A364)*('Budget original'!$C$3:$AO$3=F$2),'Budget original'!$C$8:$AO$500)</f>
        <v>0</v>
      </c>
      <c r="G364" s="297"/>
      <c r="H364" s="172"/>
      <c r="I364" s="173">
        <v>0</v>
      </c>
      <c r="J364" s="297"/>
      <c r="K364" s="172"/>
      <c r="L364" s="174">
        <f>SUMIFS(BV_Data_An_Cour!$N:$N,BV_Data_An_Cour!$Q:$Q,$B364,BV_Data_An_Cour!$R:$R,$C364)</f>
        <v>0</v>
      </c>
      <c r="M364" s="297"/>
      <c r="N364" s="306"/>
      <c r="O364" s="297"/>
      <c r="P364" s="172"/>
      <c r="Q364" s="174">
        <v>0</v>
      </c>
      <c r="R364" s="297"/>
      <c r="S364" s="393">
        <f>L364-Q364</f>
        <v>0</v>
      </c>
      <c r="T364" s="23"/>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tr">
        <f t="shared" si="193"/>
        <v>BoutiqueSalaires commis</v>
      </c>
      <c r="B365" s="24" t="s">
        <v>191</v>
      </c>
      <c r="C365" s="276" t="s">
        <v>113</v>
      </c>
      <c r="D365" s="256"/>
      <c r="E365" s="227"/>
      <c r="F365" s="238">
        <f>+SUMPRODUCT(('Budget original'!$A$8:$A$500=$A365)*('Budget original'!$C$3:$AO$3=F$2),'Budget original'!$C$8:$AO$500)</f>
        <v>0</v>
      </c>
      <c r="G365" s="296"/>
      <c r="H365" s="172"/>
      <c r="I365" s="171">
        <v>0</v>
      </c>
      <c r="J365" s="297"/>
      <c r="K365" s="172"/>
      <c r="L365" s="171">
        <f>SUMIFS(BV_Data_An_Cour!$N:$N,BV_Data_An_Cour!$Q:$Q,$B365,BV_Data_An_Cour!$R:$R,$C365)</f>
        <v>0</v>
      </c>
      <c r="M365" s="297"/>
      <c r="N365" s="298">
        <f t="shared" ref="N365:N393" si="197">L365-I365</f>
        <v>0</v>
      </c>
      <c r="O365" s="297"/>
      <c r="P365" s="172"/>
      <c r="Q365" s="171">
        <v>0</v>
      </c>
      <c r="R365" s="297"/>
      <c r="S365" s="193">
        <f t="shared" ref="S365:S393" si="198">L365-Q365</f>
        <v>0</v>
      </c>
      <c r="T365" s="23"/>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tr">
        <f t="shared" si="193"/>
        <v>BoutiqueSalaires autres</v>
      </c>
      <c r="B366" s="24" t="s">
        <v>191</v>
      </c>
      <c r="C366" s="274" t="s">
        <v>114</v>
      </c>
      <c r="D366" s="279"/>
      <c r="E366" s="280"/>
      <c r="F366" s="225">
        <f>+SUMPRODUCT(('Budget original'!$A$8:$A$500=$A366)*('Budget original'!$C$3:$AO$3=F$2),'Budget original'!$C$8:$AO$500)</f>
        <v>0</v>
      </c>
      <c r="G366" s="387"/>
      <c r="H366" s="346"/>
      <c r="I366" s="173">
        <v>0</v>
      </c>
      <c r="J366" s="362"/>
      <c r="K366" s="346"/>
      <c r="L366" s="174">
        <f>SUMIFS(BV_Data_An_Cour!$N:$N,BV_Data_An_Cour!$Q:$Q,$B366,BV_Data_An_Cour!$R:$R,$C366)</f>
        <v>0</v>
      </c>
      <c r="M366" s="362"/>
      <c r="N366" s="350">
        <f t="shared" si="197"/>
        <v>0</v>
      </c>
      <c r="O366" s="362"/>
      <c r="P366" s="346"/>
      <c r="Q366" s="174">
        <v>0</v>
      </c>
      <c r="R366" s="362"/>
      <c r="S366" s="195">
        <f t="shared" si="198"/>
        <v>0</v>
      </c>
      <c r="T366" s="23"/>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tr">
        <f t="shared" si="193"/>
        <v>BoutiqueSalaires spécialistes</v>
      </c>
      <c r="B367" s="24" t="s">
        <v>191</v>
      </c>
      <c r="C367" s="274" t="s">
        <v>115</v>
      </c>
      <c r="D367" s="256"/>
      <c r="E367" s="227"/>
      <c r="F367" s="225">
        <f>+SUMPRODUCT(('Budget original'!$A$8:$A$500=$A367)*('Budget original'!$C$3:$AO$3=F$2),'Budget original'!$C$8:$AO$500)</f>
        <v>0</v>
      </c>
      <c r="G367" s="296"/>
      <c r="H367" s="172"/>
      <c r="I367" s="173">
        <v>0</v>
      </c>
      <c r="J367" s="297"/>
      <c r="K367" s="172"/>
      <c r="L367" s="174">
        <f>SUMIFS(BV_Data_An_Cour!$N:$N,BV_Data_An_Cour!$Q:$Q,$B367,BV_Data_An_Cour!$R:$R,$C367)</f>
        <v>0</v>
      </c>
      <c r="M367" s="297"/>
      <c r="N367" s="298">
        <f t="shared" si="197"/>
        <v>0</v>
      </c>
      <c r="O367" s="297"/>
      <c r="P367" s="172"/>
      <c r="Q367" s="174">
        <v>0</v>
      </c>
      <c r="R367" s="297"/>
      <c r="S367" s="193">
        <f t="shared" si="198"/>
        <v>0</v>
      </c>
      <c r="T367" s="23"/>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64" t="str">
        <f t="shared" si="193"/>
        <v>Boutique[...]</v>
      </c>
      <c r="B368" s="24" t="s">
        <v>191</v>
      </c>
      <c r="C368" s="285" t="s">
        <v>42</v>
      </c>
      <c r="D368" s="256"/>
      <c r="E368" s="227"/>
      <c r="F368" s="225">
        <f>+SUMPRODUCT(('Budget original'!$A$8:$A$500=$A368)*('Budget original'!$C$3:$AO$3=F$2),'Budget original'!$C$8:$AO$500)</f>
        <v>0</v>
      </c>
      <c r="G368" s="296"/>
      <c r="H368" s="172"/>
      <c r="I368" s="173">
        <v>0</v>
      </c>
      <c r="J368" s="297"/>
      <c r="K368" s="172"/>
      <c r="L368" s="174">
        <f>SUMIFS(BV_Data_An_Cour!$N:$N,BV_Data_An_Cour!$Q:$Q,$B368,BV_Data_An_Cour!$R:$R,$C368)</f>
        <v>0</v>
      </c>
      <c r="M368" s="297"/>
      <c r="N368" s="298">
        <f t="shared" si="197"/>
        <v>0</v>
      </c>
      <c r="O368" s="297"/>
      <c r="P368" s="172"/>
      <c r="Q368" s="174">
        <v>0</v>
      </c>
      <c r="R368" s="297"/>
      <c r="S368" s="193">
        <f t="shared" si="198"/>
        <v>0</v>
      </c>
      <c r="T368" s="23"/>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64" t="str">
        <f t="shared" si="193"/>
        <v>Boutique[...]</v>
      </c>
      <c r="B369" s="24" t="s">
        <v>191</v>
      </c>
      <c r="C369" s="285" t="s">
        <v>42</v>
      </c>
      <c r="D369" s="256"/>
      <c r="E369" s="227"/>
      <c r="F369" s="225">
        <f>+SUMPRODUCT(('Budget original'!$A$8:$A$500=$A369)*('Budget original'!$C$3:$AO$3=F$2),'Budget original'!$C$8:$AO$500)</f>
        <v>0</v>
      </c>
      <c r="G369" s="296"/>
      <c r="H369" s="172"/>
      <c r="I369" s="173">
        <v>0</v>
      </c>
      <c r="J369" s="297"/>
      <c r="K369" s="172"/>
      <c r="L369" s="174">
        <f>SUMIFS(BV_Data_An_Cour!$N:$N,BV_Data_An_Cour!$Q:$Q,$B369,BV_Data_An_Cour!$R:$R,$C369)</f>
        <v>0</v>
      </c>
      <c r="M369" s="297"/>
      <c r="N369" s="298">
        <f t="shared" si="197"/>
        <v>0</v>
      </c>
      <c r="O369" s="297"/>
      <c r="P369" s="172"/>
      <c r="Q369" s="174">
        <v>0</v>
      </c>
      <c r="R369" s="297"/>
      <c r="S369" s="193">
        <f t="shared" si="198"/>
        <v>0</v>
      </c>
      <c r="T369" s="23"/>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64" t="str">
        <f t="shared" si="193"/>
        <v>Boutique[...]</v>
      </c>
      <c r="B370" s="24" t="s">
        <v>191</v>
      </c>
      <c r="C370" s="285" t="s">
        <v>42</v>
      </c>
      <c r="D370" s="256"/>
      <c r="E370" s="227"/>
      <c r="F370" s="225">
        <f>+SUMPRODUCT(('Budget original'!$A$8:$A$500=$A370)*('Budget original'!$C$3:$AO$3=F$2),'Budget original'!$C$8:$AO$500)</f>
        <v>0</v>
      </c>
      <c r="G370" s="296"/>
      <c r="H370" s="172"/>
      <c r="I370" s="173">
        <v>0</v>
      </c>
      <c r="J370" s="297"/>
      <c r="K370" s="172"/>
      <c r="L370" s="174">
        <f>SUMIFS(BV_Data_An_Cour!$N:$N,BV_Data_An_Cour!$Q:$Q,$B370,BV_Data_An_Cour!$R:$R,$C370)</f>
        <v>0</v>
      </c>
      <c r="M370" s="297"/>
      <c r="N370" s="298">
        <f t="shared" si="197"/>
        <v>0</v>
      </c>
      <c r="O370" s="297"/>
      <c r="P370" s="172"/>
      <c r="Q370" s="174">
        <v>0</v>
      </c>
      <c r="R370" s="297"/>
      <c r="S370" s="193">
        <f t="shared" si="198"/>
        <v>0</v>
      </c>
      <c r="T370" s="23"/>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tr">
        <f t="shared" si="193"/>
        <v>BoutiqueSalaires en absences</v>
      </c>
      <c r="B371" s="24" t="s">
        <v>191</v>
      </c>
      <c r="C371" s="276" t="s">
        <v>116</v>
      </c>
      <c r="D371" s="256"/>
      <c r="E371" s="227"/>
      <c r="F371" s="238">
        <f>+SUMPRODUCT(('Budget original'!$A$8:$A$500=$A371)*('Budget original'!$C$3:$AO$3=F$2),'Budget original'!$C$8:$AO$500)</f>
        <v>0</v>
      </c>
      <c r="G371" s="296"/>
      <c r="H371" s="172"/>
      <c r="I371" s="171">
        <v>0</v>
      </c>
      <c r="J371" s="297"/>
      <c r="K371" s="172"/>
      <c r="L371" s="171">
        <f>SUMIFS(BV_Data_An_Cour!$N:$N,BV_Data_An_Cour!$Q:$Q,$B371,BV_Data_An_Cour!$R:$R,$C371)</f>
        <v>0</v>
      </c>
      <c r="M371" s="297"/>
      <c r="N371" s="298">
        <f t="shared" si="197"/>
        <v>0</v>
      </c>
      <c r="O371" s="297"/>
      <c r="P371" s="172"/>
      <c r="Q371" s="171">
        <v>0</v>
      </c>
      <c r="R371" s="297"/>
      <c r="S371" s="193">
        <f t="shared" si="198"/>
        <v>0</v>
      </c>
      <c r="T371" s="23"/>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tr">
        <f t="shared" si="193"/>
        <v>BoutiqueDéduction à la source</v>
      </c>
      <c r="B372" s="24" t="s">
        <v>191</v>
      </c>
      <c r="C372" s="274" t="s">
        <v>117</v>
      </c>
      <c r="D372" s="279"/>
      <c r="E372" s="280"/>
      <c r="F372" s="225">
        <f>+SUMPRODUCT(('Budget original'!$A$8:$A$500=$A372)*('Budget original'!$C$3:$AO$3=F$2),'Budget original'!$C$8:$AO$500)</f>
        <v>0</v>
      </c>
      <c r="G372" s="387"/>
      <c r="H372" s="346"/>
      <c r="I372" s="173">
        <v>0</v>
      </c>
      <c r="J372" s="362"/>
      <c r="K372" s="346"/>
      <c r="L372" s="174">
        <f>SUMIFS(BV_Data_An_Cour!$N:$N,BV_Data_An_Cour!$Q:$Q,$B372,BV_Data_An_Cour!$R:$R,$C372)</f>
        <v>0</v>
      </c>
      <c r="M372" s="362"/>
      <c r="N372" s="350">
        <f t="shared" si="197"/>
        <v>0</v>
      </c>
      <c r="O372" s="362"/>
      <c r="P372" s="346"/>
      <c r="Q372" s="174">
        <v>0</v>
      </c>
      <c r="R372" s="362"/>
      <c r="S372" s="195">
        <f t="shared" si="198"/>
        <v>0</v>
      </c>
      <c r="T372" s="23"/>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tr">
        <f t="shared" si="193"/>
        <v>BoutiqueBénéfices marginaux</v>
      </c>
      <c r="B373" s="24" t="s">
        <v>191</v>
      </c>
      <c r="C373" s="274" t="s">
        <v>118</v>
      </c>
      <c r="D373" s="256"/>
      <c r="E373" s="227"/>
      <c r="F373" s="225">
        <f>+SUMPRODUCT(('Budget original'!$A$8:$A$500=$A373)*('Budget original'!$C$3:$AO$3=F$2),'Budget original'!$C$8:$AO$500)</f>
        <v>0</v>
      </c>
      <c r="G373" s="296"/>
      <c r="H373" s="172"/>
      <c r="I373" s="173">
        <v>0</v>
      </c>
      <c r="J373" s="297"/>
      <c r="K373" s="172"/>
      <c r="L373" s="174">
        <f>SUMIFS(BV_Data_An_Cour!$N:$N,BV_Data_An_Cour!$Q:$Q,$B373,BV_Data_An_Cour!$R:$R,$C373)</f>
        <v>0</v>
      </c>
      <c r="M373" s="297"/>
      <c r="N373" s="298">
        <f t="shared" si="197"/>
        <v>0</v>
      </c>
      <c r="O373" s="297"/>
      <c r="P373" s="172"/>
      <c r="Q373" s="174">
        <v>0</v>
      </c>
      <c r="R373" s="297"/>
      <c r="S373" s="193">
        <f t="shared" si="198"/>
        <v>0</v>
      </c>
      <c r="T373" s="23"/>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tr">
        <f t="shared" si="193"/>
        <v>BoutiqueCsst</v>
      </c>
      <c r="B374" s="24" t="s">
        <v>191</v>
      </c>
      <c r="C374" s="274" t="s">
        <v>119</v>
      </c>
      <c r="D374" s="256"/>
      <c r="E374" s="227"/>
      <c r="F374" s="225">
        <f>+SUMPRODUCT(('Budget original'!$A$8:$A$500=$A374)*('Budget original'!$C$3:$AO$3=F$2),'Budget original'!$C$8:$AO$500)</f>
        <v>0</v>
      </c>
      <c r="G374" s="296"/>
      <c r="H374" s="172"/>
      <c r="I374" s="173">
        <v>0</v>
      </c>
      <c r="J374" s="297"/>
      <c r="K374" s="172"/>
      <c r="L374" s="174">
        <f>SUMIFS(BV_Data_An_Cour!$N:$N,BV_Data_An_Cour!$Q:$Q,$B374,BV_Data_An_Cour!$R:$R,$C374)</f>
        <v>0</v>
      </c>
      <c r="M374" s="297"/>
      <c r="N374" s="298">
        <f t="shared" si="197"/>
        <v>0</v>
      </c>
      <c r="O374" s="297"/>
      <c r="P374" s="172"/>
      <c r="Q374" s="174">
        <v>0</v>
      </c>
      <c r="R374" s="297"/>
      <c r="S374" s="193">
        <f t="shared" si="198"/>
        <v>0</v>
      </c>
      <c r="T374" s="23"/>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64" t="str">
        <f t="shared" si="193"/>
        <v>Boutique[...]</v>
      </c>
      <c r="B375" s="24" t="s">
        <v>191</v>
      </c>
      <c r="C375" s="285" t="s">
        <v>42</v>
      </c>
      <c r="D375" s="286"/>
      <c r="E375" s="287"/>
      <c r="F375" s="225">
        <f>+SUMPRODUCT(('Budget original'!$A$8:$A$500=$A375)*('Budget original'!$C$3:$AO$3=F$2),'Budget original'!$C$8:$AO$500)</f>
        <v>0</v>
      </c>
      <c r="G375" s="303"/>
      <c r="H375" s="302"/>
      <c r="I375" s="173">
        <v>0</v>
      </c>
      <c r="J375" s="304"/>
      <c r="K375" s="302"/>
      <c r="L375" s="174">
        <f>SUMIFS(BV_Data_An_Cour!$N:$N,BV_Data_An_Cour!$Q:$Q,$B375,BV_Data_An_Cour!$R:$R,$C375)</f>
        <v>0</v>
      </c>
      <c r="M375" s="304"/>
      <c r="N375" s="305">
        <f t="shared" si="197"/>
        <v>0</v>
      </c>
      <c r="O375" s="304"/>
      <c r="P375" s="302"/>
      <c r="Q375" s="174">
        <v>0</v>
      </c>
      <c r="R375" s="304"/>
      <c r="S375" s="196">
        <f t="shared" si="198"/>
        <v>0</v>
      </c>
      <c r="T375" s="23"/>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tr">
        <f t="shared" si="193"/>
        <v>BoutiqueTOTAL PERSONNEL</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3">
        <f t="shared" si="198"/>
        <v>0</v>
      </c>
      <c r="T376" s="23"/>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tr">
        <f t="shared" si="193"/>
        <v>BoutiquePublicité 2</v>
      </c>
      <c r="B377" s="24" t="s">
        <v>191</v>
      </c>
      <c r="C377" s="294" t="s">
        <v>121</v>
      </c>
      <c r="D377" s="295"/>
      <c r="E377" s="172"/>
      <c r="F377" s="173">
        <f>+SUMPRODUCT(('Budget original'!$A$8:$A$500=$A377)*('Budget original'!$C$3:$AO$3=F$2),'Budget original'!$C$8:$AO$500)</f>
        <v>0</v>
      </c>
      <c r="G377" s="296"/>
      <c r="H377" s="172"/>
      <c r="I377" s="173">
        <v>0</v>
      </c>
      <c r="J377" s="297"/>
      <c r="K377" s="172"/>
      <c r="L377" s="174">
        <f>SUMIFS(BV_Data_An_Cour!$N:$N,BV_Data_An_Cour!$Q:$Q,$B377,BV_Data_An_Cour!$R:$R,$C377)</f>
        <v>0</v>
      </c>
      <c r="M377" s="297"/>
      <c r="N377" s="298">
        <f t="shared" si="197"/>
        <v>0</v>
      </c>
      <c r="O377" s="297"/>
      <c r="P377" s="172"/>
      <c r="Q377" s="174">
        <v>0</v>
      </c>
      <c r="R377" s="297"/>
      <c r="S377" s="193">
        <f t="shared" si="198"/>
        <v>0</v>
      </c>
      <c r="T377" s="23"/>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tr">
        <f t="shared" si="193"/>
        <v>BoutiqueService gratuit 2</v>
      </c>
      <c r="B378" s="24" t="s">
        <v>191</v>
      </c>
      <c r="C378" s="299" t="s">
        <v>122</v>
      </c>
      <c r="D378" s="295"/>
      <c r="E378" s="172"/>
      <c r="F378" s="173">
        <f>+SUMPRODUCT(('Budget original'!$A$8:$A$500=$A378)*('Budget original'!$C$3:$AO$3=F$2),'Budget original'!$C$8:$AO$500)</f>
        <v>0</v>
      </c>
      <c r="G378" s="296"/>
      <c r="H378" s="172"/>
      <c r="I378" s="173">
        <v>0</v>
      </c>
      <c r="J378" s="297"/>
      <c r="K378" s="172"/>
      <c r="L378" s="174">
        <f>SUMIFS(BV_Data_An_Cour!$N:$N,BV_Data_An_Cour!$Q:$Q,$B378,BV_Data_An_Cour!$R:$R,$C378)</f>
        <v>0</v>
      </c>
      <c r="M378" s="297"/>
      <c r="N378" s="298">
        <f t="shared" si="197"/>
        <v>0</v>
      </c>
      <c r="O378" s="297"/>
      <c r="P378" s="172"/>
      <c r="Q378" s="174">
        <v>0</v>
      </c>
      <c r="R378" s="297"/>
      <c r="S378" s="193">
        <f t="shared" si="198"/>
        <v>0</v>
      </c>
      <c r="T378" s="23"/>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tr">
        <f t="shared" si="193"/>
        <v>BoutiqueFrais véhicules de cie</v>
      </c>
      <c r="B379" s="24" t="s">
        <v>191</v>
      </c>
      <c r="C379" s="300" t="s">
        <v>123</v>
      </c>
      <c r="D379" s="301"/>
      <c r="E379" s="302"/>
      <c r="F379" s="171">
        <f>+SUMPRODUCT(('Budget original'!$A$8:$A$500=$A379)*('Budget original'!$C$3:$AO$3=F$2),'Budget original'!$C$8:$AO$500)</f>
        <v>0</v>
      </c>
      <c r="G379" s="303"/>
      <c r="H379" s="302"/>
      <c r="I379" s="171">
        <v>0</v>
      </c>
      <c r="J379" s="304"/>
      <c r="K379" s="302"/>
      <c r="L379" s="171">
        <f>SUMIFS(BV_Data_An_Cour!$N:$N,BV_Data_An_Cour!$Q:$Q,$B379,BV_Data_An_Cour!$R:$R,$C379)</f>
        <v>0</v>
      </c>
      <c r="M379" s="304"/>
      <c r="N379" s="305">
        <f t="shared" si="197"/>
        <v>0</v>
      </c>
      <c r="O379" s="304"/>
      <c r="P379" s="302"/>
      <c r="Q379" s="171">
        <v>0</v>
      </c>
      <c r="R379" s="304"/>
      <c r="S379" s="196">
        <f t="shared" si="198"/>
        <v>0</v>
      </c>
      <c r="T379" s="23"/>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tr">
        <f t="shared" si="193"/>
        <v>BoutiqueInformatique</v>
      </c>
      <c r="B380" s="24" t="s">
        <v>191</v>
      </c>
      <c r="C380" s="299" t="s">
        <v>124</v>
      </c>
      <c r="D380" s="295"/>
      <c r="E380" s="172"/>
      <c r="F380" s="173">
        <f>+SUMPRODUCT(('Budget original'!$A$8:$A$500=$A380)*('Budget original'!$C$3:$AO$3=F$2),'Budget original'!$C$8:$AO$500)</f>
        <v>0</v>
      </c>
      <c r="G380" s="296"/>
      <c r="H380" s="172"/>
      <c r="I380" s="173">
        <v>0</v>
      </c>
      <c r="J380" s="297"/>
      <c r="K380" s="172"/>
      <c r="L380" s="174">
        <f>SUMIFS(BV_Data_An_Cour!$N:$N,BV_Data_An_Cour!$Q:$Q,$B380,BV_Data_An_Cour!$R:$R,$C380)</f>
        <v>0</v>
      </c>
      <c r="M380" s="297"/>
      <c r="N380" s="298">
        <f t="shared" si="197"/>
        <v>0</v>
      </c>
      <c r="O380" s="297"/>
      <c r="P380" s="172"/>
      <c r="Q380" s="174">
        <v>0</v>
      </c>
      <c r="R380" s="297"/>
      <c r="S380" s="193">
        <f t="shared" si="198"/>
        <v>0</v>
      </c>
      <c r="T380" s="23"/>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tr">
        <f t="shared" si="193"/>
        <v>BoutiqueFrais de déplacement</v>
      </c>
      <c r="B381" s="24" t="s">
        <v>191</v>
      </c>
      <c r="C381" s="299" t="s">
        <v>125</v>
      </c>
      <c r="D381" s="295"/>
      <c r="E381" s="172"/>
      <c r="F381" s="173">
        <f>+SUMPRODUCT(('Budget original'!$A$8:$A$500=$A381)*('Budget original'!$C$3:$AO$3=F$2),'Budget original'!$C$8:$AO$500)</f>
        <v>0</v>
      </c>
      <c r="G381" s="296"/>
      <c r="H381" s="172"/>
      <c r="I381" s="173">
        <v>0</v>
      </c>
      <c r="J381" s="297"/>
      <c r="K381" s="172"/>
      <c r="L381" s="174">
        <f>SUMIFS(BV_Data_An_Cour!$N:$N,BV_Data_An_Cour!$Q:$Q,$B381,BV_Data_An_Cour!$R:$R,$C381)</f>
        <v>0</v>
      </c>
      <c r="M381" s="297"/>
      <c r="N381" s="298">
        <f t="shared" si="197"/>
        <v>0</v>
      </c>
      <c r="O381" s="297"/>
      <c r="P381" s="172"/>
      <c r="Q381" s="174">
        <v>0</v>
      </c>
      <c r="R381" s="297"/>
      <c r="S381" s="193">
        <f t="shared" si="198"/>
        <v>0</v>
      </c>
      <c r="T381" s="23"/>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tr">
        <f t="shared" si="193"/>
        <v>BoutiqueServices extérieurs</v>
      </c>
      <c r="B382" s="24" t="s">
        <v>191</v>
      </c>
      <c r="C382" s="299" t="s">
        <v>126</v>
      </c>
      <c r="D382" s="301"/>
      <c r="E382" s="302"/>
      <c r="F382" s="171">
        <f>+SUMPRODUCT(('Budget original'!$A$8:$A$500=$A382)*('Budget original'!$C$3:$AO$3=F$2),'Budget original'!$C$8:$AO$500)</f>
        <v>0</v>
      </c>
      <c r="G382" s="303"/>
      <c r="H382" s="302"/>
      <c r="I382" s="171">
        <v>0</v>
      </c>
      <c r="J382" s="304"/>
      <c r="K382" s="302"/>
      <c r="L382" s="171">
        <f>SUMIFS(BV_Data_An_Cour!$N:$N,BV_Data_An_Cour!$Q:$Q,$B382,BV_Data_An_Cour!$R:$R,$C382)</f>
        <v>0</v>
      </c>
      <c r="M382" s="304"/>
      <c r="N382" s="305">
        <f t="shared" si="197"/>
        <v>0</v>
      </c>
      <c r="O382" s="304"/>
      <c r="P382" s="302"/>
      <c r="Q382" s="171">
        <v>0</v>
      </c>
      <c r="R382" s="304"/>
      <c r="S382" s="196">
        <f t="shared" si="198"/>
        <v>0</v>
      </c>
      <c r="T382" s="23"/>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tr">
        <f t="shared" si="193"/>
        <v>BoutiqueFournitures autres</v>
      </c>
      <c r="B383" s="24" t="s">
        <v>191</v>
      </c>
      <c r="C383" s="294" t="s">
        <v>127</v>
      </c>
      <c r="D383" s="295"/>
      <c r="E383" s="172"/>
      <c r="F383" s="173">
        <f>+SUMPRODUCT(('Budget original'!$A$8:$A$500=$A383)*('Budget original'!$C$3:$AO$3=F$2),'Budget original'!$C$8:$AO$500)</f>
        <v>0</v>
      </c>
      <c r="G383" s="296"/>
      <c r="H383" s="172"/>
      <c r="I383" s="173">
        <v>0</v>
      </c>
      <c r="J383" s="297"/>
      <c r="K383" s="172"/>
      <c r="L383" s="174">
        <f>SUMIFS(BV_Data_An_Cour!$N:$N,BV_Data_An_Cour!$Q:$Q,$B383,BV_Data_An_Cour!$R:$R,$C383)</f>
        <v>0</v>
      </c>
      <c r="M383" s="297"/>
      <c r="N383" s="298">
        <f t="shared" si="197"/>
        <v>0</v>
      </c>
      <c r="O383" s="297"/>
      <c r="P383" s="172"/>
      <c r="Q383" s="174">
        <v>0</v>
      </c>
      <c r="R383" s="297"/>
      <c r="S383" s="193">
        <f t="shared" si="198"/>
        <v>0</v>
      </c>
      <c r="T383" s="23"/>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tr">
        <f t="shared" si="193"/>
        <v>BoutiqueUniformes</v>
      </c>
      <c r="B384" s="24" t="s">
        <v>191</v>
      </c>
      <c r="C384" s="299" t="s">
        <v>128</v>
      </c>
      <c r="D384" s="295"/>
      <c r="E384" s="172"/>
      <c r="F384" s="173">
        <f>+SUMPRODUCT(('Budget original'!$A$8:$A$500=$A384)*('Budget original'!$C$3:$AO$3=F$2),'Budget original'!$C$8:$AO$500)</f>
        <v>0</v>
      </c>
      <c r="G384" s="296"/>
      <c r="H384" s="172"/>
      <c r="I384" s="173">
        <v>0</v>
      </c>
      <c r="J384" s="297"/>
      <c r="K384" s="172"/>
      <c r="L384" s="174">
        <f>SUMIFS(BV_Data_An_Cour!$N:$N,BV_Data_An_Cour!$Q:$Q,$B384,BV_Data_An_Cour!$R:$R,$C384)</f>
        <v>0</v>
      </c>
      <c r="M384" s="297"/>
      <c r="N384" s="298">
        <f t="shared" si="197"/>
        <v>0</v>
      </c>
      <c r="O384" s="297"/>
      <c r="P384" s="172"/>
      <c r="Q384" s="174">
        <v>0</v>
      </c>
      <c r="R384" s="297"/>
      <c r="S384" s="193">
        <f t="shared" si="198"/>
        <v>0</v>
      </c>
      <c r="T384" s="23"/>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tr">
        <f t="shared" si="193"/>
        <v>BoutiquePapeterie</v>
      </c>
      <c r="B385" s="24" t="s">
        <v>191</v>
      </c>
      <c r="C385" s="299" t="s">
        <v>129</v>
      </c>
      <c r="D385" s="295"/>
      <c r="E385" s="172"/>
      <c r="F385" s="173">
        <f>+SUMPRODUCT(('Budget original'!$A$8:$A$500=$A385)*('Budget original'!$C$3:$AO$3=F$2),'Budget original'!$C$8:$AO$500)</f>
        <v>0</v>
      </c>
      <c r="G385" s="296"/>
      <c r="H385" s="172"/>
      <c r="I385" s="173">
        <v>0</v>
      </c>
      <c r="J385" s="297"/>
      <c r="K385" s="172"/>
      <c r="L385" s="174">
        <f>SUMIFS(BV_Data_An_Cour!$N:$N,BV_Data_An_Cour!$Q:$Q,$B385,BV_Data_An_Cour!$R:$R,$C385)</f>
        <v>0</v>
      </c>
      <c r="M385" s="297"/>
      <c r="N385" s="298">
        <f t="shared" si="197"/>
        <v>0</v>
      </c>
      <c r="O385" s="297"/>
      <c r="P385" s="172"/>
      <c r="Q385" s="174">
        <v>0</v>
      </c>
      <c r="R385" s="297"/>
      <c r="S385" s="193">
        <f t="shared" si="198"/>
        <v>0</v>
      </c>
      <c r="T385" s="23"/>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tr">
        <f t="shared" si="193"/>
        <v>BoutiqueTéléphone</v>
      </c>
      <c r="B386" s="24" t="s">
        <v>191</v>
      </c>
      <c r="C386" s="299" t="s">
        <v>130</v>
      </c>
      <c r="D386" s="295"/>
      <c r="E386" s="172"/>
      <c r="F386" s="173">
        <f>+SUMPRODUCT(('Budget original'!$A$8:$A$500=$A386)*('Budget original'!$C$3:$AO$3=F$2),'Budget original'!$C$8:$AO$500)</f>
        <v>0</v>
      </c>
      <c r="G386" s="296"/>
      <c r="H386" s="172"/>
      <c r="I386" s="173">
        <v>0</v>
      </c>
      <c r="J386" s="297"/>
      <c r="K386" s="172"/>
      <c r="L386" s="174">
        <f>SUMIFS(BV_Data_An_Cour!$N:$N,BV_Data_An_Cour!$Q:$Q,$B386,BV_Data_An_Cour!$R:$R,$C386)</f>
        <v>0</v>
      </c>
      <c r="M386" s="297"/>
      <c r="N386" s="298">
        <f t="shared" si="197"/>
        <v>0</v>
      </c>
      <c r="O386" s="297"/>
      <c r="P386" s="172"/>
      <c r="Q386" s="174">
        <v>0</v>
      </c>
      <c r="R386" s="297"/>
      <c r="S386" s="193">
        <f t="shared" si="198"/>
        <v>0</v>
      </c>
      <c r="T386" s="23"/>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tr">
        <f t="shared" si="193"/>
        <v>BoutiqueFrais postaux</v>
      </c>
      <c r="B387" s="24" t="s">
        <v>191</v>
      </c>
      <c r="C387" s="299" t="s">
        <v>131</v>
      </c>
      <c r="D387" s="295"/>
      <c r="E387" s="172"/>
      <c r="F387" s="173">
        <f>+SUMPRODUCT(('Budget original'!$A$8:$A$500=$A387)*('Budget original'!$C$3:$AO$3=F$2),'Budget original'!$C$8:$AO$500)</f>
        <v>0</v>
      </c>
      <c r="G387" s="296"/>
      <c r="H387" s="172"/>
      <c r="I387" s="173">
        <v>0</v>
      </c>
      <c r="J387" s="297"/>
      <c r="K387" s="172"/>
      <c r="L387" s="174">
        <f>SUMIFS(BV_Data_An_Cour!$N:$N,BV_Data_An_Cour!$Q:$Q,$B387,BV_Data_An_Cour!$R:$R,$C387)</f>
        <v>0</v>
      </c>
      <c r="M387" s="297"/>
      <c r="N387" s="298">
        <f t="shared" si="197"/>
        <v>0</v>
      </c>
      <c r="O387" s="297"/>
      <c r="P387" s="172"/>
      <c r="Q387" s="174">
        <v>0</v>
      </c>
      <c r="R387" s="297"/>
      <c r="S387" s="193">
        <f t="shared" si="198"/>
        <v>0</v>
      </c>
      <c r="T387" s="23"/>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tr">
        <f t="shared" si="193"/>
        <v>BoutiqueDivers</v>
      </c>
      <c r="B388" s="24" t="s">
        <v>191</v>
      </c>
      <c r="C388" s="299" t="s">
        <v>132</v>
      </c>
      <c r="D388" s="295"/>
      <c r="E388" s="172"/>
      <c r="F388" s="173">
        <f>+SUMPRODUCT(('Budget original'!$A$8:$A$500=$A388)*('Budget original'!$C$3:$AO$3=F$2),'Budget original'!$C$8:$AO$500)</f>
        <v>0</v>
      </c>
      <c r="G388" s="296"/>
      <c r="H388" s="172"/>
      <c r="I388" s="173">
        <v>0</v>
      </c>
      <c r="J388" s="297"/>
      <c r="K388" s="172"/>
      <c r="L388" s="174">
        <f>SUMIFS(BV_Data_An_Cour!$N:$N,BV_Data_An_Cour!$Q:$Q,$B388,BV_Data_An_Cour!$R:$R,$C388)</f>
        <v>0</v>
      </c>
      <c r="M388" s="297"/>
      <c r="N388" s="298">
        <f t="shared" si="197"/>
        <v>0</v>
      </c>
      <c r="O388" s="297"/>
      <c r="P388" s="172"/>
      <c r="Q388" s="174">
        <v>0</v>
      </c>
      <c r="R388" s="297"/>
      <c r="S388" s="193">
        <f t="shared" si="198"/>
        <v>0</v>
      </c>
      <c r="T388" s="23"/>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tr">
        <f t="shared" si="193"/>
        <v>BoutiqueFormation</v>
      </c>
      <c r="B389" s="24" t="s">
        <v>191</v>
      </c>
      <c r="C389" s="299" t="s">
        <v>133</v>
      </c>
      <c r="D389" s="295"/>
      <c r="E389" s="172"/>
      <c r="F389" s="173">
        <f>+SUMPRODUCT(('Budget original'!$A$8:$A$500=$A389)*('Budget original'!$C$3:$AO$3=F$2),'Budget original'!$C$8:$AO$500)</f>
        <v>0</v>
      </c>
      <c r="G389" s="296"/>
      <c r="H389" s="172"/>
      <c r="I389" s="173">
        <v>0</v>
      </c>
      <c r="J389" s="297"/>
      <c r="K389" s="172"/>
      <c r="L389" s="174">
        <f>SUMIFS(BV_Data_An_Cour!$N:$N,BV_Data_An_Cour!$Q:$Q,$B389,BV_Data_An_Cour!$R:$R,$C389)</f>
        <v>0</v>
      </c>
      <c r="M389" s="297"/>
      <c r="N389" s="298">
        <f t="shared" si="197"/>
        <v>0</v>
      </c>
      <c r="O389" s="297"/>
      <c r="P389" s="172"/>
      <c r="Q389" s="174">
        <v>0</v>
      </c>
      <c r="R389" s="297"/>
      <c r="S389" s="193">
        <f t="shared" si="198"/>
        <v>0</v>
      </c>
      <c r="T389" s="23"/>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tr">
        <f t="shared" si="193"/>
        <v>BoutiqueFrais bancaires</v>
      </c>
      <c r="B390" s="24" t="s">
        <v>191</v>
      </c>
      <c r="C390" s="299" t="s">
        <v>134</v>
      </c>
      <c r="D390" s="295"/>
      <c r="E390" s="172"/>
      <c r="F390" s="173">
        <f>+SUMPRODUCT(('Budget original'!$A$8:$A$500=$A390)*('Budget original'!$C$3:$AO$3=F$2),'Budget original'!$C$8:$AO$500)</f>
        <v>0</v>
      </c>
      <c r="G390" s="296"/>
      <c r="H390" s="172"/>
      <c r="I390" s="173">
        <v>0</v>
      </c>
      <c r="J390" s="297"/>
      <c r="K390" s="172"/>
      <c r="L390" s="174">
        <f>SUMIFS(BV_Data_An_Cour!$N:$N,BV_Data_An_Cour!$Q:$Q,$B390,BV_Data_An_Cour!$R:$R,$C390)</f>
        <v>0</v>
      </c>
      <c r="M390" s="297"/>
      <c r="N390" s="298">
        <f t="shared" si="197"/>
        <v>0</v>
      </c>
      <c r="O390" s="297"/>
      <c r="P390" s="172"/>
      <c r="Q390" s="174">
        <v>0</v>
      </c>
      <c r="R390" s="297"/>
      <c r="S390" s="193">
        <f t="shared" si="198"/>
        <v>0</v>
      </c>
      <c r="T390" s="23"/>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64" t="str">
        <f t="shared" si="193"/>
        <v>Boutique[...]</v>
      </c>
      <c r="B391" s="24" t="s">
        <v>191</v>
      </c>
      <c r="C391" s="299" t="s">
        <v>42</v>
      </c>
      <c r="D391" s="295"/>
      <c r="E391" s="172"/>
      <c r="F391" s="173">
        <f>+SUMPRODUCT(('Budget original'!$A$8:$A$500=$A391)*('Budget original'!$C$3:$AO$3=F$2),'Budget original'!$C$8:$AO$500)</f>
        <v>0</v>
      </c>
      <c r="G391" s="296"/>
      <c r="H391" s="172"/>
      <c r="I391" s="173">
        <v>0</v>
      </c>
      <c r="J391" s="297"/>
      <c r="K391" s="172"/>
      <c r="L391" s="174">
        <f>SUMIFS(BV_Data_An_Cour!$N:$N,BV_Data_An_Cour!$Q:$Q,$B391,BV_Data_An_Cour!$R:$R,$C391)</f>
        <v>0</v>
      </c>
      <c r="M391" s="297"/>
      <c r="N391" s="298">
        <f t="shared" si="197"/>
        <v>0</v>
      </c>
      <c r="O391" s="297"/>
      <c r="P391" s="172"/>
      <c r="Q391" s="174">
        <v>0</v>
      </c>
      <c r="R391" s="297"/>
      <c r="S391" s="193">
        <f t="shared" si="198"/>
        <v>0</v>
      </c>
      <c r="T391" s="23"/>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64" t="str">
        <f t="shared" si="193"/>
        <v>Boutique[...]</v>
      </c>
      <c r="B392" s="24" t="s">
        <v>191</v>
      </c>
      <c r="C392" s="299" t="s">
        <v>42</v>
      </c>
      <c r="D392" s="295"/>
      <c r="E392" s="172"/>
      <c r="F392" s="173">
        <f>+SUMPRODUCT(('Budget original'!$A$8:$A$500=$A392)*('Budget original'!$C$3:$AO$3=F$2),'Budget original'!$C$8:$AO$500)</f>
        <v>0</v>
      </c>
      <c r="G392" s="296"/>
      <c r="H392" s="172"/>
      <c r="I392" s="173">
        <v>0</v>
      </c>
      <c r="J392" s="297"/>
      <c r="K392" s="172"/>
      <c r="L392" s="174">
        <f>SUMIFS(BV_Data_An_Cour!$N:$N,BV_Data_An_Cour!$Q:$Q,$B392,BV_Data_An_Cour!$R:$R,$C392)</f>
        <v>0</v>
      </c>
      <c r="M392" s="297"/>
      <c r="N392" s="298">
        <f t="shared" si="197"/>
        <v>0</v>
      </c>
      <c r="O392" s="297"/>
      <c r="P392" s="172"/>
      <c r="Q392" s="174">
        <v>0</v>
      </c>
      <c r="R392" s="297"/>
      <c r="S392" s="193">
        <f t="shared" si="198"/>
        <v>0</v>
      </c>
      <c r="T392" s="23"/>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64" t="str">
        <f t="shared" si="193"/>
        <v>Boutique[...]</v>
      </c>
      <c r="B393" s="24" t="s">
        <v>191</v>
      </c>
      <c r="C393" s="299" t="s">
        <v>42</v>
      </c>
      <c r="D393" s="301"/>
      <c r="E393" s="302"/>
      <c r="F393" s="173">
        <f>+SUMPRODUCT(('Budget original'!$A$8:$A$500=$A393)*('Budget original'!$C$3:$AO$3=F$2),'Budget original'!$C$8:$AO$500)</f>
        <v>0</v>
      </c>
      <c r="G393" s="303"/>
      <c r="H393" s="302"/>
      <c r="I393" s="173">
        <v>0</v>
      </c>
      <c r="J393" s="304"/>
      <c r="K393" s="302"/>
      <c r="L393" s="174">
        <f>SUMIFS(BV_Data_An_Cour!$N:$N,BV_Data_An_Cour!$Q:$Q,$B393,BV_Data_An_Cour!$R:$R,$C393)</f>
        <v>0</v>
      </c>
      <c r="M393" s="304"/>
      <c r="N393" s="305">
        <f t="shared" si="197"/>
        <v>0</v>
      </c>
      <c r="O393" s="304"/>
      <c r="P393" s="302"/>
      <c r="Q393" s="174">
        <v>0</v>
      </c>
      <c r="R393" s="304"/>
      <c r="S393" s="196">
        <f t="shared" si="198"/>
        <v>0</v>
      </c>
      <c r="T393" s="23"/>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59"/>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3">
        <f>+SUM(S377:S393)</f>
        <v>0</v>
      </c>
      <c r="T394" s="23"/>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59"/>
      <c r="C395" s="258"/>
      <c r="D395" s="172"/>
      <c r="E395" s="172"/>
      <c r="F395" s="306"/>
      <c r="G395" s="297"/>
      <c r="H395" s="172"/>
      <c r="I395" s="306"/>
      <c r="J395" s="297"/>
      <c r="K395" s="172"/>
      <c r="L395" s="306"/>
      <c r="M395" s="307"/>
      <c r="N395" s="308"/>
      <c r="O395" s="297"/>
      <c r="P395" s="172"/>
      <c r="Q395" s="306">
        <v>0</v>
      </c>
      <c r="R395" s="297"/>
      <c r="S395" s="309"/>
      <c r="T395" s="79"/>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59"/>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59"/>
      <c r="C397" s="258"/>
      <c r="D397" s="172"/>
      <c r="E397" s="172"/>
      <c r="F397" s="298"/>
      <c r="G397" s="297"/>
      <c r="H397" s="172"/>
      <c r="I397" s="298"/>
      <c r="J397" s="297"/>
      <c r="K397" s="172"/>
      <c r="L397" s="298"/>
      <c r="M397" s="307"/>
      <c r="N397" s="308"/>
      <c r="O397" s="297"/>
      <c r="P397" s="172"/>
      <c r="Q397" s="298">
        <v>0</v>
      </c>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59"/>
      <c r="C398" s="311" t="s">
        <v>143</v>
      </c>
      <c r="D398" s="312"/>
      <c r="E398" s="312"/>
      <c r="F398" s="313">
        <f>F361-F396</f>
        <v>0</v>
      </c>
      <c r="G398" s="314"/>
      <c r="H398" s="312"/>
      <c r="I398" s="313">
        <f>I361-I396</f>
        <v>0</v>
      </c>
      <c r="J398" s="315"/>
      <c r="K398" s="316"/>
      <c r="L398" s="313">
        <f>L361-L396</f>
        <v>0</v>
      </c>
      <c r="M398" s="314"/>
      <c r="N398" s="313">
        <f>L398-I398</f>
        <v>0</v>
      </c>
      <c r="O398" s="315"/>
      <c r="P398" s="316"/>
      <c r="Q398" s="313">
        <v>0</v>
      </c>
      <c r="R398" s="315"/>
      <c r="S398" s="317">
        <f>L398-Q398</f>
        <v>0</v>
      </c>
      <c r="T398" s="23"/>
      <c r="U398" s="23"/>
      <c r="V398" s="25"/>
      <c r="W398" s="23"/>
      <c r="X398" s="23"/>
      <c r="Y398" s="23"/>
      <c r="Z398" s="23"/>
      <c r="AA398" s="23"/>
      <c r="AB398" s="23"/>
      <c r="AC398" s="23"/>
      <c r="AD398" s="1233"/>
      <c r="AE398" s="23"/>
      <c r="AF398" s="23"/>
      <c r="AG398" s="23"/>
      <c r="AH398" s="23"/>
      <c r="AI398" s="23"/>
      <c r="AJ398" s="23"/>
      <c r="AK398" s="23"/>
      <c r="AL398" s="23"/>
      <c r="AM398" s="23"/>
      <c r="AN398" s="23"/>
    </row>
    <row r="399" spans="1:40" ht="15.75" customHeight="1" thickTop="1">
      <c r="B399" s="159"/>
      <c r="C399" s="235"/>
      <c r="D399" s="256"/>
      <c r="E399" s="227"/>
      <c r="F399" s="233"/>
      <c r="G399" s="295"/>
      <c r="H399" s="172"/>
      <c r="I399" s="1062"/>
      <c r="J399" s="363"/>
      <c r="K399" s="363"/>
      <c r="L399" s="1062"/>
      <c r="M399" s="363"/>
      <c r="N399" s="1062"/>
      <c r="O399" s="363"/>
      <c r="P399" s="363"/>
      <c r="Q399" s="1062"/>
      <c r="R399" s="363"/>
      <c r="S399" s="1062"/>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59"/>
      <c r="C400" s="25"/>
      <c r="D400" s="25"/>
      <c r="E400" s="25"/>
      <c r="F400" s="25"/>
      <c r="G400" s="25"/>
      <c r="H400" s="25"/>
      <c r="I400" s="25"/>
      <c r="J400" s="37"/>
      <c r="K400" s="25"/>
      <c r="L400" s="23"/>
      <c r="M400" s="25"/>
      <c r="N400" s="25"/>
      <c r="O400" s="25"/>
      <c r="P400" s="25"/>
      <c r="Q400" s="25"/>
      <c r="R400" s="23"/>
      <c r="S400" s="1063"/>
      <c r="T400" s="1063"/>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59"/>
      <c r="C401" s="23"/>
      <c r="D401" s="23"/>
      <c r="E401" s="23"/>
      <c r="F401" s="23"/>
      <c r="G401" s="23"/>
      <c r="H401" s="23"/>
      <c r="I401" s="23"/>
      <c r="J401" s="23"/>
      <c r="K401" s="23"/>
      <c r="L401" s="23"/>
      <c r="M401" s="1064"/>
      <c r="N401" s="1064"/>
      <c r="O401" s="1064"/>
      <c r="P401" s="23"/>
      <c r="Q401" s="1068"/>
      <c r="R401" s="23"/>
      <c r="S401" s="947"/>
      <c r="T401" s="947"/>
      <c r="U401" s="1077"/>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AAJ, Mai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59"/>
      <c r="C402" s="23"/>
      <c r="D402" s="23"/>
      <c r="E402" s="23"/>
      <c r="F402" s="23"/>
      <c r="G402" s="23"/>
      <c r="H402" s="23"/>
      <c r="I402" s="23"/>
      <c r="J402" s="23"/>
      <c r="K402" s="23"/>
      <c r="L402" s="23"/>
      <c r="M402" s="1064"/>
      <c r="N402" s="1064"/>
      <c r="O402" s="1064"/>
      <c r="P402" s="1065"/>
      <c r="Q402" s="1068"/>
      <c r="R402" s="23"/>
      <c r="S402" s="1066"/>
      <c r="T402" s="1066"/>
      <c r="U402" s="1077"/>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tr">
        <f>+U403&amp;V403</f>
        <v/>
      </c>
      <c r="B403" s="159"/>
      <c r="C403" s="23"/>
      <c r="D403" s="23"/>
      <c r="E403" s="23"/>
      <c r="F403" s="23"/>
      <c r="G403" s="23"/>
      <c r="H403" s="23"/>
      <c r="I403" s="23"/>
      <c r="J403" s="23"/>
      <c r="K403" s="23"/>
      <c r="L403" s="23"/>
      <c r="M403" s="1064"/>
      <c r="N403" s="1064"/>
      <c r="O403" s="1064"/>
      <c r="P403" s="1065"/>
      <c r="Q403" s="1068"/>
      <c r="R403" s="23"/>
      <c r="S403" s="1066"/>
      <c r="T403" s="1066"/>
      <c r="U403" s="1077"/>
      <c r="V403" s="434"/>
      <c r="W403" s="960"/>
      <c r="X403" s="1434" t="s">
        <v>194</v>
      </c>
      <c r="Y403" s="1432"/>
      <c r="Z403" s="1435"/>
      <c r="AA403" s="1431" t="s">
        <v>145</v>
      </c>
      <c r="AB403" s="1432"/>
      <c r="AC403" s="1435"/>
      <c r="AD403" s="1431" t="s">
        <v>79</v>
      </c>
      <c r="AE403" s="1432"/>
      <c r="AF403" s="1435"/>
      <c r="AG403" s="1431" t="s">
        <v>195</v>
      </c>
      <c r="AH403" s="1432"/>
      <c r="AI403" s="1435"/>
      <c r="AJ403" s="1431" t="s">
        <v>196</v>
      </c>
      <c r="AK403" s="1432"/>
      <c r="AL403" s="1432"/>
      <c r="AM403" s="1431" t="s">
        <v>197</v>
      </c>
      <c r="AN403" s="1432"/>
      <c r="AO403" s="1433"/>
      <c r="AP403" s="79"/>
      <c r="AQ403" s="79" t="s">
        <v>2959</v>
      </c>
      <c r="AR403" s="79" t="s">
        <v>2960</v>
      </c>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tr">
        <f t="shared" ref="A404:A438" si="199">+U404&amp;V404</f>
        <v/>
      </c>
      <c r="B404" s="159"/>
      <c r="C404" s="23"/>
      <c r="D404" s="23"/>
      <c r="E404" s="23"/>
      <c r="F404" s="23"/>
      <c r="G404" s="23"/>
      <c r="H404" s="23"/>
      <c r="I404" s="23"/>
      <c r="J404" s="23"/>
      <c r="K404" s="23"/>
      <c r="L404" s="947"/>
      <c r="M404" s="1067"/>
      <c r="N404" s="23"/>
      <c r="O404" s="1067"/>
      <c r="P404" s="1065"/>
      <c r="Q404" s="1068"/>
      <c r="R404" s="23"/>
      <c r="S404" s="1066"/>
      <c r="T404" s="1066"/>
      <c r="U404" s="23"/>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tr">
        <f t="shared" si="199"/>
        <v>Ventes nettes</v>
      </c>
      <c r="B405" s="159"/>
      <c r="C405" s="23"/>
      <c r="D405" s="23"/>
      <c r="E405" s="23"/>
      <c r="F405" s="23"/>
      <c r="G405" s="23"/>
      <c r="H405" s="23"/>
      <c r="I405" s="23"/>
      <c r="J405" s="1064"/>
      <c r="K405" s="1077"/>
      <c r="L405" s="23"/>
      <c r="M405" s="1064"/>
      <c r="N405" s="1069"/>
      <c r="O405" s="1069"/>
      <c r="P405" s="1065"/>
      <c r="Q405" s="1068"/>
      <c r="R405" s="79"/>
      <c r="S405" s="1066"/>
      <c r="T405" s="1066"/>
      <c r="U405" s="79"/>
      <c r="V405" s="300" t="s">
        <v>88</v>
      </c>
      <c r="W405" s="439"/>
      <c r="X405" s="439"/>
      <c r="Y405" s="439"/>
      <c r="Z405" s="440">
        <f>F5+F93+E193+E249+D313+D361</f>
        <v>22595507.163296882</v>
      </c>
      <c r="AA405" s="439"/>
      <c r="AB405" s="439"/>
      <c r="AC405" s="440">
        <f>I5+I93+H193+H249+G313+G361</f>
        <v>22595507.163296882</v>
      </c>
      <c r="AD405" s="441"/>
      <c r="AE405" s="442"/>
      <c r="AF405" s="442">
        <f>L5+L93+K193+K249+J313+J361</f>
        <v>19603770.829999998</v>
      </c>
      <c r="AG405" s="441"/>
      <c r="AH405" s="442"/>
      <c r="AI405" s="443"/>
      <c r="AJ405" s="441"/>
      <c r="AK405" s="442"/>
      <c r="AL405" s="442">
        <f>Q5+Q93+P193+P249+O313+O361</f>
        <v>22210172.740000002</v>
      </c>
      <c r="AM405" s="444"/>
      <c r="AN405" s="442"/>
      <c r="AO405" s="445"/>
      <c r="AP405" s="79"/>
      <c r="AQ405" s="442">
        <v>58622946.420000002</v>
      </c>
      <c r="AR405" s="442">
        <f>AF405-AQ405</f>
        <v>-39019175.590000004</v>
      </c>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tr">
        <f t="shared" si="199"/>
        <v>Profit brut</v>
      </c>
      <c r="B406" s="159"/>
      <c r="C406" s="23"/>
      <c r="D406" s="23"/>
      <c r="E406" s="23"/>
      <c r="F406" s="23"/>
      <c r="G406" s="23"/>
      <c r="H406" s="23"/>
      <c r="I406" s="23"/>
      <c r="J406" s="1064"/>
      <c r="K406" s="1077"/>
      <c r="L406" s="23"/>
      <c r="M406" s="1064"/>
      <c r="N406" s="1064"/>
      <c r="O406" s="1064"/>
      <c r="P406" s="1065"/>
      <c r="Q406" s="1068"/>
      <c r="R406" s="79"/>
      <c r="S406" s="947"/>
      <c r="T406" s="947"/>
      <c r="U406" s="1077"/>
      <c r="V406" s="446" t="s">
        <v>205</v>
      </c>
      <c r="W406" s="81"/>
      <c r="X406" s="81"/>
      <c r="Y406" s="81"/>
      <c r="Z406" s="82">
        <f>F27+F107+F193+F249+F313+F361</f>
        <v>3041533.6802357105</v>
      </c>
      <c r="AA406" s="81"/>
      <c r="AB406" s="81"/>
      <c r="AC406" s="82">
        <f>I27+I107+I193+I249+I313+I361</f>
        <v>3041533.6802357105</v>
      </c>
      <c r="AD406" s="83"/>
      <c r="AE406" s="84"/>
      <c r="AF406" s="84">
        <f>L27+L107+L193+L249+L313+L361</f>
        <v>3064542.9899999984</v>
      </c>
      <c r="AG406" s="83"/>
      <c r="AH406" s="84">
        <f>AF406-AC406</f>
        <v>23009.3097642879</v>
      </c>
      <c r="AI406" s="85">
        <f>AH406/AC406</f>
        <v>7.5650353352341446E-3</v>
      </c>
      <c r="AJ406" s="83"/>
      <c r="AK406" s="84"/>
      <c r="AL406" s="84">
        <f>Q27+Q107+Q193+Q249+Q313+Q361</f>
        <v>2579134.2000000007</v>
      </c>
      <c r="AM406" s="86"/>
      <c r="AN406" s="84">
        <f>AF406-AL406</f>
        <v>485408.78999999771</v>
      </c>
      <c r="AO406" s="447">
        <f>IF(AL406=0,0,AN406/AL406)</f>
        <v>0.18820610032622481</v>
      </c>
      <c r="AP406" s="101">
        <f>AF406-Print_Mois!AF406</f>
        <v>2314617.4999999981</v>
      </c>
      <c r="AQ406" s="84">
        <v>7158700.5199999996</v>
      </c>
      <c r="AR406" s="84">
        <f>AF406-AQ406</f>
        <v>-4094157.5300000012</v>
      </c>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tr">
        <f t="shared" si="199"/>
        <v>DÉPENSES</v>
      </c>
      <c r="B407" s="159"/>
      <c r="C407" s="23"/>
      <c r="D407" s="23"/>
      <c r="E407" s="23"/>
      <c r="F407" s="23"/>
      <c r="G407" s="23"/>
      <c r="H407" s="23"/>
      <c r="I407" s="23"/>
      <c r="J407" s="57"/>
      <c r="K407" s="1077"/>
      <c r="L407" s="23"/>
      <c r="M407" s="1064"/>
      <c r="N407" s="1064"/>
      <c r="O407" s="1064"/>
      <c r="P407" s="1065"/>
      <c r="Q407" s="1068"/>
      <c r="R407" s="79"/>
      <c r="S407" s="1066"/>
      <c r="T407" s="1066"/>
      <c r="U407" s="1077"/>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101">
        <f>AF407-Print_Mois!AF407</f>
        <v>0</v>
      </c>
      <c r="AQ407" s="451"/>
      <c r="AR407" s="451"/>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tr">
        <f t="shared" si="199"/>
        <v>Comm. vendeurs</v>
      </c>
      <c r="B408" s="159"/>
      <c r="C408" s="23"/>
      <c r="D408" s="23"/>
      <c r="E408" s="23"/>
      <c r="F408" s="23"/>
      <c r="G408" s="23"/>
      <c r="H408" s="23"/>
      <c r="I408" s="23"/>
      <c r="J408" s="1064"/>
      <c r="K408" s="1077"/>
      <c r="L408" s="23"/>
      <c r="M408" s="1064"/>
      <c r="N408" s="1064"/>
      <c r="O408" s="1064"/>
      <c r="P408" s="1065"/>
      <c r="Q408" s="1068"/>
      <c r="R408" s="79"/>
      <c r="S408" s="1066"/>
      <c r="T408" s="1066"/>
      <c r="U408" s="1077"/>
      <c r="V408" s="299" t="s">
        <v>103</v>
      </c>
      <c r="W408" s="454" t="s">
        <v>207</v>
      </c>
      <c r="X408" s="449"/>
      <c r="Y408" s="455">
        <f t="shared" ref="Y408:Y414" si="200">Z408/(D$13+D$96)</f>
        <v>620.54684962739884</v>
      </c>
      <c r="Z408" s="87">
        <f t="shared" ref="Z408:Z417" si="201">+SUMIF($C:$C,$V408,F:F)</f>
        <v>304036.48256447201</v>
      </c>
      <c r="AA408" s="449"/>
      <c r="AB408" s="455">
        <f t="shared" ref="AB408:AB414" si="202">IF(AC408=0,0,AC408/(G$13+G$96))</f>
        <v>620.54684962739884</v>
      </c>
      <c r="AC408" s="87">
        <f t="shared" ref="AC408:AC417" si="203">+SUMIF($C:$C,$V408,I:I)</f>
        <v>304036.48256447201</v>
      </c>
      <c r="AD408" s="456"/>
      <c r="AE408" s="455">
        <f t="shared" ref="AE408:AE413" si="204">IF(AF408=0,0,AF408/(J$13+J$96))</f>
        <v>1052.1460634920636</v>
      </c>
      <c r="AF408" s="87">
        <f t="shared" ref="AF408:AF417" si="205">+SUMIF($C:$C,$V408,L:L)</f>
        <v>331426.01</v>
      </c>
      <c r="AG408" s="450">
        <f t="shared" ref="AG408:AH413" si="206">AE408-AB408</f>
        <v>431.59921386466476</v>
      </c>
      <c r="AH408" s="451">
        <f t="shared" si="206"/>
        <v>27389.527435527998</v>
      </c>
      <c r="AI408" s="452">
        <f>IF(AC408=0,0,AH408/AC408)</f>
        <v>9.0086318603952248E-2</v>
      </c>
      <c r="AJ408" s="456"/>
      <c r="AK408" s="451">
        <f t="shared" ref="AK408:AK414" si="207">AL408/(O$13+O$96)</f>
        <v>590.31552272727276</v>
      </c>
      <c r="AL408" s="87">
        <f t="shared" ref="AL408:AL417" si="208">+SUMIF($C:$C,$V408,Q:Q)</f>
        <v>259738.83000000002</v>
      </c>
      <c r="AM408" s="453">
        <f t="shared" ref="AM408:AM413" si="209">AE408-Y408</f>
        <v>431.59921386466476</v>
      </c>
      <c r="AN408" s="451">
        <f t="shared" ref="AN408:AN430" si="210">AF408-AL408</f>
        <v>71687.179999999993</v>
      </c>
      <c r="AO408" s="208">
        <f>IF(AL408=0,0,AN408/AL408)</f>
        <v>0.27599716222637943</v>
      </c>
      <c r="AP408" s="101">
        <f>AF408-Print_Mois!AF408</f>
        <v>254024.68</v>
      </c>
      <c r="AQ408" s="87">
        <v>735672.45</v>
      </c>
      <c r="AR408" s="87">
        <f t="shared" ref="AR408:AR465" si="211">AF408-AQ408</f>
        <v>-404246.43999999994</v>
      </c>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tr">
        <f t="shared" si="199"/>
        <v>Comm. F&amp;I</v>
      </c>
      <c r="B409" s="159"/>
      <c r="C409" s="23"/>
      <c r="D409" s="23"/>
      <c r="E409" s="23"/>
      <c r="F409" s="23"/>
      <c r="G409" s="23"/>
      <c r="H409" s="23"/>
      <c r="I409" s="23"/>
      <c r="J409" s="1064"/>
      <c r="K409" s="1077"/>
      <c r="L409" s="947"/>
      <c r="M409" s="1067"/>
      <c r="N409" s="1067"/>
      <c r="O409" s="1067"/>
      <c r="P409" s="947"/>
      <c r="Q409" s="1068"/>
      <c r="R409" s="79"/>
      <c r="S409" s="1066"/>
      <c r="T409" s="1066"/>
      <c r="U409" s="23"/>
      <c r="V409" s="300" t="s">
        <v>104</v>
      </c>
      <c r="W409" s="457" t="s">
        <v>208</v>
      </c>
      <c r="X409" s="439"/>
      <c r="Y409" s="458">
        <f t="shared" si="200"/>
        <v>387.31931324274433</v>
      </c>
      <c r="Z409" s="440">
        <f t="shared" si="201"/>
        <v>189766.81889259169</v>
      </c>
      <c r="AA409" s="439"/>
      <c r="AB409" s="458">
        <f t="shared" si="202"/>
        <v>387.31931324274433</v>
      </c>
      <c r="AC409" s="440">
        <f t="shared" si="203"/>
        <v>189766.81889259169</v>
      </c>
      <c r="AD409" s="459"/>
      <c r="AE409" s="458">
        <f t="shared" si="204"/>
        <v>632.18822222222218</v>
      </c>
      <c r="AF409" s="440">
        <f t="shared" si="205"/>
        <v>199139.28999999998</v>
      </c>
      <c r="AG409" s="441">
        <f t="shared" si="206"/>
        <v>244.86890897947785</v>
      </c>
      <c r="AH409" s="442">
        <f t="shared" si="206"/>
        <v>9372.4711074082879</v>
      </c>
      <c r="AI409" s="460">
        <f t="shared" ref="AI409:AI413" si="212">IF(AC409=0,0,AH409/AC409)</f>
        <v>4.9389409392550973E-2</v>
      </c>
      <c r="AJ409" s="459"/>
      <c r="AK409" s="442">
        <f t="shared" si="207"/>
        <v>359.27402272727272</v>
      </c>
      <c r="AL409" s="440">
        <f t="shared" si="208"/>
        <v>158080.57</v>
      </c>
      <c r="AM409" s="444">
        <f t="shared" si="209"/>
        <v>244.86890897947785</v>
      </c>
      <c r="AN409" s="442">
        <f t="shared" si="210"/>
        <v>41058.719999999972</v>
      </c>
      <c r="AO409" s="209">
        <f t="shared" ref="AO409:AO413" si="213">IF(AL409=0,0,AN409/AL409)</f>
        <v>0.25973286913122828</v>
      </c>
      <c r="AP409" s="101">
        <f>AF409-Print_Mois!AF409</f>
        <v>150504.45999999996</v>
      </c>
      <c r="AQ409" s="440">
        <v>455378.20999999996</v>
      </c>
      <c r="AR409" s="440">
        <f t="shared" si="211"/>
        <v>-256238.91999999998</v>
      </c>
      <c r="AS409" s="79"/>
      <c r="AT409" s="79"/>
      <c r="AU409" s="79"/>
      <c r="AV409" s="79"/>
      <c r="AW409" s="79"/>
      <c r="AX409" s="79"/>
      <c r="AY409" s="79"/>
      <c r="AZ409" s="79"/>
      <c r="BA409" s="79"/>
      <c r="BB409" s="79"/>
      <c r="BC409" s="79"/>
      <c r="BD409" s="79"/>
      <c r="BE409" s="79"/>
      <c r="BF409" s="79"/>
      <c r="BG409" s="79"/>
      <c r="BH409" s="79"/>
      <c r="BI409" s="79"/>
    </row>
    <row r="410" spans="1:61" ht="15.75" customHeight="1">
      <c r="A410" s="564" t="str">
        <f t="shared" si="199"/>
        <v>Frais de livraison</v>
      </c>
      <c r="B410" s="159"/>
      <c r="C410" s="23"/>
      <c r="D410" s="23"/>
      <c r="E410" s="23"/>
      <c r="F410" s="23"/>
      <c r="G410" s="23"/>
      <c r="H410" s="23"/>
      <c r="I410" s="23"/>
      <c r="J410" s="1064"/>
      <c r="K410" s="23"/>
      <c r="L410" s="23"/>
      <c r="M410" s="1067"/>
      <c r="N410" s="1069"/>
      <c r="O410" s="1069"/>
      <c r="P410" s="1065"/>
      <c r="Q410" s="1068"/>
      <c r="R410" s="79"/>
      <c r="S410" s="1066"/>
      <c r="T410" s="1066"/>
      <c r="U410" s="79"/>
      <c r="V410" s="299" t="s">
        <v>105</v>
      </c>
      <c r="W410" s="454" t="s">
        <v>209</v>
      </c>
      <c r="X410" s="449"/>
      <c r="Y410" s="455">
        <f t="shared" si="200"/>
        <v>139.06309954777271</v>
      </c>
      <c r="Z410" s="87">
        <f t="shared" si="201"/>
        <v>68133.865583887164</v>
      </c>
      <c r="AA410" s="449"/>
      <c r="AB410" s="455">
        <f t="shared" si="202"/>
        <v>139.06309954777271</v>
      </c>
      <c r="AC410" s="87">
        <f t="shared" si="203"/>
        <v>68133.865583887164</v>
      </c>
      <c r="AD410" s="456"/>
      <c r="AE410" s="455">
        <f t="shared" si="204"/>
        <v>88.182222222222222</v>
      </c>
      <c r="AF410" s="87">
        <f t="shared" si="205"/>
        <v>27777.4</v>
      </c>
      <c r="AG410" s="450">
        <f t="shared" si="206"/>
        <v>-50.880877325550486</v>
      </c>
      <c r="AH410" s="451">
        <f t="shared" si="206"/>
        <v>-40356.465583887162</v>
      </c>
      <c r="AI410" s="452">
        <f t="shared" si="212"/>
        <v>-0.5923114039992321</v>
      </c>
      <c r="AJ410" s="456"/>
      <c r="AK410" s="451">
        <f t="shared" si="207"/>
        <v>119.39815909090908</v>
      </c>
      <c r="AL410" s="87">
        <f t="shared" si="208"/>
        <v>52535.189999999995</v>
      </c>
      <c r="AM410" s="453">
        <f t="shared" si="209"/>
        <v>-50.880877325550486</v>
      </c>
      <c r="AN410" s="451">
        <f t="shared" si="210"/>
        <v>-24757.789999999994</v>
      </c>
      <c r="AO410" s="208">
        <f t="shared" si="213"/>
        <v>-0.47126107281614465</v>
      </c>
      <c r="AP410" s="101">
        <f>AF410-Print_Mois!AF410</f>
        <v>22949.29</v>
      </c>
      <c r="AQ410" s="87">
        <v>154370.49</v>
      </c>
      <c r="AR410" s="87">
        <f t="shared" si="211"/>
        <v>-126593.09</v>
      </c>
      <c r="AS410" s="79"/>
      <c r="AT410" s="79"/>
      <c r="AU410" s="79"/>
      <c r="AV410" s="79"/>
      <c r="AW410" s="79"/>
      <c r="AX410" s="79"/>
      <c r="AY410" s="79"/>
      <c r="AZ410" s="79"/>
      <c r="BA410" s="79"/>
      <c r="BB410" s="79"/>
      <c r="BC410" s="79"/>
      <c r="BD410" s="79"/>
      <c r="BE410" s="79"/>
      <c r="BF410" s="79"/>
      <c r="BG410" s="79"/>
      <c r="BH410" s="79"/>
      <c r="BI410" s="79"/>
    </row>
    <row r="411" spans="1:61" ht="15.75" customHeight="1">
      <c r="A411" s="564" t="str">
        <f t="shared" si="199"/>
        <v>Service gratuit 1</v>
      </c>
      <c r="B411" s="159"/>
      <c r="C411" s="23"/>
      <c r="D411" s="23"/>
      <c r="E411" s="23"/>
      <c r="F411" s="23"/>
      <c r="G411" s="23"/>
      <c r="H411" s="23"/>
      <c r="I411" s="23"/>
      <c r="J411" s="23"/>
      <c r="K411" s="23"/>
      <c r="L411" s="23"/>
      <c r="M411" s="1064"/>
      <c r="N411" s="1064"/>
      <c r="O411" s="1064"/>
      <c r="P411" s="1065"/>
      <c r="Q411" s="1068"/>
      <c r="R411" s="79"/>
      <c r="S411" s="947"/>
      <c r="T411" s="947"/>
      <c r="U411" s="1077"/>
      <c r="V411" s="299" t="s">
        <v>106</v>
      </c>
      <c r="W411" s="454" t="s">
        <v>210</v>
      </c>
      <c r="X411" s="449"/>
      <c r="Y411" s="455">
        <f t="shared" si="200"/>
        <v>18.005224661743068</v>
      </c>
      <c r="Z411" s="87">
        <f t="shared" si="201"/>
        <v>8821.6468703795763</v>
      </c>
      <c r="AA411" s="449"/>
      <c r="AB411" s="455">
        <f t="shared" si="202"/>
        <v>18.005224661743068</v>
      </c>
      <c r="AC411" s="87">
        <f t="shared" si="203"/>
        <v>8821.6468703795763</v>
      </c>
      <c r="AD411" s="456"/>
      <c r="AE411" s="455">
        <f t="shared" si="204"/>
        <v>5.076603174603175</v>
      </c>
      <c r="AF411" s="87">
        <f t="shared" si="205"/>
        <v>1599.13</v>
      </c>
      <c r="AG411" s="450">
        <f t="shared" si="206"/>
        <v>-12.928621487139893</v>
      </c>
      <c r="AH411" s="451">
        <f t="shared" si="206"/>
        <v>-7222.5168703795762</v>
      </c>
      <c r="AI411" s="452">
        <f t="shared" si="212"/>
        <v>-0.81872659113465585</v>
      </c>
      <c r="AJ411" s="456"/>
      <c r="AK411" s="451">
        <f t="shared" si="207"/>
        <v>7.2946363636363643</v>
      </c>
      <c r="AL411" s="87">
        <f t="shared" si="208"/>
        <v>3209.6400000000003</v>
      </c>
      <c r="AM411" s="453">
        <f t="shared" si="209"/>
        <v>-12.928621487139893</v>
      </c>
      <c r="AN411" s="451">
        <f t="shared" si="210"/>
        <v>-1610.5100000000002</v>
      </c>
      <c r="AO411" s="210">
        <f t="shared" si="213"/>
        <v>-0.50177278448673368</v>
      </c>
      <c r="AP411" s="101">
        <f>AF411-Print_Mois!AF411</f>
        <v>1599.13</v>
      </c>
      <c r="AQ411" s="87">
        <v>30213.78</v>
      </c>
      <c r="AR411" s="87">
        <f t="shared" si="211"/>
        <v>-28614.649999999998</v>
      </c>
      <c r="AS411" s="79"/>
      <c r="AT411" s="79"/>
      <c r="AU411" s="79"/>
      <c r="AV411" s="79"/>
      <c r="AW411" s="79"/>
      <c r="AX411" s="79"/>
      <c r="AY411" s="79"/>
      <c r="AZ411" s="79"/>
      <c r="BA411" s="79"/>
      <c r="BB411" s="79"/>
      <c r="BC411" s="79"/>
      <c r="BD411" s="79"/>
      <c r="BE411" s="79"/>
      <c r="BF411" s="79"/>
      <c r="BG411" s="79"/>
      <c r="BH411" s="79"/>
      <c r="BI411" s="79"/>
    </row>
    <row r="412" spans="1:61" ht="15.75" customHeight="1">
      <c r="A412" s="564" t="str">
        <f t="shared" si="199"/>
        <v>Entretien stock</v>
      </c>
      <c r="B412" s="159"/>
      <c r="C412" s="23"/>
      <c r="D412" s="23"/>
      <c r="E412" s="23"/>
      <c r="F412" s="23"/>
      <c r="G412" s="23"/>
      <c r="H412" s="23"/>
      <c r="I412" s="23"/>
      <c r="J412" s="23"/>
      <c r="K412" s="23"/>
      <c r="L412" s="23"/>
      <c r="M412" s="1064"/>
      <c r="N412" s="1064"/>
      <c r="O412" s="1064"/>
      <c r="P412" s="1065"/>
      <c r="Q412" s="1068"/>
      <c r="R412" s="79"/>
      <c r="S412" s="1066"/>
      <c r="T412" s="1066"/>
      <c r="U412" s="1077"/>
      <c r="V412" s="300" t="s">
        <v>107</v>
      </c>
      <c r="W412" s="457"/>
      <c r="X412" s="439"/>
      <c r="Y412" s="458">
        <f t="shared" si="200"/>
        <v>46.444482906427815</v>
      </c>
      <c r="Z412" s="440">
        <f t="shared" si="201"/>
        <v>22755.440988661474</v>
      </c>
      <c r="AA412" s="439"/>
      <c r="AB412" s="458">
        <f t="shared" si="202"/>
        <v>46.444482906427815</v>
      </c>
      <c r="AC412" s="440">
        <f t="shared" si="203"/>
        <v>22755.440988661474</v>
      </c>
      <c r="AD412" s="459"/>
      <c r="AE412" s="458">
        <f t="shared" si="204"/>
        <v>133.30450793650792</v>
      </c>
      <c r="AF412" s="440">
        <f t="shared" si="205"/>
        <v>41990.92</v>
      </c>
      <c r="AG412" s="441">
        <f t="shared" si="206"/>
        <v>86.860025030080095</v>
      </c>
      <c r="AH412" s="442">
        <f t="shared" si="206"/>
        <v>19235.479011338524</v>
      </c>
      <c r="AI412" s="460">
        <f t="shared" si="212"/>
        <v>0.84531339212116929</v>
      </c>
      <c r="AJ412" s="459"/>
      <c r="AK412" s="442">
        <f t="shared" si="207"/>
        <v>47.854090909090907</v>
      </c>
      <c r="AL412" s="440">
        <f t="shared" si="208"/>
        <v>21055.8</v>
      </c>
      <c r="AM412" s="444">
        <f t="shared" si="209"/>
        <v>86.860025030080095</v>
      </c>
      <c r="AN412" s="442">
        <f t="shared" si="210"/>
        <v>20935.12</v>
      </c>
      <c r="AO412" s="209">
        <f t="shared" si="213"/>
        <v>0.99426856258133145</v>
      </c>
      <c r="AP412" s="101">
        <f>AF412-Print_Mois!AF412</f>
        <v>30401.989999999998</v>
      </c>
      <c r="AQ412" s="440">
        <v>55253.950000000004</v>
      </c>
      <c r="AR412" s="440">
        <f t="shared" si="211"/>
        <v>-13263.030000000006</v>
      </c>
      <c r="AS412" s="79"/>
      <c r="AT412" s="79"/>
      <c r="AU412" s="79"/>
      <c r="AV412" s="79"/>
      <c r="AW412" s="79"/>
      <c r="AX412" s="79"/>
      <c r="AY412" s="79"/>
      <c r="AZ412" s="79"/>
      <c r="BA412" s="79"/>
      <c r="BB412" s="79"/>
      <c r="BC412" s="79"/>
      <c r="BD412" s="79"/>
      <c r="BE412" s="79"/>
      <c r="BF412" s="79"/>
      <c r="BG412" s="79"/>
      <c r="BH412" s="79"/>
      <c r="BI412" s="79"/>
    </row>
    <row r="413" spans="1:61" ht="15.75" customHeight="1">
      <c r="A413" s="564" t="str">
        <f t="shared" si="199"/>
        <v>Publicité 1</v>
      </c>
      <c r="B413" s="159"/>
      <c r="C413" s="23"/>
      <c r="D413" s="23"/>
      <c r="E413" s="23"/>
      <c r="F413" s="23"/>
      <c r="G413" s="23"/>
      <c r="H413" s="23"/>
      <c r="I413" s="23"/>
      <c r="J413" s="23"/>
      <c r="K413" s="23"/>
      <c r="L413" s="23"/>
      <c r="M413" s="1064"/>
      <c r="N413" s="1064"/>
      <c r="O413" s="1064"/>
      <c r="P413" s="1065"/>
      <c r="Q413" s="1068"/>
      <c r="R413" s="79"/>
      <c r="S413" s="1066"/>
      <c r="T413" s="1066"/>
      <c r="U413" s="1077"/>
      <c r="V413" s="299" t="s">
        <v>108</v>
      </c>
      <c r="W413" s="454" t="s">
        <v>211</v>
      </c>
      <c r="X413" s="452"/>
      <c r="Y413" s="455">
        <f t="shared" si="200"/>
        <v>147.18211803418458</v>
      </c>
      <c r="Z413" s="87">
        <f t="shared" si="201"/>
        <v>72111.772850625799</v>
      </c>
      <c r="AA413" s="452"/>
      <c r="AB413" s="455">
        <f t="shared" si="202"/>
        <v>147.18211803418458</v>
      </c>
      <c r="AC413" s="87">
        <f t="shared" si="203"/>
        <v>72111.772850625799</v>
      </c>
      <c r="AD413" s="456"/>
      <c r="AE413" s="455">
        <f t="shared" si="204"/>
        <v>268.84126984126982</v>
      </c>
      <c r="AF413" s="87">
        <f t="shared" si="205"/>
        <v>84685</v>
      </c>
      <c r="AG413" s="450">
        <f t="shared" si="206"/>
        <v>121.65915180708524</v>
      </c>
      <c r="AH413" s="451">
        <f t="shared" si="206"/>
        <v>12573.227149374201</v>
      </c>
      <c r="AI413" s="452">
        <f t="shared" si="212"/>
        <v>0.17435748217449473</v>
      </c>
      <c r="AJ413" s="456"/>
      <c r="AK413" s="451">
        <f t="shared" si="207"/>
        <v>149.78945454545456</v>
      </c>
      <c r="AL413" s="87">
        <f t="shared" si="208"/>
        <v>65907.360000000001</v>
      </c>
      <c r="AM413" s="453">
        <f t="shared" si="209"/>
        <v>121.65915180708524</v>
      </c>
      <c r="AN413" s="451">
        <f t="shared" si="210"/>
        <v>18777.64</v>
      </c>
      <c r="AO413" s="208">
        <f t="shared" si="213"/>
        <v>0.28490960645366464</v>
      </c>
      <c r="AP413" s="101">
        <f>AF413-Print_Mois!AF413</f>
        <v>57178.979999999996</v>
      </c>
      <c r="AQ413" s="87">
        <v>153234.21000000002</v>
      </c>
      <c r="AR413" s="87">
        <f t="shared" si="211"/>
        <v>-68549.210000000021</v>
      </c>
      <c r="AS413" s="79"/>
      <c r="AT413" s="79"/>
      <c r="AU413" s="79"/>
      <c r="AV413" s="79"/>
      <c r="AW413" s="79"/>
      <c r="AX413" s="79"/>
      <c r="AY413" s="79"/>
      <c r="AZ413" s="79"/>
      <c r="BA413" s="79"/>
      <c r="BB413" s="79"/>
      <c r="BC413" s="79"/>
      <c r="BD413" s="79"/>
      <c r="BE413" s="79"/>
      <c r="BF413" s="79"/>
      <c r="BG413" s="79"/>
      <c r="BH413" s="79"/>
      <c r="BI413" s="79"/>
    </row>
    <row r="414" spans="1:61" ht="15.75" customHeight="1">
      <c r="A414" s="564" t="str">
        <f t="shared" si="199"/>
        <v>Intérêt de gros</v>
      </c>
      <c r="B414" s="159"/>
      <c r="C414" s="23"/>
      <c r="D414" s="23"/>
      <c r="E414" s="23"/>
      <c r="F414" s="23"/>
      <c r="G414" s="23"/>
      <c r="H414" s="23"/>
      <c r="I414" s="23"/>
      <c r="J414" s="23"/>
      <c r="K414" s="23"/>
      <c r="L414" s="23"/>
      <c r="M414" s="1064"/>
      <c r="N414" s="1064"/>
      <c r="O414" s="1064"/>
      <c r="P414" s="947"/>
      <c r="Q414" s="1068"/>
      <c r="R414" s="79"/>
      <c r="S414" s="1066"/>
      <c r="T414" s="1066"/>
      <c r="U414" s="23"/>
      <c r="V414" s="299" t="s">
        <v>109</v>
      </c>
      <c r="W414" s="454" t="s">
        <v>212</v>
      </c>
      <c r="X414" s="449"/>
      <c r="Y414" s="455">
        <f t="shared" si="200"/>
        <v>81.142772910045338</v>
      </c>
      <c r="Z414" s="87">
        <f t="shared" si="201"/>
        <v>39755.843214595297</v>
      </c>
      <c r="AA414" s="449"/>
      <c r="AB414" s="455">
        <f t="shared" si="202"/>
        <v>81.142772910045338</v>
      </c>
      <c r="AC414" s="87">
        <f t="shared" si="203"/>
        <v>39755.843214595297</v>
      </c>
      <c r="AD414" s="456"/>
      <c r="AE414" s="455">
        <f>IF(AF414=0,0,AF414/(J$13+J$13))</f>
        <v>30.669525316455694</v>
      </c>
      <c r="AF414" s="87">
        <f t="shared" si="205"/>
        <v>9691.57</v>
      </c>
      <c r="AG414" s="450">
        <f t="shared" ref="AG414" si="214">AE414-AB414</f>
        <v>-50.473247593589647</v>
      </c>
      <c r="AH414" s="451">
        <f t="shared" ref="AH414" si="215">AF414-AC414</f>
        <v>-30064.273214595298</v>
      </c>
      <c r="AI414" s="452">
        <f t="shared" ref="AI414" si="216">IF(AC414=0,0,AH414/AC414)</f>
        <v>-0.7562227532771334</v>
      </c>
      <c r="AJ414" s="456"/>
      <c r="AK414" s="451">
        <f t="shared" si="207"/>
        <v>156.94302272727273</v>
      </c>
      <c r="AL414" s="87">
        <f t="shared" si="208"/>
        <v>69054.930000000008</v>
      </c>
      <c r="AM414" s="453">
        <f t="shared" ref="AM414" si="217">AE414-Y414</f>
        <v>-50.473247593589647</v>
      </c>
      <c r="AN414" s="451">
        <f t="shared" ref="AN414" si="218">AF414-AL414</f>
        <v>-59363.360000000008</v>
      </c>
      <c r="AO414" s="208">
        <f t="shared" ref="AO414" si="219">IF(AL414=0,0,AN414/AL414)</f>
        <v>-0.85965419123587561</v>
      </c>
      <c r="AP414" s="101">
        <f>AF414-Print_Mois!AF414</f>
        <v>7538.9</v>
      </c>
      <c r="AQ414" s="87">
        <v>154563.74</v>
      </c>
      <c r="AR414" s="87">
        <f t="shared" si="211"/>
        <v>-144872.16999999998</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64" t="str">
        <f t="shared" si="199"/>
        <v>[...]</v>
      </c>
      <c r="B415" s="159"/>
      <c r="C415" s="23"/>
      <c r="D415" s="23"/>
      <c r="E415" s="23"/>
      <c r="F415" s="23"/>
      <c r="G415" s="23"/>
      <c r="H415" s="23"/>
      <c r="I415" s="23"/>
      <c r="J415" s="23"/>
      <c r="K415" s="23"/>
      <c r="L415" s="23"/>
      <c r="M415" s="23"/>
      <c r="N415" s="23"/>
      <c r="O415" s="1069"/>
      <c r="P415" s="1065"/>
      <c r="Q415" s="1068"/>
      <c r="R415" s="79"/>
      <c r="S415" s="1066"/>
      <c r="T415" s="1066"/>
      <c r="U415" s="79"/>
      <c r="V415" s="299" t="s">
        <v>42</v>
      </c>
      <c r="W415" s="454"/>
      <c r="X415" s="452"/>
      <c r="Y415" s="455">
        <f t="shared" ref="Y415:Y417" si="220">Z415/(D$13+D$96)</f>
        <v>0</v>
      </c>
      <c r="Z415" s="87">
        <f t="shared" si="201"/>
        <v>0</v>
      </c>
      <c r="AA415" s="449"/>
      <c r="AB415" s="455">
        <f t="shared" ref="AB415:AB417" si="221">IF(AC415=0,0,AC415/(G$13+G$96))</f>
        <v>0</v>
      </c>
      <c r="AC415" s="87">
        <f t="shared" si="203"/>
        <v>0</v>
      </c>
      <c r="AD415" s="456"/>
      <c r="AE415" s="455">
        <f t="shared" ref="AE415:AE417" si="222">IF(AF415=0,0,AF415/(J$13+J$13))</f>
        <v>0</v>
      </c>
      <c r="AF415" s="87">
        <f t="shared" si="205"/>
        <v>0</v>
      </c>
      <c r="AG415" s="450">
        <f t="shared" ref="AG415:AG417" si="223">AE415-AB415</f>
        <v>0</v>
      </c>
      <c r="AH415" s="451">
        <f t="shared" ref="AH415:AH417" si="224">AF415-AC415</f>
        <v>0</v>
      </c>
      <c r="AI415" s="452">
        <f t="shared" ref="AI415:AI417" si="225">IF(AC415=0,0,AH415/AC415)</f>
        <v>0</v>
      </c>
      <c r="AJ415" s="456"/>
      <c r="AK415" s="451">
        <f t="shared" ref="AK415:AK417" si="226">AL415/(O$13+O$96)</f>
        <v>0</v>
      </c>
      <c r="AL415" s="87">
        <f t="shared" si="208"/>
        <v>0</v>
      </c>
      <c r="AM415" s="453">
        <f t="shared" ref="AM415:AM417" si="227">AE415-Y415</f>
        <v>0</v>
      </c>
      <c r="AN415" s="451">
        <f t="shared" ref="AN415:AN417" si="228">AF415-AL415</f>
        <v>0</v>
      </c>
      <c r="AO415" s="208">
        <f t="shared" ref="AO415:AO417" si="229">IF(AL415=0,0,AN415/AL415)</f>
        <v>0</v>
      </c>
      <c r="AP415" s="101">
        <f>AF415-Print_Mois!AF415</f>
        <v>0</v>
      </c>
      <c r="AQ415" s="87">
        <v>0</v>
      </c>
      <c r="AR415" s="87">
        <f t="shared" si="211"/>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64" t="str">
        <f t="shared" si="199"/>
        <v>[...]</v>
      </c>
      <c r="B416" s="159"/>
      <c r="C416" s="23"/>
      <c r="D416" s="23"/>
      <c r="E416" s="23"/>
      <c r="F416" s="23"/>
      <c r="G416" s="23"/>
      <c r="H416" s="23"/>
      <c r="I416" s="23"/>
      <c r="J416" s="23"/>
      <c r="K416" s="23"/>
      <c r="L416" s="23"/>
      <c r="M416" s="23"/>
      <c r="N416" s="23"/>
      <c r="O416" s="1069"/>
      <c r="P416" s="1065"/>
      <c r="Q416" s="1068"/>
      <c r="R416" s="79"/>
      <c r="S416" s="1066"/>
      <c r="T416" s="1066"/>
      <c r="U416" s="79"/>
      <c r="V416" s="299" t="s">
        <v>42</v>
      </c>
      <c r="W416" s="454"/>
      <c r="X416" s="452"/>
      <c r="Y416" s="455">
        <f t="shared" si="220"/>
        <v>0</v>
      </c>
      <c r="Z416" s="87">
        <f t="shared" si="201"/>
        <v>0</v>
      </c>
      <c r="AA416" s="449"/>
      <c r="AB416" s="455">
        <f t="shared" si="221"/>
        <v>0</v>
      </c>
      <c r="AC416" s="87">
        <f t="shared" si="203"/>
        <v>0</v>
      </c>
      <c r="AD416" s="456"/>
      <c r="AE416" s="455">
        <f t="shared" si="222"/>
        <v>0</v>
      </c>
      <c r="AF416" s="87">
        <f t="shared" si="205"/>
        <v>0</v>
      </c>
      <c r="AG416" s="450">
        <f t="shared" si="223"/>
        <v>0</v>
      </c>
      <c r="AH416" s="451">
        <f t="shared" si="224"/>
        <v>0</v>
      </c>
      <c r="AI416" s="452">
        <f t="shared" si="225"/>
        <v>0</v>
      </c>
      <c r="AJ416" s="456"/>
      <c r="AK416" s="451">
        <f t="shared" si="226"/>
        <v>0</v>
      </c>
      <c r="AL416" s="87">
        <f t="shared" si="208"/>
        <v>0</v>
      </c>
      <c r="AM416" s="453">
        <f t="shared" si="227"/>
        <v>0</v>
      </c>
      <c r="AN416" s="451">
        <f t="shared" si="228"/>
        <v>0</v>
      </c>
      <c r="AO416" s="208">
        <f t="shared" si="229"/>
        <v>0</v>
      </c>
      <c r="AP416" s="101">
        <f>AF416-Print_Mois!AF416</f>
        <v>0</v>
      </c>
      <c r="AQ416" s="87">
        <v>0</v>
      </c>
      <c r="AR416" s="87">
        <f t="shared" si="211"/>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64" t="str">
        <f t="shared" si="199"/>
        <v>[...]</v>
      </c>
      <c r="B417" s="159"/>
      <c r="C417" s="23"/>
      <c r="D417" s="23"/>
      <c r="E417" s="23"/>
      <c r="F417" s="23"/>
      <c r="G417" s="23"/>
      <c r="H417" s="23"/>
      <c r="I417" s="23"/>
      <c r="J417" s="23"/>
      <c r="K417" s="23"/>
      <c r="L417" s="23"/>
      <c r="M417" s="23"/>
      <c r="N417" s="23"/>
      <c r="O417" s="1069"/>
      <c r="P417" s="1065"/>
      <c r="Q417" s="1068"/>
      <c r="R417" s="79"/>
      <c r="S417" s="1066"/>
      <c r="T417" s="1066"/>
      <c r="U417" s="79"/>
      <c r="V417" s="299" t="s">
        <v>42</v>
      </c>
      <c r="W417" s="454" t="s">
        <v>212</v>
      </c>
      <c r="X417" s="449"/>
      <c r="Y417" s="455">
        <f t="shared" si="220"/>
        <v>0</v>
      </c>
      <c r="Z417" s="87">
        <f t="shared" si="201"/>
        <v>0</v>
      </c>
      <c r="AA417" s="449"/>
      <c r="AB417" s="455">
        <f t="shared" si="221"/>
        <v>0</v>
      </c>
      <c r="AC417" s="87">
        <f t="shared" si="203"/>
        <v>0</v>
      </c>
      <c r="AD417" s="456"/>
      <c r="AE417" s="455">
        <f t="shared" si="222"/>
        <v>0</v>
      </c>
      <c r="AF417" s="87">
        <f t="shared" si="205"/>
        <v>0</v>
      </c>
      <c r="AG417" s="450">
        <f t="shared" si="223"/>
        <v>0</v>
      </c>
      <c r="AH417" s="451">
        <f t="shared" si="224"/>
        <v>0</v>
      </c>
      <c r="AI417" s="452">
        <f t="shared" si="225"/>
        <v>0</v>
      </c>
      <c r="AJ417" s="456"/>
      <c r="AK417" s="451">
        <f t="shared" si="226"/>
        <v>0</v>
      </c>
      <c r="AL417" s="87">
        <f t="shared" si="208"/>
        <v>0</v>
      </c>
      <c r="AM417" s="453">
        <f t="shared" si="227"/>
        <v>0</v>
      </c>
      <c r="AN417" s="451">
        <f t="shared" si="228"/>
        <v>0</v>
      </c>
      <c r="AO417" s="208">
        <f t="shared" si="229"/>
        <v>0</v>
      </c>
      <c r="AP417" s="101">
        <f>AF417-Print_Mois!AF417</f>
        <v>0</v>
      </c>
      <c r="AQ417" s="87">
        <v>0</v>
      </c>
      <c r="AR417" s="87">
        <f t="shared" si="211"/>
        <v>0</v>
      </c>
      <c r="AS417" s="79"/>
      <c r="AT417" s="79"/>
      <c r="AU417" s="79"/>
      <c r="AV417" s="79"/>
      <c r="AW417" s="79"/>
      <c r="AX417" s="79"/>
      <c r="AY417" s="79"/>
      <c r="AZ417" s="79"/>
      <c r="BA417" s="79"/>
      <c r="BB417" s="79"/>
      <c r="BC417" s="79"/>
      <c r="BD417" s="79"/>
      <c r="BE417" s="79"/>
      <c r="BF417" s="79"/>
      <c r="BG417" s="79"/>
      <c r="BH417" s="79"/>
      <c r="BI417" s="79"/>
    </row>
    <row r="418" spans="1:61" ht="15.75" customHeight="1">
      <c r="A418" s="564" t="str">
        <f t="shared" si="199"/>
        <v>TOTAL VARIABLES</v>
      </c>
      <c r="B418" s="159"/>
      <c r="C418" s="23"/>
      <c r="D418" s="23"/>
      <c r="E418" s="23"/>
      <c r="F418" s="23"/>
      <c r="G418" s="23"/>
      <c r="H418" s="23"/>
      <c r="I418" s="23"/>
      <c r="J418" s="23"/>
      <c r="K418" s="23"/>
      <c r="L418" s="23"/>
      <c r="M418" s="1064"/>
      <c r="N418" s="1069"/>
      <c r="O418" s="1069"/>
      <c r="P418" s="1065"/>
      <c r="Q418" s="1068"/>
      <c r="R418" s="79"/>
      <c r="S418" s="1066"/>
      <c r="T418" s="1066"/>
      <c r="U418" s="79"/>
      <c r="V418" s="461" t="s">
        <v>110</v>
      </c>
      <c r="W418" s="88"/>
      <c r="X418" s="89">
        <f>Z418/Z406</f>
        <v>0.23191650828951133</v>
      </c>
      <c r="Y418" s="88"/>
      <c r="Z418" s="90">
        <f>SUM(Z408:Z417)</f>
        <v>705381.87096521305</v>
      </c>
      <c r="AA418" s="89">
        <f>AC418/AC406</f>
        <v>0.23191650828951133</v>
      </c>
      <c r="AB418" s="88"/>
      <c r="AC418" s="90">
        <f>SUM(AC408:AC417)</f>
        <v>705381.87096521305</v>
      </c>
      <c r="AD418" s="91">
        <f>AF418/AF406</f>
        <v>0.22721473390066571</v>
      </c>
      <c r="AE418" s="88"/>
      <c r="AF418" s="90">
        <f>SUM(AF408:AF417)</f>
        <v>696309.32000000007</v>
      </c>
      <c r="AG418" s="92"/>
      <c r="AH418" s="93">
        <f>AF418-AC418</f>
        <v>-9072.550965212984</v>
      </c>
      <c r="AI418" s="89">
        <f>AH418/AC418</f>
        <v>-1.2861899828526228E-2</v>
      </c>
      <c r="AJ418" s="91">
        <f>IF($AL$406=0,0,AL418/$AL$406)</f>
        <v>0.24410607249518071</v>
      </c>
      <c r="AK418" s="88"/>
      <c r="AL418" s="90">
        <f>SUM(AL408:AL417)</f>
        <v>629582.32000000007</v>
      </c>
      <c r="AM418" s="94"/>
      <c r="AN418" s="93">
        <f t="shared" si="210"/>
        <v>66727</v>
      </c>
      <c r="AO418" s="447">
        <f>IF(AL418=0,0,AN418/AL418)</f>
        <v>0.10598614014446911</v>
      </c>
      <c r="AP418" s="101">
        <f>AF418-Print_Mois!AF418</f>
        <v>524197.43000000005</v>
      </c>
      <c r="AQ418" s="90">
        <v>1738686.8299999998</v>
      </c>
      <c r="AR418" s="90">
        <f t="shared" si="211"/>
        <v>-1042377.5099999998</v>
      </c>
      <c r="AS418" s="79"/>
      <c r="AT418" s="79"/>
      <c r="AU418" s="79"/>
      <c r="AV418" s="79"/>
      <c r="AW418" s="79"/>
      <c r="AX418" s="79"/>
      <c r="AY418" s="79"/>
      <c r="AZ418" s="79"/>
      <c r="BA418" s="79"/>
      <c r="BB418" s="79"/>
      <c r="BC418" s="79"/>
      <c r="BD418" s="79"/>
      <c r="BE418" s="79"/>
      <c r="BF418" s="79"/>
      <c r="BG418" s="79"/>
      <c r="BH418" s="79"/>
      <c r="BI418" s="79"/>
    </row>
    <row r="419" spans="1:61" ht="15.75" customHeight="1">
      <c r="A419" s="564" t="str">
        <f t="shared" si="199"/>
        <v>Salaires propriétaire</v>
      </c>
      <c r="B419" s="159"/>
      <c r="C419" s="23"/>
      <c r="D419" s="23"/>
      <c r="E419" s="23"/>
      <c r="F419" s="23"/>
      <c r="G419" s="23"/>
      <c r="H419" s="23"/>
      <c r="I419" s="23"/>
      <c r="J419" s="23"/>
      <c r="K419" s="23"/>
      <c r="L419" s="23"/>
      <c r="M419" s="95"/>
      <c r="N419" s="95"/>
      <c r="O419" s="95"/>
      <c r="P419" s="1065"/>
      <c r="Q419" s="1068"/>
      <c r="R419" s="79"/>
      <c r="S419" s="947"/>
      <c r="T419" s="947"/>
      <c r="U419" s="1077"/>
      <c r="V419" s="299" t="s">
        <v>213</v>
      </c>
      <c r="W419" s="454" t="s">
        <v>214</v>
      </c>
      <c r="X419" s="449"/>
      <c r="Y419" s="449"/>
      <c r="Z419" s="87">
        <f>+SUMPRODUCT(('Budget original'!$A$8:$A$500=$A419)*('Budget original'!$C$3:$AO$3=Z$2),'Budget original'!$C$8:$AO$500)</f>
        <v>76126.242533333338</v>
      </c>
      <c r="AA419" s="449"/>
      <c r="AB419" s="449"/>
      <c r="AC419" s="87">
        <f>+SUMPRODUCT(('Budget révisé'!$A$8:$A$500=$A419)*('Budget révisé'!$C$3:$AO$3=AC$2),'Budget révisé'!$C$8:$AO$500)</f>
        <v>76126.242533333338</v>
      </c>
      <c r="AD419" s="456"/>
      <c r="AE419" s="455"/>
      <c r="AF419" s="87">
        <f>SUMIFS(BV_Data_An_Cour!$P:$P,BV_Data_An_Cour!$V:$V,$V419)</f>
        <v>80130.67</v>
      </c>
      <c r="AG419" s="450"/>
      <c r="AH419" s="451">
        <f t="shared" ref="AH419:AH430" si="230">AF419-AC419</f>
        <v>4004.4274666666606</v>
      </c>
      <c r="AI419" s="452">
        <f>IF(AC419=0,0,AH419/AC419)</f>
        <v>5.2602457883209525E-2</v>
      </c>
      <c r="AJ419" s="456"/>
      <c r="AK419" s="449"/>
      <c r="AL419" s="87">
        <f>SUMIFS(BV_Data_An_Prec!$P:$P,BV_Data_An_Prec!$V:$V,$V419)</f>
        <v>14002.93</v>
      </c>
      <c r="AM419" s="453"/>
      <c r="AN419" s="451">
        <f t="shared" si="210"/>
        <v>66127.739999999991</v>
      </c>
      <c r="AO419" s="208">
        <f t="shared" ref="AO419:AO430" si="231">IF(AL419=0,0,AN419/AL419)</f>
        <v>4.7224216646087633</v>
      </c>
      <c r="AP419" s="101">
        <f>AF419-Print_Mois!AF419</f>
        <v>63084.89</v>
      </c>
      <c r="AQ419" s="87">
        <v>67828.150000000009</v>
      </c>
      <c r="AR419" s="87">
        <f t="shared" si="211"/>
        <v>12302.51999999999</v>
      </c>
      <c r="AS419" s="79"/>
      <c r="AT419" s="79"/>
      <c r="AU419" s="79"/>
      <c r="AV419" s="79"/>
      <c r="AW419" s="79"/>
      <c r="AX419" s="79"/>
      <c r="AY419" s="79"/>
      <c r="AZ419" s="79"/>
      <c r="BA419" s="79"/>
      <c r="BB419" s="79"/>
      <c r="BC419" s="79"/>
      <c r="BD419" s="79"/>
      <c r="BE419" s="79"/>
      <c r="BF419" s="79"/>
      <c r="BG419" s="79"/>
      <c r="BH419" s="79"/>
      <c r="BI419" s="79"/>
    </row>
    <row r="420" spans="1:61" ht="15.75" customHeight="1">
      <c r="A420" s="564" t="str">
        <f t="shared" si="199"/>
        <v>Salaires cadres</v>
      </c>
      <c r="B420" s="159"/>
      <c r="C420" s="23"/>
      <c r="D420" s="23"/>
      <c r="E420" s="23"/>
      <c r="F420" s="23"/>
      <c r="G420" s="23"/>
      <c r="H420" s="23"/>
      <c r="I420" s="23"/>
      <c r="J420" s="23"/>
      <c r="K420" s="23"/>
      <c r="L420" s="23"/>
      <c r="M420" s="95"/>
      <c r="N420" s="95"/>
      <c r="O420" s="95"/>
      <c r="P420" s="1065"/>
      <c r="Q420" s="1068"/>
      <c r="R420" s="79"/>
      <c r="S420" s="1066"/>
      <c r="T420" s="1066"/>
      <c r="U420" s="1077"/>
      <c r="V420" s="299" t="s">
        <v>112</v>
      </c>
      <c r="W420" s="454" t="s">
        <v>215</v>
      </c>
      <c r="X420" s="449"/>
      <c r="Y420" s="449"/>
      <c r="Z420" s="87">
        <f t="shared" ref="Z420:Z431" si="232">+SUMIF($C:$C,$V420,F:F)</f>
        <v>188714.74329501914</v>
      </c>
      <c r="AA420" s="449"/>
      <c r="AB420" s="449"/>
      <c r="AC420" s="87">
        <f t="shared" ref="AC420:AC431" si="233">+SUMIF($C:$C,$V420,I:I)</f>
        <v>188714.74329501914</v>
      </c>
      <c r="AD420" s="456"/>
      <c r="AE420" s="455"/>
      <c r="AF420" s="87">
        <f t="shared" ref="AF420:AF431" si="234">+SUMIF($C:$C,$V420,L:L)</f>
        <v>196014.27</v>
      </c>
      <c r="AG420" s="450"/>
      <c r="AH420" s="451">
        <f t="shared" si="230"/>
        <v>7299.5267049808463</v>
      </c>
      <c r="AI420" s="452">
        <f t="shared" ref="AI420:AI430" si="235">IF(AC420=0,0,AH420/AC420)</f>
        <v>3.8680214261635315E-2</v>
      </c>
      <c r="AJ420" s="456"/>
      <c r="AK420" s="449"/>
      <c r="AL420" s="87">
        <f t="shared" ref="AL420:AL431" si="236">+SUMIF($C:$C,$V420,Q:Q)</f>
        <v>248534.03000000003</v>
      </c>
      <c r="AM420" s="453"/>
      <c r="AN420" s="451">
        <f t="shared" si="210"/>
        <v>-52519.760000000038</v>
      </c>
      <c r="AO420" s="208">
        <f t="shared" si="231"/>
        <v>-0.21131818447558282</v>
      </c>
      <c r="AP420" s="101">
        <f>AF420-Print_Mois!AF420</f>
        <v>156939.78</v>
      </c>
      <c r="AQ420" s="87">
        <v>549294.62</v>
      </c>
      <c r="AR420" s="87">
        <f t="shared" si="211"/>
        <v>-353280.35</v>
      </c>
      <c r="AS420" s="79"/>
      <c r="AT420" s="79"/>
      <c r="AU420" s="79"/>
      <c r="AV420" s="79"/>
      <c r="AW420" s="79"/>
      <c r="AX420" s="79"/>
      <c r="AY420" s="79"/>
      <c r="AZ420" s="79"/>
      <c r="BA420" s="79"/>
      <c r="BB420" s="79"/>
      <c r="BC420" s="79"/>
      <c r="BD420" s="79"/>
      <c r="BE420" s="79"/>
      <c r="BF420" s="79"/>
      <c r="BG420" s="79"/>
      <c r="BH420" s="79"/>
      <c r="BI420" s="79"/>
    </row>
    <row r="421" spans="1:61" ht="15.75" customHeight="1">
      <c r="A421" s="564" t="str">
        <f t="shared" si="199"/>
        <v>Salaires commis</v>
      </c>
      <c r="B421" s="159"/>
      <c r="C421" s="79"/>
      <c r="D421" s="79"/>
      <c r="E421" s="79"/>
      <c r="F421" s="79"/>
      <c r="G421" s="79"/>
      <c r="H421" s="79"/>
      <c r="I421" s="79"/>
      <c r="J421" s="79"/>
      <c r="K421" s="79"/>
      <c r="L421" s="23"/>
      <c r="M421" s="95"/>
      <c r="N421" s="95"/>
      <c r="O421" s="95"/>
      <c r="P421" s="1070"/>
      <c r="Q421" s="1068"/>
      <c r="R421" s="79"/>
      <c r="S421" s="1066"/>
      <c r="T421" s="1066"/>
      <c r="U421" s="1077"/>
      <c r="V421" s="300" t="s">
        <v>113</v>
      </c>
      <c r="W421" s="457" t="s">
        <v>216</v>
      </c>
      <c r="X421" s="439"/>
      <c r="Y421" s="439"/>
      <c r="Z421" s="440">
        <f t="shared" si="232"/>
        <v>130171.27225203067</v>
      </c>
      <c r="AA421" s="439"/>
      <c r="AB421" s="439"/>
      <c r="AC421" s="440">
        <f t="shared" si="233"/>
        <v>130171.27225203067</v>
      </c>
      <c r="AD421" s="459"/>
      <c r="AE421" s="458"/>
      <c r="AF421" s="440">
        <f t="shared" si="234"/>
        <v>110182.30000000002</v>
      </c>
      <c r="AG421" s="441"/>
      <c r="AH421" s="442">
        <f t="shared" si="230"/>
        <v>-19988.972252030653</v>
      </c>
      <c r="AI421" s="460">
        <f t="shared" si="235"/>
        <v>-0.15355901426029755</v>
      </c>
      <c r="AJ421" s="459"/>
      <c r="AK421" s="439"/>
      <c r="AL421" s="440">
        <f t="shared" si="236"/>
        <v>115807.41</v>
      </c>
      <c r="AM421" s="444"/>
      <c r="AN421" s="442">
        <f t="shared" si="210"/>
        <v>-5625.109999999986</v>
      </c>
      <c r="AO421" s="445">
        <f t="shared" si="231"/>
        <v>-4.8572971280507748E-2</v>
      </c>
      <c r="AP421" s="101">
        <f>AF421-Print_Mois!AF421</f>
        <v>88950.960000000021</v>
      </c>
      <c r="AQ421" s="440">
        <v>289205.88</v>
      </c>
      <c r="AR421" s="440">
        <f t="shared" si="211"/>
        <v>-179023.58</v>
      </c>
      <c r="AS421" s="79"/>
      <c r="AT421" s="79"/>
      <c r="AU421" s="79"/>
      <c r="AV421" s="79"/>
      <c r="AW421" s="79"/>
      <c r="AX421" s="79"/>
      <c r="AY421" s="79"/>
      <c r="AZ421" s="79"/>
      <c r="BA421" s="79"/>
      <c r="BB421" s="79"/>
      <c r="BC421" s="79"/>
      <c r="BD421" s="79"/>
      <c r="BE421" s="79"/>
      <c r="BF421" s="79"/>
      <c r="BG421" s="79"/>
      <c r="BH421" s="79"/>
      <c r="BI421" s="79"/>
    </row>
    <row r="422" spans="1:61" ht="15.75" customHeight="1">
      <c r="A422" s="564" t="str">
        <f t="shared" si="199"/>
        <v>Salaires autres</v>
      </c>
      <c r="B422" s="159"/>
      <c r="C422" s="79"/>
      <c r="D422" s="79"/>
      <c r="E422" s="79"/>
      <c r="F422" s="79"/>
      <c r="G422" s="79"/>
      <c r="H422" s="79"/>
      <c r="I422" s="79"/>
      <c r="J422" s="79"/>
      <c r="K422" s="79"/>
      <c r="L422" s="79"/>
      <c r="M422" s="96"/>
      <c r="N422" s="96"/>
      <c r="O422" s="96"/>
      <c r="P422" s="947"/>
      <c r="Q422" s="1068"/>
      <c r="R422" s="79"/>
      <c r="S422" s="1066"/>
      <c r="T422" s="1066"/>
      <c r="U422" s="23"/>
      <c r="V422" s="274" t="s">
        <v>114</v>
      </c>
      <c r="W422" s="454" t="s">
        <v>217</v>
      </c>
      <c r="X422" s="449"/>
      <c r="Y422" s="449"/>
      <c r="Z422" s="87">
        <f t="shared" si="232"/>
        <v>277083.32887172408</v>
      </c>
      <c r="AA422" s="449"/>
      <c r="AB422" s="449"/>
      <c r="AC422" s="87">
        <f t="shared" si="233"/>
        <v>277083.32887172408</v>
      </c>
      <c r="AD422" s="456"/>
      <c r="AE422" s="455"/>
      <c r="AF422" s="87">
        <f t="shared" si="234"/>
        <v>246503.22999999998</v>
      </c>
      <c r="AG422" s="450"/>
      <c r="AH422" s="451">
        <f t="shared" si="230"/>
        <v>-30580.098871724098</v>
      </c>
      <c r="AI422" s="452">
        <f t="shared" si="235"/>
        <v>-0.11036426838180935</v>
      </c>
      <c r="AJ422" s="456"/>
      <c r="AK422" s="449"/>
      <c r="AL422" s="87">
        <f t="shared" si="236"/>
        <v>251159.38999999998</v>
      </c>
      <c r="AM422" s="453"/>
      <c r="AN422" s="451">
        <f t="shared" si="210"/>
        <v>-4656.1600000000035</v>
      </c>
      <c r="AO422" s="208">
        <f t="shared" si="231"/>
        <v>-1.8538665824917012E-2</v>
      </c>
      <c r="AP422" s="101">
        <f>AF422-Print_Mois!AF422</f>
        <v>186956.97999999998</v>
      </c>
      <c r="AQ422" s="87">
        <v>622600.68999999994</v>
      </c>
      <c r="AR422" s="87">
        <f t="shared" si="211"/>
        <v>-376097.45999999996</v>
      </c>
      <c r="AS422" s="79"/>
      <c r="AT422" s="79"/>
      <c r="AU422" s="79"/>
      <c r="AV422" s="79"/>
      <c r="AW422" s="79"/>
      <c r="AX422" s="79"/>
      <c r="AY422" s="79"/>
      <c r="AZ422" s="79"/>
      <c r="BA422" s="79"/>
      <c r="BB422" s="79"/>
      <c r="BC422" s="79"/>
      <c r="BD422" s="79"/>
      <c r="BE422" s="79"/>
      <c r="BF422" s="79"/>
      <c r="BG422" s="79"/>
      <c r="BH422" s="79"/>
      <c r="BI422" s="79"/>
    </row>
    <row r="423" spans="1:61" ht="15.75" customHeight="1">
      <c r="A423" s="564" t="str">
        <f t="shared" si="199"/>
        <v>Salaires spécialistes</v>
      </c>
      <c r="B423" s="159"/>
      <c r="C423" s="79"/>
      <c r="D423" s="79"/>
      <c r="E423" s="79"/>
      <c r="F423" s="79"/>
      <c r="G423" s="79"/>
      <c r="H423" s="79"/>
      <c r="I423" s="79"/>
      <c r="J423" s="79"/>
      <c r="K423" s="79"/>
      <c r="L423" s="79"/>
      <c r="M423" s="96"/>
      <c r="N423" s="1069"/>
      <c r="O423" s="1071"/>
      <c r="P423" s="1065"/>
      <c r="Q423" s="1068"/>
      <c r="R423" s="79"/>
      <c r="S423" s="1066"/>
      <c r="T423" s="1066"/>
      <c r="U423" s="79"/>
      <c r="V423" s="274" t="s">
        <v>115</v>
      </c>
      <c r="W423" s="454" t="s">
        <v>218</v>
      </c>
      <c r="X423" s="449"/>
      <c r="Y423" s="449"/>
      <c r="Z423" s="87">
        <f t="shared" si="232"/>
        <v>165288.38728602722</v>
      </c>
      <c r="AA423" s="449"/>
      <c r="AB423" s="449"/>
      <c r="AC423" s="87">
        <f t="shared" si="233"/>
        <v>165288.38728602722</v>
      </c>
      <c r="AD423" s="456"/>
      <c r="AE423" s="455"/>
      <c r="AF423" s="87">
        <f t="shared" si="234"/>
        <v>138352.84</v>
      </c>
      <c r="AG423" s="450"/>
      <c r="AH423" s="451">
        <f t="shared" si="230"/>
        <v>-26935.547286027228</v>
      </c>
      <c r="AI423" s="452">
        <f t="shared" si="235"/>
        <v>-0.16296091775289676</v>
      </c>
      <c r="AJ423" s="456"/>
      <c r="AK423" s="449"/>
      <c r="AL423" s="87">
        <f t="shared" si="236"/>
        <v>126384.28</v>
      </c>
      <c r="AM423" s="453"/>
      <c r="AN423" s="451">
        <f t="shared" si="210"/>
        <v>11968.559999999998</v>
      </c>
      <c r="AO423" s="208">
        <f t="shared" si="231"/>
        <v>9.4699752216019256E-2</v>
      </c>
      <c r="AP423" s="101">
        <f>AF423-Print_Mois!AF423</f>
        <v>108647.95</v>
      </c>
      <c r="AQ423" s="87">
        <v>313152.77</v>
      </c>
      <c r="AR423" s="87">
        <f t="shared" si="211"/>
        <v>-174799.93000000002</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64" t="str">
        <f t="shared" si="199"/>
        <v>[...]</v>
      </c>
      <c r="B424" s="159"/>
      <c r="C424" s="79"/>
      <c r="D424" s="79"/>
      <c r="E424" s="79"/>
      <c r="F424" s="79"/>
      <c r="G424" s="79"/>
      <c r="H424" s="79"/>
      <c r="I424" s="79"/>
      <c r="J424" s="79"/>
      <c r="K424" s="79"/>
      <c r="L424" s="79"/>
      <c r="M424" s="96"/>
      <c r="N424" s="57"/>
      <c r="O424" s="1071"/>
      <c r="P424" s="1070"/>
      <c r="Q424" s="1075"/>
      <c r="R424" s="79"/>
      <c r="S424" s="1066"/>
      <c r="T424" s="1066"/>
      <c r="U424" s="79"/>
      <c r="V424" s="274" t="s">
        <v>42</v>
      </c>
      <c r="W424" s="454"/>
      <c r="X424" s="449"/>
      <c r="Y424" s="449"/>
      <c r="Z424" s="87">
        <f t="shared" si="232"/>
        <v>0</v>
      </c>
      <c r="AA424" s="449"/>
      <c r="AB424" s="449"/>
      <c r="AC424" s="87">
        <f t="shared" si="233"/>
        <v>0</v>
      </c>
      <c r="AD424" s="456"/>
      <c r="AE424" s="455"/>
      <c r="AF424" s="87">
        <f t="shared" si="234"/>
        <v>0</v>
      </c>
      <c r="AG424" s="450"/>
      <c r="AH424" s="451">
        <f t="shared" ref="AH424:AH426" si="237">AF424-AC424</f>
        <v>0</v>
      </c>
      <c r="AI424" s="452">
        <f t="shared" ref="AI424:AI426" si="238">IF(AC424=0,0,AH424/AC424)</f>
        <v>0</v>
      </c>
      <c r="AJ424" s="456"/>
      <c r="AK424" s="449"/>
      <c r="AL424" s="87">
        <f t="shared" si="236"/>
        <v>0</v>
      </c>
      <c r="AM424" s="453"/>
      <c r="AN424" s="451">
        <f t="shared" ref="AN424:AN426" si="239">AF424-AL424</f>
        <v>0</v>
      </c>
      <c r="AO424" s="208">
        <f t="shared" ref="AO424:AO426" si="240">IF(AL424=0,0,AN424/AL424)</f>
        <v>0</v>
      </c>
      <c r="AP424" s="101">
        <f>AF424-Print_Mois!AF424</f>
        <v>0</v>
      </c>
      <c r="AQ424" s="87">
        <v>0</v>
      </c>
      <c r="AR424" s="87">
        <f t="shared" si="211"/>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64" t="str">
        <f t="shared" si="199"/>
        <v>[...]</v>
      </c>
      <c r="B425" s="159"/>
      <c r="C425" s="79"/>
      <c r="D425" s="79"/>
      <c r="E425" s="79"/>
      <c r="F425" s="79"/>
      <c r="G425" s="79"/>
      <c r="H425" s="79"/>
      <c r="I425" s="79"/>
      <c r="J425" s="79"/>
      <c r="K425" s="79"/>
      <c r="L425" s="79"/>
      <c r="M425" s="96"/>
      <c r="N425" s="57"/>
      <c r="O425" s="1071"/>
      <c r="P425" s="1070"/>
      <c r="Q425" s="1075"/>
      <c r="R425" s="79"/>
      <c r="S425" s="1066"/>
      <c r="T425" s="1066"/>
      <c r="U425" s="79"/>
      <c r="V425" s="274" t="s">
        <v>42</v>
      </c>
      <c r="W425" s="454"/>
      <c r="X425" s="449"/>
      <c r="Y425" s="449"/>
      <c r="Z425" s="87">
        <f t="shared" si="232"/>
        <v>0</v>
      </c>
      <c r="AA425" s="449"/>
      <c r="AB425" s="449"/>
      <c r="AC425" s="87">
        <f t="shared" si="233"/>
        <v>0</v>
      </c>
      <c r="AD425" s="456"/>
      <c r="AE425" s="455"/>
      <c r="AF425" s="87">
        <f t="shared" si="234"/>
        <v>0</v>
      </c>
      <c r="AG425" s="450"/>
      <c r="AH425" s="451">
        <f t="shared" si="237"/>
        <v>0</v>
      </c>
      <c r="AI425" s="452">
        <f t="shared" si="238"/>
        <v>0</v>
      </c>
      <c r="AJ425" s="456"/>
      <c r="AK425" s="449"/>
      <c r="AL425" s="87">
        <f t="shared" si="236"/>
        <v>0</v>
      </c>
      <c r="AM425" s="453"/>
      <c r="AN425" s="451">
        <f t="shared" si="239"/>
        <v>0</v>
      </c>
      <c r="AO425" s="208">
        <f t="shared" si="240"/>
        <v>0</v>
      </c>
      <c r="AP425" s="101">
        <f>AF425-Print_Mois!AF425</f>
        <v>0</v>
      </c>
      <c r="AQ425" s="87">
        <v>0</v>
      </c>
      <c r="AR425" s="87">
        <f t="shared" si="211"/>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64" t="str">
        <f t="shared" si="199"/>
        <v>[...]</v>
      </c>
      <c r="B426" s="159"/>
      <c r="C426" s="79"/>
      <c r="D426" s="79"/>
      <c r="E426" s="79"/>
      <c r="F426" s="79"/>
      <c r="G426" s="79"/>
      <c r="H426" s="79"/>
      <c r="I426" s="79"/>
      <c r="J426" s="79"/>
      <c r="K426" s="79"/>
      <c r="L426" s="79"/>
      <c r="M426" s="96"/>
      <c r="N426" s="57"/>
      <c r="O426" s="1071"/>
      <c r="P426" s="1070"/>
      <c r="Q426" s="1075"/>
      <c r="R426" s="79"/>
      <c r="S426" s="1066"/>
      <c r="T426" s="1066"/>
      <c r="U426" s="79"/>
      <c r="V426" s="274" t="s">
        <v>42</v>
      </c>
      <c r="W426" s="454"/>
      <c r="X426" s="449"/>
      <c r="Y426" s="449"/>
      <c r="Z426" s="87">
        <f t="shared" si="232"/>
        <v>0</v>
      </c>
      <c r="AA426" s="449"/>
      <c r="AB426" s="449"/>
      <c r="AC426" s="87">
        <f t="shared" si="233"/>
        <v>0</v>
      </c>
      <c r="AD426" s="456"/>
      <c r="AE426" s="455"/>
      <c r="AF426" s="87">
        <f t="shared" si="234"/>
        <v>0</v>
      </c>
      <c r="AG426" s="450"/>
      <c r="AH426" s="451">
        <f t="shared" si="237"/>
        <v>0</v>
      </c>
      <c r="AI426" s="452">
        <f t="shared" si="238"/>
        <v>0</v>
      </c>
      <c r="AJ426" s="456"/>
      <c r="AK426" s="449"/>
      <c r="AL426" s="87">
        <f t="shared" si="236"/>
        <v>0</v>
      </c>
      <c r="AM426" s="453"/>
      <c r="AN426" s="451">
        <f t="shared" si="239"/>
        <v>0</v>
      </c>
      <c r="AO426" s="208">
        <f t="shared" si="240"/>
        <v>0</v>
      </c>
      <c r="AP426" s="101">
        <f>AF426-Print_Mois!AF426</f>
        <v>0</v>
      </c>
      <c r="AQ426" s="87">
        <v>0</v>
      </c>
      <c r="AR426" s="87">
        <f t="shared" si="211"/>
        <v>0</v>
      </c>
      <c r="AS426" s="79"/>
      <c r="AT426" s="79"/>
      <c r="AU426" s="79"/>
      <c r="AV426" s="79"/>
      <c r="AW426" s="79"/>
      <c r="AX426" s="79"/>
      <c r="AY426" s="79"/>
      <c r="AZ426" s="79"/>
      <c r="BA426" s="79"/>
      <c r="BB426" s="79"/>
      <c r="BC426" s="79"/>
      <c r="BD426" s="79"/>
      <c r="BE426" s="79"/>
      <c r="BF426" s="79"/>
      <c r="BG426" s="79"/>
      <c r="BH426" s="79"/>
      <c r="BI426" s="79"/>
    </row>
    <row r="427" spans="1:61" ht="15.75" customHeight="1">
      <c r="A427" s="564" t="str">
        <f t="shared" si="199"/>
        <v>Salaires en absences</v>
      </c>
      <c r="B427" s="159"/>
      <c r="C427" s="79"/>
      <c r="D427" s="79"/>
      <c r="E427" s="79"/>
      <c r="F427" s="79"/>
      <c r="G427" s="79"/>
      <c r="H427" s="79"/>
      <c r="I427" s="79"/>
      <c r="J427" s="79"/>
      <c r="K427" s="79"/>
      <c r="L427" s="23"/>
      <c r="M427" s="96"/>
      <c r="N427" s="57"/>
      <c r="O427" s="1071"/>
      <c r="P427" s="1070"/>
      <c r="Q427" s="1075"/>
      <c r="R427" s="79"/>
      <c r="S427" s="1066"/>
      <c r="T427" s="1066"/>
      <c r="U427" s="79"/>
      <c r="V427" s="276" t="s">
        <v>116</v>
      </c>
      <c r="W427" s="457" t="s">
        <v>219</v>
      </c>
      <c r="X427" s="439"/>
      <c r="Y427" s="439"/>
      <c r="Z427" s="440">
        <f t="shared" si="232"/>
        <v>193885.71652502278</v>
      </c>
      <c r="AA427" s="439"/>
      <c r="AB427" s="439"/>
      <c r="AC427" s="440">
        <f t="shared" si="233"/>
        <v>193885.71652502278</v>
      </c>
      <c r="AD427" s="459"/>
      <c r="AE427" s="458"/>
      <c r="AF427" s="440">
        <f t="shared" si="234"/>
        <v>166084.74000000002</v>
      </c>
      <c r="AG427" s="441"/>
      <c r="AH427" s="442">
        <f t="shared" si="230"/>
        <v>-27800.976525022765</v>
      </c>
      <c r="AI427" s="460">
        <f t="shared" si="235"/>
        <v>-0.1433884714320087</v>
      </c>
      <c r="AJ427" s="459"/>
      <c r="AK427" s="439"/>
      <c r="AL427" s="440">
        <f t="shared" si="236"/>
        <v>160368.87999999998</v>
      </c>
      <c r="AM427" s="444"/>
      <c r="AN427" s="442">
        <f t="shared" si="210"/>
        <v>5715.8600000000442</v>
      </c>
      <c r="AO427" s="209">
        <f t="shared" si="231"/>
        <v>3.5641952478560959E-2</v>
      </c>
      <c r="AP427" s="101">
        <f>AF427-Print_Mois!AF427</f>
        <v>121006.49000000002</v>
      </c>
      <c r="AQ427" s="440">
        <v>448116.67</v>
      </c>
      <c r="AR427" s="440">
        <f t="shared" si="211"/>
        <v>-282031.92999999993</v>
      </c>
      <c r="AS427" s="79"/>
      <c r="AT427" s="79" t="s">
        <v>2961</v>
      </c>
      <c r="AU427" s="79"/>
      <c r="AV427" s="79"/>
      <c r="AW427" s="79"/>
      <c r="AX427" s="79"/>
      <c r="AY427" s="79"/>
      <c r="AZ427" s="79"/>
      <c r="BA427" s="79"/>
      <c r="BB427" s="79"/>
      <c r="BC427" s="79"/>
      <c r="BD427" s="79"/>
      <c r="BE427" s="79"/>
      <c r="BF427" s="79"/>
      <c r="BG427" s="79"/>
      <c r="BH427" s="79"/>
      <c r="BI427" s="79"/>
    </row>
    <row r="428" spans="1:61" ht="15.75" customHeight="1">
      <c r="A428" s="564" t="str">
        <f t="shared" si="199"/>
        <v>Déduction à la source</v>
      </c>
      <c r="B428" s="159"/>
      <c r="C428" s="79"/>
      <c r="D428" s="79"/>
      <c r="E428" s="79"/>
      <c r="F428" s="79"/>
      <c r="G428" s="79"/>
      <c r="H428" s="79"/>
      <c r="I428" s="79"/>
      <c r="J428" s="79"/>
      <c r="K428" s="79"/>
      <c r="L428" s="23"/>
      <c r="M428" s="96"/>
      <c r="N428" s="96"/>
      <c r="O428" s="96"/>
      <c r="P428" s="1070"/>
      <c r="Q428" s="1068"/>
      <c r="R428" s="79"/>
      <c r="S428" s="947"/>
      <c r="T428" s="947"/>
      <c r="U428" s="1077"/>
      <c r="V428" s="274" t="s">
        <v>117</v>
      </c>
      <c r="W428" s="454" t="s">
        <v>220</v>
      </c>
      <c r="X428" s="449"/>
      <c r="Y428" s="449"/>
      <c r="Z428" s="87">
        <f t="shared" si="232"/>
        <v>173644.53354491023</v>
      </c>
      <c r="AA428" s="449"/>
      <c r="AB428" s="449"/>
      <c r="AC428" s="87">
        <f t="shared" si="233"/>
        <v>173644.53354491023</v>
      </c>
      <c r="AD428" s="456"/>
      <c r="AE428" s="455"/>
      <c r="AF428" s="87">
        <f t="shared" si="234"/>
        <v>200244.55</v>
      </c>
      <c r="AG428" s="450"/>
      <c r="AH428" s="451">
        <f t="shared" si="230"/>
        <v>26600.016455089761</v>
      </c>
      <c r="AI428" s="452">
        <f t="shared" si="235"/>
        <v>0.15318660433505737</v>
      </c>
      <c r="AJ428" s="456"/>
      <c r="AK428" s="449"/>
      <c r="AL428" s="87">
        <f t="shared" si="236"/>
        <v>155668.35999999999</v>
      </c>
      <c r="AM428" s="453"/>
      <c r="AN428" s="451">
        <f t="shared" si="210"/>
        <v>44576.19</v>
      </c>
      <c r="AO428" s="208">
        <f t="shared" si="231"/>
        <v>0.28635356600403578</v>
      </c>
      <c r="AP428" s="101">
        <f>AF428-Print_Mois!AF428</f>
        <v>159483.81999999998</v>
      </c>
      <c r="AQ428" s="87">
        <v>385921.10000000003</v>
      </c>
      <c r="AR428" s="87">
        <f t="shared" si="211"/>
        <v>-185676.55000000005</v>
      </c>
      <c r="AS428" s="79"/>
      <c r="AT428" s="79"/>
      <c r="AU428" s="79"/>
      <c r="AV428" s="79"/>
      <c r="AW428" s="79"/>
      <c r="AX428" s="79"/>
      <c r="AY428" s="79"/>
      <c r="AZ428" s="79"/>
      <c r="BA428" s="79"/>
      <c r="BB428" s="79"/>
      <c r="BC428" s="79"/>
      <c r="BD428" s="79"/>
      <c r="BE428" s="79"/>
      <c r="BF428" s="79"/>
      <c r="BG428" s="79"/>
      <c r="BH428" s="79"/>
      <c r="BI428" s="79"/>
    </row>
    <row r="429" spans="1:61" ht="15.75" customHeight="1">
      <c r="A429" s="564" t="str">
        <f t="shared" si="199"/>
        <v>Bénéfices marginaux</v>
      </c>
      <c r="B429" s="159"/>
      <c r="C429" s="79"/>
      <c r="D429" s="79"/>
      <c r="E429" s="79"/>
      <c r="F429" s="79"/>
      <c r="G429" s="79"/>
      <c r="H429" s="79"/>
      <c r="I429" s="79"/>
      <c r="J429" s="79"/>
      <c r="K429" s="79"/>
      <c r="L429" s="23"/>
      <c r="M429" s="96"/>
      <c r="N429" s="96"/>
      <c r="O429" s="96"/>
      <c r="P429" s="1070"/>
      <c r="Q429" s="1068"/>
      <c r="R429" s="79"/>
      <c r="S429" s="1066"/>
      <c r="T429" s="1066"/>
      <c r="U429" s="1077"/>
      <c r="V429" s="274" t="s">
        <v>118</v>
      </c>
      <c r="W429" s="454" t="s">
        <v>221</v>
      </c>
      <c r="X429" s="449"/>
      <c r="Y429" s="449"/>
      <c r="Z429" s="87">
        <f t="shared" si="232"/>
        <v>137894.18840331107</v>
      </c>
      <c r="AA429" s="449"/>
      <c r="AB429" s="449"/>
      <c r="AC429" s="87">
        <f t="shared" si="233"/>
        <v>137894.18840331107</v>
      </c>
      <c r="AD429" s="456"/>
      <c r="AE429" s="455"/>
      <c r="AF429" s="87">
        <f t="shared" si="234"/>
        <v>103129.04</v>
      </c>
      <c r="AG429" s="450"/>
      <c r="AH429" s="451">
        <f t="shared" si="230"/>
        <v>-34765.148403311076</v>
      </c>
      <c r="AI429" s="452">
        <f t="shared" si="235"/>
        <v>-0.25211467434458107</v>
      </c>
      <c r="AJ429" s="456"/>
      <c r="AK429" s="449"/>
      <c r="AL429" s="87">
        <f t="shared" si="236"/>
        <v>124194.80000000002</v>
      </c>
      <c r="AM429" s="453"/>
      <c r="AN429" s="451">
        <f t="shared" si="210"/>
        <v>-21065.760000000024</v>
      </c>
      <c r="AO429" s="208">
        <f t="shared" si="231"/>
        <v>-0.16961869579080621</v>
      </c>
      <c r="AP429" s="101">
        <f>AF429-Print_Mois!AF429</f>
        <v>82029.399999999994</v>
      </c>
      <c r="AQ429" s="87">
        <v>304590.91000000003</v>
      </c>
      <c r="AR429" s="87">
        <f t="shared" si="211"/>
        <v>-201461.87000000005</v>
      </c>
      <c r="AS429" s="79"/>
      <c r="AT429" s="79"/>
      <c r="AU429" s="79"/>
      <c r="AV429" s="79"/>
      <c r="AW429" s="79"/>
      <c r="AX429" s="79"/>
      <c r="AY429" s="79"/>
      <c r="AZ429" s="79"/>
      <c r="BA429" s="79"/>
      <c r="BB429" s="79"/>
      <c r="BC429" s="79"/>
      <c r="BD429" s="79"/>
      <c r="BE429" s="79"/>
      <c r="BF429" s="79"/>
      <c r="BG429" s="79"/>
      <c r="BH429" s="79"/>
      <c r="BI429" s="79"/>
    </row>
    <row r="430" spans="1:61" ht="15.75" customHeight="1">
      <c r="A430" s="564" t="str">
        <f t="shared" si="199"/>
        <v>Csst</v>
      </c>
      <c r="B430" s="159"/>
      <c r="C430" s="79"/>
      <c r="D430" s="79"/>
      <c r="E430" s="79"/>
      <c r="F430" s="79"/>
      <c r="G430" s="79"/>
      <c r="H430" s="79"/>
      <c r="I430" s="79"/>
      <c r="J430" s="79"/>
      <c r="K430" s="79"/>
      <c r="L430" s="23"/>
      <c r="M430" s="96"/>
      <c r="N430" s="96"/>
      <c r="O430" s="96"/>
      <c r="P430" s="1070"/>
      <c r="Q430" s="1068"/>
      <c r="R430" s="79"/>
      <c r="S430" s="1066"/>
      <c r="T430" s="1066"/>
      <c r="U430" s="1077"/>
      <c r="V430" s="274" t="s">
        <v>119</v>
      </c>
      <c r="W430" s="454"/>
      <c r="X430" s="449"/>
      <c r="Y430" s="449"/>
      <c r="Z430" s="87">
        <f t="shared" si="232"/>
        <v>56179.113793941549</v>
      </c>
      <c r="AA430" s="449"/>
      <c r="AB430" s="449"/>
      <c r="AC430" s="87">
        <f t="shared" si="233"/>
        <v>56179.113793941549</v>
      </c>
      <c r="AD430" s="456"/>
      <c r="AE430" s="455"/>
      <c r="AF430" s="87">
        <f t="shared" si="234"/>
        <v>72128.36</v>
      </c>
      <c r="AG430" s="450"/>
      <c r="AH430" s="451">
        <f t="shared" si="230"/>
        <v>15949.246206058451</v>
      </c>
      <c r="AI430" s="97">
        <f t="shared" si="235"/>
        <v>0.28389992523838004</v>
      </c>
      <c r="AJ430" s="456"/>
      <c r="AK430" s="449"/>
      <c r="AL430" s="87">
        <f t="shared" si="236"/>
        <v>57085.869999999995</v>
      </c>
      <c r="AM430" s="453"/>
      <c r="AN430" s="451">
        <f t="shared" si="210"/>
        <v>15042.490000000005</v>
      </c>
      <c r="AO430" s="208">
        <f t="shared" si="231"/>
        <v>0.26350636330846855</v>
      </c>
      <c r="AP430" s="101">
        <f>AF430-Print_Mois!AF430</f>
        <v>59063.59</v>
      </c>
      <c r="AQ430" s="87">
        <v>169569.68</v>
      </c>
      <c r="AR430" s="87">
        <f t="shared" si="211"/>
        <v>-97441.319999999992</v>
      </c>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64" t="str">
        <f t="shared" si="199"/>
        <v>[...]</v>
      </c>
      <c r="B431" s="159"/>
      <c r="C431" s="23"/>
      <c r="D431" s="23"/>
      <c r="E431" s="23"/>
      <c r="F431" s="23"/>
      <c r="G431" s="23"/>
      <c r="H431" s="23"/>
      <c r="I431" s="23"/>
      <c r="J431" s="23"/>
      <c r="K431" s="23"/>
      <c r="L431" s="23"/>
      <c r="M431" s="23"/>
      <c r="N431" s="23"/>
      <c r="O431" s="23"/>
      <c r="P431" s="1065"/>
      <c r="Q431" s="1068"/>
      <c r="R431" s="79"/>
      <c r="S431" s="1066"/>
      <c r="T431" s="1066"/>
      <c r="U431" s="23"/>
      <c r="V431" s="285" t="s">
        <v>42</v>
      </c>
      <c r="W431" s="454"/>
      <c r="X431" s="449"/>
      <c r="Y431" s="455"/>
      <c r="Z431" s="87">
        <f t="shared" si="232"/>
        <v>0</v>
      </c>
      <c r="AA431" s="449"/>
      <c r="AB431" s="455"/>
      <c r="AC431" s="87">
        <f t="shared" si="233"/>
        <v>0</v>
      </c>
      <c r="AD431" s="456"/>
      <c r="AE431" s="455"/>
      <c r="AF431" s="87">
        <f t="shared" si="234"/>
        <v>0</v>
      </c>
      <c r="AG431" s="450"/>
      <c r="AH431" s="451"/>
      <c r="AI431" s="452"/>
      <c r="AJ431" s="456"/>
      <c r="AK431" s="451"/>
      <c r="AL431" s="87">
        <f t="shared" si="236"/>
        <v>0</v>
      </c>
      <c r="AM431" s="453"/>
      <c r="AN431" s="451"/>
      <c r="AO431" s="209"/>
      <c r="AP431" s="101">
        <f>AF431-Print_Mois!AF431</f>
        <v>0</v>
      </c>
      <c r="AQ431" s="87">
        <v>0</v>
      </c>
      <c r="AR431" s="87">
        <f t="shared" si="211"/>
        <v>0</v>
      </c>
      <c r="AS431" s="79"/>
      <c r="AT431" s="79"/>
      <c r="AU431" s="79"/>
      <c r="AV431" s="79"/>
      <c r="AW431" s="79"/>
      <c r="AX431" s="79"/>
      <c r="AY431" s="79"/>
      <c r="AZ431" s="79"/>
      <c r="BA431" s="79"/>
      <c r="BB431" s="79"/>
      <c r="BC431" s="79"/>
      <c r="BD431" s="79"/>
      <c r="BE431" s="79"/>
      <c r="BF431" s="79"/>
      <c r="BG431" s="79"/>
      <c r="BH431" s="79"/>
      <c r="BI431" s="79"/>
    </row>
    <row r="432" spans="1:61" ht="15.75" customHeight="1">
      <c r="A432" s="564" t="str">
        <f t="shared" si="199"/>
        <v>TOTAL PERSONNEL</v>
      </c>
      <c r="B432" s="159"/>
      <c r="C432" s="79"/>
      <c r="D432" s="79"/>
      <c r="E432" s="79"/>
      <c r="F432" s="79"/>
      <c r="G432" s="79"/>
      <c r="H432" s="79"/>
      <c r="I432" s="79"/>
      <c r="J432" s="79"/>
      <c r="K432" s="79"/>
      <c r="L432" s="947"/>
      <c r="M432" s="947"/>
      <c r="N432" s="947"/>
      <c r="O432" s="1072"/>
      <c r="P432" s="947"/>
      <c r="Q432" s="1076"/>
      <c r="R432" s="79"/>
      <c r="S432" s="1066"/>
      <c r="T432" s="1066"/>
      <c r="U432" s="79"/>
      <c r="V432" s="461" t="s">
        <v>120</v>
      </c>
      <c r="W432" s="88"/>
      <c r="X432" s="89">
        <f>Z432/Z406</f>
        <v>0.45996121482925761</v>
      </c>
      <c r="Y432" s="88"/>
      <c r="Z432" s="90">
        <f>SUM(Z419:Z431)</f>
        <v>1398987.5265053201</v>
      </c>
      <c r="AA432" s="89">
        <f>AC432/AC406</f>
        <v>0.45996121482925761</v>
      </c>
      <c r="AB432" s="88"/>
      <c r="AC432" s="90">
        <f>SUM(AC419:AC431)</f>
        <v>1398987.5265053201</v>
      </c>
      <c r="AD432" s="91">
        <f>AF432/AF406</f>
        <v>0.42837382418316172</v>
      </c>
      <c r="AE432" s="98"/>
      <c r="AF432" s="90">
        <f>SUM(AF419:AF431)</f>
        <v>1312770</v>
      </c>
      <c r="AG432" s="99"/>
      <c r="AH432" s="93">
        <f t="shared" ref="AH432:AH446" si="241">AF432-AC432</f>
        <v>-86217.5265053201</v>
      </c>
      <c r="AI432" s="89">
        <f>AH432/AC432</f>
        <v>-6.1628516960899604E-2</v>
      </c>
      <c r="AJ432" s="91">
        <f>IF($AL$406=0,0,AL432/$AL$406)</f>
        <v>0.48590179991409516</v>
      </c>
      <c r="AK432" s="88"/>
      <c r="AL432" s="90">
        <f>SUM(AL419:AL431)</f>
        <v>1253205.9500000002</v>
      </c>
      <c r="AM432" s="100"/>
      <c r="AN432" s="93">
        <f t="shared" ref="AN432:AN446" si="242">AF432-AL432</f>
        <v>59564.049999999814</v>
      </c>
      <c r="AO432" s="447">
        <f>IF(AL432=0,0,AN432/AL432)</f>
        <v>4.7529338653395162E-2</v>
      </c>
      <c r="AP432" s="101">
        <f>AF432-Print_Mois!AF432</f>
        <v>1026163.86</v>
      </c>
      <c r="AQ432" s="90">
        <v>3150280.47</v>
      </c>
      <c r="AR432" s="90">
        <f t="shared" si="211"/>
        <v>-1837510.4700000002</v>
      </c>
      <c r="AS432" s="79"/>
      <c r="AT432" s="79"/>
      <c r="AU432" s="79"/>
      <c r="AV432" s="79"/>
      <c r="AW432" s="79"/>
      <c r="AX432" s="79"/>
      <c r="AY432" s="79"/>
      <c r="AZ432" s="79"/>
      <c r="BA432" s="79"/>
      <c r="BB432" s="79"/>
      <c r="BC432" s="79"/>
      <c r="BD432" s="79"/>
      <c r="BE432" s="79"/>
      <c r="BF432" s="79"/>
      <c r="BG432" s="79"/>
      <c r="BH432" s="79"/>
      <c r="BI432" s="79"/>
    </row>
    <row r="433" spans="1:62" ht="15.75" customHeight="1">
      <c r="A433" s="564" t="str">
        <f t="shared" si="199"/>
        <v>Publicité 2</v>
      </c>
      <c r="B433" s="159"/>
      <c r="C433" s="79"/>
      <c r="D433" s="79"/>
      <c r="E433" s="79"/>
      <c r="F433" s="79"/>
      <c r="G433" s="79"/>
      <c r="H433" s="79"/>
      <c r="I433" s="79"/>
      <c r="J433" s="79"/>
      <c r="K433" s="79"/>
      <c r="L433" s="79"/>
      <c r="M433" s="1072"/>
      <c r="N433" s="1069"/>
      <c r="O433" s="1073"/>
      <c r="P433" s="1065"/>
      <c r="Q433" s="1068"/>
      <c r="R433" s="79"/>
      <c r="S433" s="947"/>
      <c r="T433" s="947"/>
      <c r="U433" s="79"/>
      <c r="V433" s="294" t="s">
        <v>121</v>
      </c>
      <c r="W433" s="462" t="s">
        <v>211</v>
      </c>
      <c r="X433" s="463"/>
      <c r="Y433" s="463"/>
      <c r="Z433" s="464">
        <f t="shared" ref="Z433:Z450" si="243">+SUMIF($C:$C,$V433,F:F)</f>
        <v>53221.25</v>
      </c>
      <c r="AA433" s="463"/>
      <c r="AB433" s="463"/>
      <c r="AC433" s="464">
        <f t="shared" ref="AC433:AC450" si="244">+SUMIF($C:$C,$V433,I:I)</f>
        <v>53221.25</v>
      </c>
      <c r="AD433" s="465"/>
      <c r="AE433" s="466"/>
      <c r="AF433" s="464">
        <f t="shared" ref="AF433:AF446" si="245">+SUMIF($C:$C,$V433,L:L)</f>
        <v>72967.14</v>
      </c>
      <c r="AG433" s="465"/>
      <c r="AH433" s="467">
        <f t="shared" si="241"/>
        <v>19745.89</v>
      </c>
      <c r="AI433" s="468">
        <f>IF(AC433=0,0,AH433/AC433)</f>
        <v>0.37101514902412097</v>
      </c>
      <c r="AJ433" s="465"/>
      <c r="AK433" s="463"/>
      <c r="AL433" s="464">
        <f t="shared" ref="AL433:AL450" si="246">+SUMIF($C:$C,$V433,Q:Q)</f>
        <v>50340.32</v>
      </c>
      <c r="AM433" s="469"/>
      <c r="AN433" s="467">
        <f t="shared" si="242"/>
        <v>22626.82</v>
      </c>
      <c r="AO433" s="207">
        <f t="shared" ref="AO433:AO446" si="247">IF(AL433=0,0,AN433/AL433)</f>
        <v>0.44947707920807811</v>
      </c>
      <c r="AP433" s="101">
        <f>AF433-Print_Mois!AF433</f>
        <v>46485.63</v>
      </c>
      <c r="AQ433" s="464">
        <v>125430</v>
      </c>
      <c r="AR433" s="464">
        <f t="shared" si="211"/>
        <v>-52462.86</v>
      </c>
      <c r="AS433" s="79"/>
      <c r="AT433" s="79"/>
      <c r="AU433" s="79"/>
      <c r="AV433" s="79"/>
      <c r="AW433" s="79"/>
      <c r="AX433" s="79"/>
      <c r="AY433" s="79"/>
      <c r="AZ433" s="79"/>
      <c r="BA433" s="79"/>
      <c r="BB433" s="79"/>
      <c r="BC433" s="79"/>
      <c r="BD433" s="79"/>
      <c r="BE433" s="79"/>
      <c r="BF433" s="79"/>
      <c r="BG433" s="79"/>
      <c r="BH433" s="79"/>
      <c r="BI433" s="79"/>
    </row>
    <row r="434" spans="1:62" ht="15.75" customHeight="1">
      <c r="A434" s="564" t="str">
        <f t="shared" si="199"/>
        <v>Service gratuit 2</v>
      </c>
      <c r="B434" s="159"/>
      <c r="C434" s="79"/>
      <c r="D434" s="79"/>
      <c r="E434" s="79"/>
      <c r="F434" s="79"/>
      <c r="G434" s="79"/>
      <c r="H434" s="79"/>
      <c r="I434" s="79"/>
      <c r="J434" s="79"/>
      <c r="K434" s="79"/>
      <c r="L434" s="79"/>
      <c r="M434" s="79"/>
      <c r="N434" s="947"/>
      <c r="O434" s="1071"/>
      <c r="P434" s="1074"/>
      <c r="Q434" s="1075"/>
      <c r="R434" s="79"/>
      <c r="S434" s="947"/>
      <c r="T434" s="947"/>
      <c r="U434" s="79"/>
      <c r="V434" s="299" t="s">
        <v>122</v>
      </c>
      <c r="W434" s="454" t="s">
        <v>222</v>
      </c>
      <c r="X434" s="449"/>
      <c r="Y434" s="449"/>
      <c r="Z434" s="87">
        <f t="shared" si="243"/>
        <v>19045.454928011306</v>
      </c>
      <c r="AA434" s="449"/>
      <c r="AB434" s="449"/>
      <c r="AC434" s="87">
        <f t="shared" si="244"/>
        <v>19045.454928011306</v>
      </c>
      <c r="AD434" s="456"/>
      <c r="AE434" s="455"/>
      <c r="AF434" s="87">
        <f t="shared" si="245"/>
        <v>20409.559999999998</v>
      </c>
      <c r="AG434" s="450"/>
      <c r="AH434" s="451">
        <f t="shared" si="241"/>
        <v>1364.1050719886916</v>
      </c>
      <c r="AI434" s="452">
        <f t="shared" ref="AI434:AI446" si="248">IF(AC434=0,0,AH434/AC434)</f>
        <v>7.1623653892479072E-2</v>
      </c>
      <c r="AJ434" s="456"/>
      <c r="AK434" s="449"/>
      <c r="AL434" s="87">
        <f t="shared" si="246"/>
        <v>15999.88</v>
      </c>
      <c r="AM434" s="453"/>
      <c r="AN434" s="451">
        <f t="shared" si="242"/>
        <v>4409.6799999999985</v>
      </c>
      <c r="AO434" s="208">
        <f t="shared" si="247"/>
        <v>0.27560706705300281</v>
      </c>
      <c r="AP434" s="101">
        <f>AF434-Print_Mois!AF434</f>
        <v>14735.049999999997</v>
      </c>
      <c r="AQ434" s="87">
        <v>49781.939999999995</v>
      </c>
      <c r="AR434" s="87">
        <f t="shared" si="211"/>
        <v>-29372.379999999997</v>
      </c>
      <c r="AS434" s="79"/>
      <c r="AT434" s="79"/>
      <c r="AU434" s="79"/>
      <c r="AV434" s="79"/>
      <c r="AW434" s="79"/>
      <c r="AX434" s="79"/>
      <c r="AY434" s="79"/>
      <c r="AZ434" s="79"/>
      <c r="BA434" s="79"/>
      <c r="BB434" s="79"/>
      <c r="BC434" s="79"/>
      <c r="BD434" s="79"/>
      <c r="BE434" s="79"/>
      <c r="BF434" s="79"/>
      <c r="BG434" s="79"/>
      <c r="BH434" s="79"/>
      <c r="BI434" s="79"/>
    </row>
    <row r="435" spans="1:62" ht="15.75" customHeight="1">
      <c r="A435" s="564" t="str">
        <f t="shared" si="199"/>
        <v>Frais véhicules de cie</v>
      </c>
      <c r="B435" s="159"/>
      <c r="C435" s="79"/>
      <c r="D435" s="79"/>
      <c r="E435" s="79"/>
      <c r="F435" s="79"/>
      <c r="G435" s="79"/>
      <c r="H435" s="79"/>
      <c r="I435" s="79"/>
      <c r="J435" s="79"/>
      <c r="K435" s="79"/>
      <c r="L435" s="23"/>
      <c r="M435" s="96"/>
      <c r="N435" s="96"/>
      <c r="O435" s="96"/>
      <c r="P435" s="1074"/>
      <c r="Q435" s="1075"/>
      <c r="R435" s="79"/>
      <c r="S435" s="947"/>
      <c r="T435" s="947"/>
      <c r="U435" s="79"/>
      <c r="V435" s="300" t="s">
        <v>123</v>
      </c>
      <c r="W435" s="457" t="s">
        <v>223</v>
      </c>
      <c r="X435" s="439"/>
      <c r="Y435" s="439"/>
      <c r="Z435" s="440">
        <f t="shared" si="243"/>
        <v>103207.94222222222</v>
      </c>
      <c r="AA435" s="439"/>
      <c r="AB435" s="439"/>
      <c r="AC435" s="440">
        <f t="shared" si="244"/>
        <v>103207.94222222222</v>
      </c>
      <c r="AD435" s="459"/>
      <c r="AE435" s="458"/>
      <c r="AF435" s="440">
        <f t="shared" si="245"/>
        <v>99865.58</v>
      </c>
      <c r="AG435" s="441"/>
      <c r="AH435" s="442">
        <f t="shared" si="241"/>
        <v>-3342.3622222222184</v>
      </c>
      <c r="AI435" s="460">
        <f t="shared" si="248"/>
        <v>-3.2384738521630534E-2</v>
      </c>
      <c r="AJ435" s="459"/>
      <c r="AK435" s="439"/>
      <c r="AL435" s="440">
        <f t="shared" si="246"/>
        <v>102713.96</v>
      </c>
      <c r="AM435" s="444"/>
      <c r="AN435" s="442">
        <f t="shared" si="242"/>
        <v>-2848.3800000000047</v>
      </c>
      <c r="AO435" s="445">
        <f t="shared" si="247"/>
        <v>-2.7731186685821523E-2</v>
      </c>
      <c r="AP435" s="101">
        <f>AF435-Print_Mois!AF435</f>
        <v>78990.38</v>
      </c>
      <c r="AQ435" s="440">
        <v>264277.83</v>
      </c>
      <c r="AR435" s="440">
        <f t="shared" si="211"/>
        <v>-164412.25</v>
      </c>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64" t="str">
        <f t="shared" si="199"/>
        <v>Informatique</v>
      </c>
      <c r="B436" s="159"/>
      <c r="C436" s="79"/>
      <c r="D436" s="79"/>
      <c r="E436" s="79"/>
      <c r="F436" s="79"/>
      <c r="G436" s="79"/>
      <c r="H436" s="79"/>
      <c r="I436" s="79"/>
      <c r="J436" s="79"/>
      <c r="K436" s="79"/>
      <c r="L436" s="23"/>
      <c r="M436" s="96"/>
      <c r="N436" s="96"/>
      <c r="O436" s="96"/>
      <c r="P436" s="1074"/>
      <c r="Q436" s="1075"/>
      <c r="R436" s="79"/>
      <c r="S436" s="947"/>
      <c r="T436" s="947"/>
      <c r="U436" s="79"/>
      <c r="V436" s="299" t="s">
        <v>124</v>
      </c>
      <c r="W436" s="454" t="s">
        <v>224</v>
      </c>
      <c r="X436" s="449"/>
      <c r="Y436" s="449"/>
      <c r="Z436" s="87">
        <f t="shared" si="243"/>
        <v>100171.02233333334</v>
      </c>
      <c r="AA436" s="449"/>
      <c r="AB436" s="449"/>
      <c r="AC436" s="87">
        <f t="shared" si="244"/>
        <v>100171.02233333334</v>
      </c>
      <c r="AD436" s="456"/>
      <c r="AE436" s="455"/>
      <c r="AF436" s="87">
        <f t="shared" si="245"/>
        <v>97468</v>
      </c>
      <c r="AG436" s="450"/>
      <c r="AH436" s="451">
        <f t="shared" si="241"/>
        <v>-2703.0223333333415</v>
      </c>
      <c r="AI436" s="452">
        <f t="shared" si="248"/>
        <v>-2.6984074539427676E-2</v>
      </c>
      <c r="AJ436" s="456"/>
      <c r="AK436" s="449"/>
      <c r="AL436" s="87">
        <f t="shared" si="246"/>
        <v>82141.259999999995</v>
      </c>
      <c r="AM436" s="453"/>
      <c r="AN436" s="451">
        <f t="shared" si="242"/>
        <v>15326.740000000005</v>
      </c>
      <c r="AO436" s="208">
        <f t="shared" si="247"/>
        <v>0.18659002795915239</v>
      </c>
      <c r="AP436" s="101">
        <f>AF436-Print_Mois!AF436</f>
        <v>78169.45</v>
      </c>
      <c r="AQ436" s="87">
        <v>196527.27999999997</v>
      </c>
      <c r="AR436" s="87">
        <f t="shared" si="211"/>
        <v>-99059.27999999997</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64" t="str">
        <f t="shared" si="199"/>
        <v>Frais de déplacement</v>
      </c>
      <c r="B437" s="159"/>
      <c r="C437" s="79"/>
      <c r="D437" s="79"/>
      <c r="E437" s="79"/>
      <c r="F437" s="79"/>
      <c r="G437" s="79"/>
      <c r="H437" s="79"/>
      <c r="I437" s="79"/>
      <c r="J437" s="79"/>
      <c r="K437" s="79"/>
      <c r="L437" s="23"/>
      <c r="M437" s="96"/>
      <c r="N437" s="96"/>
      <c r="O437" s="96"/>
      <c r="P437" s="1074"/>
      <c r="Q437" s="1075"/>
      <c r="R437" s="79"/>
      <c r="S437" s="947"/>
      <c r="T437" s="947"/>
      <c r="U437" s="79"/>
      <c r="V437" s="299" t="s">
        <v>125</v>
      </c>
      <c r="W437" s="454" t="s">
        <v>225</v>
      </c>
      <c r="X437" s="449"/>
      <c r="Y437" s="449"/>
      <c r="Z437" s="87">
        <f t="shared" si="243"/>
        <v>12377.215625000001</v>
      </c>
      <c r="AA437" s="449"/>
      <c r="AB437" s="449"/>
      <c r="AC437" s="87">
        <f t="shared" si="244"/>
        <v>12377.215625000001</v>
      </c>
      <c r="AD437" s="456"/>
      <c r="AE437" s="455"/>
      <c r="AF437" s="87">
        <f t="shared" si="245"/>
        <v>12849.94</v>
      </c>
      <c r="AG437" s="450"/>
      <c r="AH437" s="451">
        <f t="shared" si="241"/>
        <v>472.72437499999978</v>
      </c>
      <c r="AI437" s="452">
        <f t="shared" si="248"/>
        <v>3.8193111384855573E-2</v>
      </c>
      <c r="AJ437" s="456"/>
      <c r="AK437" s="449"/>
      <c r="AL437" s="87">
        <f t="shared" si="246"/>
        <v>5090.97</v>
      </c>
      <c r="AM437" s="453"/>
      <c r="AN437" s="451">
        <f t="shared" si="242"/>
        <v>7758.97</v>
      </c>
      <c r="AO437" s="208">
        <f t="shared" si="247"/>
        <v>1.5240651585061393</v>
      </c>
      <c r="AP437" s="101">
        <f>AF437-Print_Mois!AF437</f>
        <v>8311.39</v>
      </c>
      <c r="AQ437" s="87">
        <v>23315.16</v>
      </c>
      <c r="AR437" s="87">
        <f t="shared" si="211"/>
        <v>-10465.219999999999</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64" t="str">
        <f t="shared" si="199"/>
        <v>Services extérieurs</v>
      </c>
      <c r="B438" s="159"/>
      <c r="C438" s="79"/>
      <c r="D438" s="79"/>
      <c r="E438" s="79"/>
      <c r="F438" s="79"/>
      <c r="G438" s="79"/>
      <c r="H438" s="79"/>
      <c r="I438" s="79"/>
      <c r="J438" s="79"/>
      <c r="K438" s="79"/>
      <c r="L438" s="23"/>
      <c r="M438" s="23"/>
      <c r="N438" s="23"/>
      <c r="O438" s="95"/>
      <c r="P438" s="1074"/>
      <c r="Q438" s="1068"/>
      <c r="R438" s="79"/>
      <c r="S438" s="947"/>
      <c r="T438" s="947"/>
      <c r="U438" s="79"/>
      <c r="V438" s="299" t="s">
        <v>126</v>
      </c>
      <c r="W438" s="454" t="s">
        <v>226</v>
      </c>
      <c r="X438" s="449"/>
      <c r="Y438" s="449"/>
      <c r="Z438" s="87">
        <f t="shared" si="243"/>
        <v>106811.47217777776</v>
      </c>
      <c r="AA438" s="449"/>
      <c r="AB438" s="449"/>
      <c r="AC438" s="87">
        <f t="shared" si="244"/>
        <v>106811.47217777776</v>
      </c>
      <c r="AD438" s="456"/>
      <c r="AE438" s="455"/>
      <c r="AF438" s="87">
        <f t="shared" si="245"/>
        <v>93684.74</v>
      </c>
      <c r="AG438" s="450"/>
      <c r="AH438" s="451">
        <f t="shared" si="241"/>
        <v>-13126.732177777754</v>
      </c>
      <c r="AI438" s="452">
        <f t="shared" si="248"/>
        <v>-0.12289627612218966</v>
      </c>
      <c r="AJ438" s="456"/>
      <c r="AK438" s="449"/>
      <c r="AL438" s="87">
        <f t="shared" si="246"/>
        <v>86509.23000000001</v>
      </c>
      <c r="AM438" s="453"/>
      <c r="AN438" s="451">
        <f t="shared" si="242"/>
        <v>7175.5099999999948</v>
      </c>
      <c r="AO438" s="208">
        <f t="shared" si="247"/>
        <v>8.2945022166998755E-2</v>
      </c>
      <c r="AP438" s="101">
        <f>AF438-Print_Mois!AF438</f>
        <v>75853.19</v>
      </c>
      <c r="AQ438" s="87">
        <v>210105.43</v>
      </c>
      <c r="AR438" s="87">
        <f t="shared" si="211"/>
        <v>-116420.68999999999</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59"/>
      <c r="C439" s="79"/>
      <c r="D439" s="79"/>
      <c r="E439" s="79"/>
      <c r="F439" s="79"/>
      <c r="G439" s="79"/>
      <c r="H439" s="79"/>
      <c r="I439" s="79"/>
      <c r="J439" s="79"/>
      <c r="K439" s="79"/>
      <c r="L439" s="947"/>
      <c r="M439" s="1072"/>
      <c r="N439" s="1069"/>
      <c r="O439" s="1071"/>
      <c r="P439" s="1074"/>
      <c r="Q439" s="79"/>
      <c r="R439" s="79"/>
      <c r="S439" s="947"/>
      <c r="T439" s="947"/>
      <c r="U439" s="79"/>
      <c r="V439" s="680" t="s">
        <v>1989</v>
      </c>
      <c r="W439" s="681"/>
      <c r="X439" s="682"/>
      <c r="Y439" s="682"/>
      <c r="Z439" s="683">
        <f t="shared" si="243"/>
        <v>0</v>
      </c>
      <c r="AA439" s="682"/>
      <c r="AB439" s="682"/>
      <c r="AC439" s="683">
        <f t="shared" si="244"/>
        <v>0</v>
      </c>
      <c r="AD439" s="684"/>
      <c r="AE439" s="685"/>
      <c r="AF439" s="683">
        <f t="shared" si="245"/>
        <v>0</v>
      </c>
      <c r="AG439" s="686"/>
      <c r="AH439" s="687">
        <f t="shared" ref="AH439" si="249">AF439-AC439</f>
        <v>0</v>
      </c>
      <c r="AI439" s="688">
        <f t="shared" ref="AI439" si="250">IF(AC439=0,0,AH439/AC439)</f>
        <v>0</v>
      </c>
      <c r="AJ439" s="684"/>
      <c r="AK439" s="682"/>
      <c r="AL439" s="683">
        <f t="shared" si="246"/>
        <v>0</v>
      </c>
      <c r="AM439" s="689"/>
      <c r="AN439" s="687">
        <f t="shared" ref="AN439" si="251">AF439-AL439</f>
        <v>0</v>
      </c>
      <c r="AO439" s="690">
        <f t="shared" ref="AO439" si="252">IF(AL439=0,0,AN439/AL439)</f>
        <v>0</v>
      </c>
      <c r="AP439" s="101">
        <f>AF439-Print_Mois!AF439</f>
        <v>0</v>
      </c>
      <c r="AQ439" s="683">
        <v>0</v>
      </c>
      <c r="AR439" s="683">
        <f t="shared" si="211"/>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64" t="str">
        <f t="shared" ref="A440:A483" si="253">+U440&amp;V440</f>
        <v>Fournitures autres</v>
      </c>
      <c r="B440" s="159"/>
      <c r="C440" s="79"/>
      <c r="D440" s="79"/>
      <c r="E440" s="79"/>
      <c r="F440" s="79"/>
      <c r="G440" s="79"/>
      <c r="H440" s="79"/>
      <c r="I440" s="79"/>
      <c r="J440" s="79"/>
      <c r="K440" s="79"/>
      <c r="L440" s="79"/>
      <c r="M440" s="79"/>
      <c r="N440" s="79"/>
      <c r="O440" s="79"/>
      <c r="P440" s="102"/>
      <c r="Q440" s="101"/>
      <c r="R440" s="79"/>
      <c r="S440" s="79"/>
      <c r="T440" s="79"/>
      <c r="U440" s="79"/>
      <c r="V440" s="299" t="s">
        <v>127</v>
      </c>
      <c r="W440" s="454" t="s">
        <v>227</v>
      </c>
      <c r="X440" s="449"/>
      <c r="Y440" s="455"/>
      <c r="Z440" s="87">
        <f t="shared" si="243"/>
        <v>6915.6186989840098</v>
      </c>
      <c r="AA440" s="449"/>
      <c r="AB440" s="455"/>
      <c r="AC440" s="87">
        <f t="shared" si="244"/>
        <v>6915.6186989840098</v>
      </c>
      <c r="AD440" s="456"/>
      <c r="AE440" s="455"/>
      <c r="AF440" s="87">
        <f t="shared" si="245"/>
        <v>15030.239999999998</v>
      </c>
      <c r="AG440" s="450"/>
      <c r="AH440" s="451">
        <f t="shared" si="241"/>
        <v>8114.6213010159881</v>
      </c>
      <c r="AI440" s="452">
        <f t="shared" si="248"/>
        <v>1.173376042581429</v>
      </c>
      <c r="AJ440" s="456"/>
      <c r="AK440" s="449"/>
      <c r="AL440" s="87">
        <f t="shared" si="246"/>
        <v>7507.79</v>
      </c>
      <c r="AM440" s="453"/>
      <c r="AN440" s="451">
        <f t="shared" si="242"/>
        <v>7522.449999999998</v>
      </c>
      <c r="AO440" s="208">
        <f t="shared" si="247"/>
        <v>1.0019526385261173</v>
      </c>
      <c r="AP440" s="101">
        <f>AF440-Print_Mois!AF440</f>
        <v>10079.399999999998</v>
      </c>
      <c r="AQ440" s="87">
        <v>11807.78</v>
      </c>
      <c r="AR440" s="87">
        <f t="shared" si="211"/>
        <v>3222.4599999999973</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64" t="str">
        <f t="shared" si="253"/>
        <v>Uniformes</v>
      </c>
      <c r="B441" s="159"/>
      <c r="C441" s="79"/>
      <c r="D441" s="79"/>
      <c r="E441" s="79"/>
      <c r="F441" s="79"/>
      <c r="G441" s="79"/>
      <c r="H441" s="79"/>
      <c r="I441" s="79"/>
      <c r="J441" s="79"/>
      <c r="K441" s="79"/>
      <c r="L441" s="79"/>
      <c r="M441" s="79"/>
      <c r="N441" s="79"/>
      <c r="O441" s="79"/>
      <c r="Q441" s="101"/>
      <c r="S441" s="79"/>
      <c r="T441" s="79"/>
      <c r="U441" s="79"/>
      <c r="V441" s="299" t="s">
        <v>128</v>
      </c>
      <c r="W441" s="454" t="s">
        <v>228</v>
      </c>
      <c r="X441" s="449"/>
      <c r="Y441" s="449"/>
      <c r="Z441" s="87">
        <f t="shared" si="243"/>
        <v>3674.7779803641761</v>
      </c>
      <c r="AA441" s="449"/>
      <c r="AB441" s="449"/>
      <c r="AC441" s="87">
        <f t="shared" si="244"/>
        <v>3674.7779803641761</v>
      </c>
      <c r="AD441" s="456"/>
      <c r="AE441" s="455"/>
      <c r="AF441" s="87">
        <f t="shared" si="245"/>
        <v>8682.51</v>
      </c>
      <c r="AG441" s="450"/>
      <c r="AH441" s="451">
        <f t="shared" si="241"/>
        <v>5007.7320196358241</v>
      </c>
      <c r="AI441" s="97">
        <f t="shared" si="248"/>
        <v>1.3627304959358526</v>
      </c>
      <c r="AJ441" s="456"/>
      <c r="AK441" s="449"/>
      <c r="AL441" s="87">
        <f t="shared" si="246"/>
        <v>3130.91</v>
      </c>
      <c r="AM441" s="453"/>
      <c r="AN441" s="451">
        <f t="shared" si="242"/>
        <v>5551.6</v>
      </c>
      <c r="AO441" s="208">
        <f t="shared" si="247"/>
        <v>1.7731586024510448</v>
      </c>
      <c r="AP441" s="101">
        <f>AF441-Print_Mois!AF441</f>
        <v>3184.2200000000003</v>
      </c>
      <c r="AQ441" s="87">
        <v>8653.5300000000007</v>
      </c>
      <c r="AR441" s="87">
        <f t="shared" si="211"/>
        <v>28.979999999999563</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64" t="str">
        <f t="shared" si="253"/>
        <v>Papeterie</v>
      </c>
      <c r="B442" s="159"/>
      <c r="C442" s="79"/>
      <c r="D442" s="79"/>
      <c r="E442" s="79"/>
      <c r="F442" s="79"/>
      <c r="G442" s="79"/>
      <c r="H442" s="79"/>
      <c r="I442" s="79"/>
      <c r="J442" s="79"/>
      <c r="K442" s="79"/>
      <c r="L442" s="79"/>
      <c r="M442" s="79"/>
      <c r="N442" s="79"/>
      <c r="O442" s="79"/>
      <c r="P442" s="102"/>
      <c r="Q442" s="101"/>
      <c r="R442" s="79"/>
      <c r="S442" s="79"/>
      <c r="T442" s="79"/>
      <c r="U442" s="79"/>
      <c r="V442" s="299" t="s">
        <v>129</v>
      </c>
      <c r="W442" s="454" t="s">
        <v>229</v>
      </c>
      <c r="X442" s="449"/>
      <c r="Y442" s="449"/>
      <c r="Z442" s="87">
        <f t="shared" si="243"/>
        <v>10201.005000000001</v>
      </c>
      <c r="AA442" s="449"/>
      <c r="AB442" s="449"/>
      <c r="AC442" s="87">
        <f t="shared" si="244"/>
        <v>10201.005000000001</v>
      </c>
      <c r="AD442" s="456"/>
      <c r="AE442" s="455"/>
      <c r="AF442" s="87">
        <f t="shared" si="245"/>
        <v>11611.54</v>
      </c>
      <c r="AG442" s="450"/>
      <c r="AH442" s="451">
        <f t="shared" si="241"/>
        <v>1410.5349999999999</v>
      </c>
      <c r="AI442" s="452">
        <f t="shared" si="248"/>
        <v>0.13827412103023179</v>
      </c>
      <c r="AJ442" s="456"/>
      <c r="AK442" s="449"/>
      <c r="AL442" s="87">
        <f t="shared" si="246"/>
        <v>8851.94</v>
      </c>
      <c r="AM442" s="453"/>
      <c r="AN442" s="451">
        <f t="shared" si="242"/>
        <v>2759.6000000000004</v>
      </c>
      <c r="AO442" s="208">
        <f t="shared" si="247"/>
        <v>0.31175087043066269</v>
      </c>
      <c r="AP442" s="101">
        <f>AF442-Print_Mois!AF442</f>
        <v>8252.010000000002</v>
      </c>
      <c r="AQ442" s="87">
        <v>23241.73</v>
      </c>
      <c r="AR442" s="87">
        <f t="shared" si="211"/>
        <v>-11630.189999999999</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64" t="str">
        <f t="shared" si="253"/>
        <v>Téléphone</v>
      </c>
      <c r="B443" s="159"/>
      <c r="C443" s="79"/>
      <c r="D443" s="79"/>
      <c r="E443" s="79"/>
      <c r="F443" s="79"/>
      <c r="G443" s="79"/>
      <c r="H443" s="79"/>
      <c r="I443" s="79"/>
      <c r="J443" s="79"/>
      <c r="K443" s="79"/>
      <c r="L443" s="79"/>
      <c r="M443" s="79"/>
      <c r="N443" s="79"/>
      <c r="O443" s="79"/>
      <c r="P443" s="79"/>
      <c r="Q443" s="101"/>
      <c r="S443" s="79"/>
      <c r="T443" s="79"/>
      <c r="U443" s="79"/>
      <c r="V443" s="299" t="s">
        <v>130</v>
      </c>
      <c r="W443" s="454" t="s">
        <v>230</v>
      </c>
      <c r="X443" s="449"/>
      <c r="Y443" s="449"/>
      <c r="Z443" s="87">
        <f t="shared" si="243"/>
        <v>4710.3832291666668</v>
      </c>
      <c r="AA443" s="449"/>
      <c r="AB443" s="449"/>
      <c r="AC443" s="87">
        <f t="shared" si="244"/>
        <v>4710.3832291666668</v>
      </c>
      <c r="AD443" s="456"/>
      <c r="AE443" s="455"/>
      <c r="AF443" s="87">
        <f t="shared" si="245"/>
        <v>3074.7299999999996</v>
      </c>
      <c r="AG443" s="450"/>
      <c r="AH443" s="451">
        <f t="shared" si="241"/>
        <v>-1635.6532291666672</v>
      </c>
      <c r="AI443" s="97">
        <f t="shared" si="248"/>
        <v>-0.34724419428099002</v>
      </c>
      <c r="AJ443" s="456"/>
      <c r="AK443" s="449"/>
      <c r="AL443" s="87">
        <f t="shared" si="246"/>
        <v>4690.2</v>
      </c>
      <c r="AM443" s="453"/>
      <c r="AN443" s="451">
        <f t="shared" si="242"/>
        <v>-1615.4700000000003</v>
      </c>
      <c r="AO443" s="208">
        <f t="shared" si="247"/>
        <v>-0.34443520532173477</v>
      </c>
      <c r="AP443" s="101">
        <f>AF443-Print_Mois!AF443</f>
        <v>2471.3799999999997</v>
      </c>
      <c r="AQ443" s="87">
        <v>9864.81</v>
      </c>
      <c r="AR443" s="87">
        <f t="shared" si="211"/>
        <v>-6790.08</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tr">
        <f t="shared" si="253"/>
        <v>Frais postaux</v>
      </c>
      <c r="B444" s="159"/>
      <c r="C444" s="79"/>
      <c r="D444" s="79"/>
      <c r="E444" s="79"/>
      <c r="F444" s="79"/>
      <c r="G444" s="79"/>
      <c r="H444" s="79"/>
      <c r="I444" s="79"/>
      <c r="J444" s="79"/>
      <c r="K444" s="79"/>
      <c r="L444" s="79"/>
      <c r="M444" s="79"/>
      <c r="N444" s="79"/>
      <c r="O444" s="79"/>
      <c r="P444" s="79"/>
      <c r="Q444" s="101"/>
      <c r="S444" s="79"/>
      <c r="T444" s="79"/>
      <c r="U444" s="79"/>
      <c r="V444" s="299" t="s">
        <v>131</v>
      </c>
      <c r="W444" s="454" t="s">
        <v>231</v>
      </c>
      <c r="X444" s="449"/>
      <c r="Y444" s="449"/>
      <c r="Z444" s="87">
        <f t="shared" si="243"/>
        <v>2514.3292708333329</v>
      </c>
      <c r="AA444" s="449"/>
      <c r="AB444" s="449"/>
      <c r="AC444" s="87">
        <f t="shared" si="244"/>
        <v>2514.3292708333329</v>
      </c>
      <c r="AD444" s="456"/>
      <c r="AE444" s="455"/>
      <c r="AF444" s="87">
        <f t="shared" si="245"/>
        <v>1362.5800000000002</v>
      </c>
      <c r="AG444" s="450"/>
      <c r="AH444" s="451">
        <f t="shared" si="241"/>
        <v>-1151.7492708333327</v>
      </c>
      <c r="AI444" s="452">
        <f t="shared" si="248"/>
        <v>-0.4580741608483142</v>
      </c>
      <c r="AJ444" s="456"/>
      <c r="AK444" s="449"/>
      <c r="AL444" s="87">
        <f t="shared" si="246"/>
        <v>1442.3300000000002</v>
      </c>
      <c r="AM444" s="453"/>
      <c r="AN444" s="451">
        <f t="shared" si="242"/>
        <v>-79.75</v>
      </c>
      <c r="AO444" s="208">
        <f t="shared" si="247"/>
        <v>-5.5292478143004718E-2</v>
      </c>
      <c r="AP444" s="101">
        <f>AF444-Print_Mois!AF444</f>
        <v>1305.0100000000002</v>
      </c>
      <c r="AQ444" s="87">
        <v>5873.8099999999995</v>
      </c>
      <c r="AR444" s="87">
        <f t="shared" si="211"/>
        <v>-4511.2299999999996</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tr">
        <f t="shared" si="253"/>
        <v>Divers</v>
      </c>
      <c r="B445" s="159"/>
      <c r="C445" s="79"/>
      <c r="D445" s="79"/>
      <c r="E445" s="79"/>
      <c r="F445" s="79"/>
      <c r="G445" s="79"/>
      <c r="H445" s="79"/>
      <c r="I445" s="79"/>
      <c r="J445" s="79"/>
      <c r="K445" s="79"/>
      <c r="L445" s="79"/>
      <c r="M445" s="79"/>
      <c r="N445" s="79"/>
      <c r="O445" s="79"/>
      <c r="P445" s="79"/>
      <c r="Q445" s="101"/>
      <c r="R445" s="79"/>
      <c r="S445" s="79"/>
      <c r="T445" s="79"/>
      <c r="U445" s="79"/>
      <c r="V445" s="299" t="s">
        <v>132</v>
      </c>
      <c r="W445" s="454" t="s">
        <v>232</v>
      </c>
      <c r="X445" s="449"/>
      <c r="Y445" s="455"/>
      <c r="Z445" s="87">
        <f t="shared" si="243"/>
        <v>12128.64989583333</v>
      </c>
      <c r="AA445" s="449"/>
      <c r="AB445" s="455"/>
      <c r="AC445" s="87">
        <f t="shared" si="244"/>
        <v>12128.64989583333</v>
      </c>
      <c r="AD445" s="456"/>
      <c r="AE445" s="455"/>
      <c r="AF445" s="87">
        <f t="shared" si="245"/>
        <v>6036.5499999999993</v>
      </c>
      <c r="AG445" s="450"/>
      <c r="AH445" s="451">
        <f t="shared" si="241"/>
        <v>-6092.0998958333312</v>
      </c>
      <c r="AI445" s="97">
        <f t="shared" si="248"/>
        <v>-0.50229002800437073</v>
      </c>
      <c r="AJ445" s="456"/>
      <c r="AK445" s="449"/>
      <c r="AL445" s="87">
        <f t="shared" si="246"/>
        <v>14055.32</v>
      </c>
      <c r="AM445" s="453"/>
      <c r="AN445" s="451">
        <f t="shared" si="242"/>
        <v>-8018.77</v>
      </c>
      <c r="AO445" s="208">
        <f t="shared" si="247"/>
        <v>-0.57051493669301023</v>
      </c>
      <c r="AP445" s="101">
        <f>AF445-Print_Mois!AF445</f>
        <v>5200.2799999999988</v>
      </c>
      <c r="AQ445" s="87">
        <v>30968.560000000001</v>
      </c>
      <c r="AR445" s="87">
        <f t="shared" si="211"/>
        <v>-24932.010000000002</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tr">
        <f t="shared" si="253"/>
        <v>Formation</v>
      </c>
      <c r="B446" s="159"/>
      <c r="C446" s="79"/>
      <c r="D446" s="79"/>
      <c r="E446" s="79"/>
      <c r="F446" s="79"/>
      <c r="G446" s="79"/>
      <c r="H446" s="79"/>
      <c r="I446" s="79"/>
      <c r="J446" s="79"/>
      <c r="K446" s="79"/>
      <c r="L446" s="79"/>
      <c r="M446" s="79"/>
      <c r="N446" s="79"/>
      <c r="O446" s="79"/>
      <c r="P446" s="79"/>
      <c r="Q446" s="101"/>
      <c r="R446" s="79"/>
      <c r="S446" s="79"/>
      <c r="T446" s="79"/>
      <c r="U446" s="79"/>
      <c r="V446" s="299" t="s">
        <v>133</v>
      </c>
      <c r="W446" s="454" t="s">
        <v>233</v>
      </c>
      <c r="X446" s="449"/>
      <c r="Y446" s="455"/>
      <c r="Z446" s="87">
        <f t="shared" si="243"/>
        <v>18019.629166666666</v>
      </c>
      <c r="AA446" s="449"/>
      <c r="AB446" s="455"/>
      <c r="AC446" s="87">
        <f t="shared" si="244"/>
        <v>18019.629166666666</v>
      </c>
      <c r="AD446" s="456"/>
      <c r="AE446" s="455"/>
      <c r="AF446" s="87">
        <f t="shared" si="245"/>
        <v>9203.26</v>
      </c>
      <c r="AG446" s="450"/>
      <c r="AH446" s="451">
        <f t="shared" si="241"/>
        <v>-8816.3691666666655</v>
      </c>
      <c r="AI446" s="452">
        <f t="shared" si="248"/>
        <v>-0.48926473930859193</v>
      </c>
      <c r="AJ446" s="456"/>
      <c r="AK446" s="449"/>
      <c r="AL446" s="87">
        <f t="shared" si="246"/>
        <v>10544.16</v>
      </c>
      <c r="AM446" s="453"/>
      <c r="AN446" s="451">
        <f t="shared" si="242"/>
        <v>-1340.8999999999996</v>
      </c>
      <c r="AO446" s="208">
        <f t="shared" si="247"/>
        <v>-0.12716992154899012</v>
      </c>
      <c r="AP446" s="101">
        <f>AF446-Print_Mois!AF446</f>
        <v>7143.16</v>
      </c>
      <c r="AQ446" s="87">
        <v>26640.46</v>
      </c>
      <c r="AR446" s="87">
        <f t="shared" si="211"/>
        <v>-17437.199999999997</v>
      </c>
      <c r="AS446" s="79"/>
      <c r="AT446" s="79"/>
      <c r="AU446" s="79"/>
      <c r="AV446" s="79"/>
      <c r="AW446" s="79"/>
      <c r="AX446" s="79"/>
      <c r="AY446" s="79"/>
      <c r="AZ446" s="79"/>
      <c r="BA446" s="79"/>
      <c r="BB446" s="79"/>
      <c r="BC446" s="79"/>
      <c r="BD446" s="79"/>
      <c r="BE446" s="79"/>
      <c r="BF446" s="79"/>
      <c r="BG446" s="79"/>
      <c r="BH446" s="79"/>
      <c r="BI446" s="79"/>
      <c r="BJ446" s="79"/>
    </row>
    <row r="447" spans="1:62" ht="15.75" hidden="1" customHeight="1">
      <c r="A447" s="564" t="str">
        <f t="shared" si="253"/>
        <v>Frais bancaires</v>
      </c>
      <c r="B447" s="159"/>
      <c r="C447" s="79"/>
      <c r="D447" s="79"/>
      <c r="E447" s="79"/>
      <c r="F447" s="79"/>
      <c r="G447" s="79"/>
      <c r="H447" s="79"/>
      <c r="I447" s="79"/>
      <c r="J447" s="79"/>
      <c r="K447" s="79"/>
      <c r="L447" s="79"/>
      <c r="M447" s="79"/>
      <c r="N447" s="79"/>
      <c r="O447" s="79"/>
      <c r="P447" s="79"/>
      <c r="Q447" s="101"/>
      <c r="R447" s="79"/>
      <c r="S447" s="79"/>
      <c r="T447" s="79"/>
      <c r="U447" s="79"/>
      <c r="V447" s="299" t="s">
        <v>134</v>
      </c>
      <c r="W447" s="454" t="s">
        <v>234</v>
      </c>
      <c r="X447" s="449"/>
      <c r="Y447" s="455"/>
      <c r="Z447" s="87">
        <f t="shared" si="243"/>
        <v>35065.615924272446</v>
      </c>
      <c r="AA447" s="449"/>
      <c r="AB447" s="455"/>
      <c r="AC447" s="87">
        <f t="shared" si="244"/>
        <v>35065.615924272446</v>
      </c>
      <c r="AD447" s="456"/>
      <c r="AE447" s="455"/>
      <c r="AF447" s="440">
        <f>SUMIFS(BV_Data_An_Cour!$P:$P,BV_Data_An_Cour!$V:$V,$V447)</f>
        <v>36677.64</v>
      </c>
      <c r="AG447" s="450"/>
      <c r="AH447" s="451">
        <f t="shared" ref="AH447:AH450" si="254">AF447-AC447</f>
        <v>1612.0240757275533</v>
      </c>
      <c r="AI447" s="452">
        <f t="shared" ref="AI447:AI450" si="255">IF(AC447=0,0,AH447/AC447)</f>
        <v>4.5971645819907273E-2</v>
      </c>
      <c r="AJ447" s="456"/>
      <c r="AK447" s="449"/>
      <c r="AL447" s="87">
        <f>SUMIFS(BV_Data_An_Prec!$P:$P,BV_Data_An_Prec!$V:$V,$V447)</f>
        <v>32155.84</v>
      </c>
      <c r="AM447" s="453"/>
      <c r="AN447" s="451">
        <f t="shared" ref="AN447:AN450" si="256">AF447-AL447</f>
        <v>4521.7999999999993</v>
      </c>
      <c r="AO447" s="208">
        <f t="shared" ref="AO447:AO450" si="257">IF(AL447=0,0,AN447/AL447)</f>
        <v>0.14062142366674293</v>
      </c>
      <c r="AP447" s="101">
        <f>AF447-Print_Mois!AF447</f>
        <v>27219.94</v>
      </c>
      <c r="AQ447" s="440">
        <v>86028.79</v>
      </c>
      <c r="AR447" s="440">
        <f t="shared" si="211"/>
        <v>-49351.149999999994</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64" t="str">
        <f t="shared" si="253"/>
        <v>[...]</v>
      </c>
      <c r="B448" s="159"/>
      <c r="C448" s="79"/>
      <c r="D448" s="79"/>
      <c r="E448" s="79"/>
      <c r="F448" s="79"/>
      <c r="G448" s="79"/>
      <c r="H448" s="79"/>
      <c r="I448" s="79"/>
      <c r="J448" s="79"/>
      <c r="K448" s="79"/>
      <c r="L448" s="79"/>
      <c r="M448" s="79"/>
      <c r="N448" s="79"/>
      <c r="O448" s="79"/>
      <c r="P448" s="79"/>
      <c r="Q448" s="101"/>
      <c r="R448" s="79"/>
      <c r="S448" s="79"/>
      <c r="T448" s="79"/>
      <c r="U448" s="79"/>
      <c r="V448" s="299" t="s">
        <v>42</v>
      </c>
      <c r="W448" s="454"/>
      <c r="X448" s="449"/>
      <c r="Y448" s="455"/>
      <c r="Z448" s="87">
        <f t="shared" si="243"/>
        <v>0</v>
      </c>
      <c r="AA448" s="449"/>
      <c r="AB448" s="455"/>
      <c r="AC448" s="87">
        <f t="shared" si="244"/>
        <v>0</v>
      </c>
      <c r="AD448" s="456"/>
      <c r="AE448" s="455"/>
      <c r="AF448" s="87">
        <f>+SUMIF($C:$C,$V448,L:L)</f>
        <v>0</v>
      </c>
      <c r="AG448" s="450"/>
      <c r="AH448" s="451">
        <f t="shared" si="254"/>
        <v>0</v>
      </c>
      <c r="AI448" s="452">
        <f t="shared" si="255"/>
        <v>0</v>
      </c>
      <c r="AJ448" s="456"/>
      <c r="AK448" s="449"/>
      <c r="AL448" s="87">
        <f t="shared" si="246"/>
        <v>0</v>
      </c>
      <c r="AM448" s="453"/>
      <c r="AN448" s="451">
        <f t="shared" si="256"/>
        <v>0</v>
      </c>
      <c r="AO448" s="208">
        <f t="shared" si="257"/>
        <v>0</v>
      </c>
      <c r="AP448" s="101">
        <f>AF448-Print_Mois!AF448</f>
        <v>0</v>
      </c>
      <c r="AQ448" s="87">
        <v>0</v>
      </c>
      <c r="AR448" s="87">
        <f t="shared" si="211"/>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64" t="str">
        <f t="shared" si="253"/>
        <v>[...]</v>
      </c>
      <c r="B449" s="159"/>
      <c r="C449" s="79"/>
      <c r="D449" s="79"/>
      <c r="E449" s="79"/>
      <c r="F449" s="79"/>
      <c r="G449" s="79"/>
      <c r="H449" s="79"/>
      <c r="I449" s="79"/>
      <c r="J449" s="79"/>
      <c r="K449" s="79"/>
      <c r="L449" s="79"/>
      <c r="M449" s="79"/>
      <c r="N449" s="79"/>
      <c r="O449" s="79"/>
      <c r="P449" s="79"/>
      <c r="Q449" s="101"/>
      <c r="R449" s="79"/>
      <c r="S449" s="79"/>
      <c r="T449" s="79"/>
      <c r="U449" s="79"/>
      <c r="V449" s="299" t="s">
        <v>42</v>
      </c>
      <c r="W449" s="454"/>
      <c r="X449" s="449"/>
      <c r="Y449" s="455"/>
      <c r="Z449" s="87">
        <f t="shared" si="243"/>
        <v>0</v>
      </c>
      <c r="AA449" s="449"/>
      <c r="AB449" s="455"/>
      <c r="AC449" s="87">
        <f t="shared" si="244"/>
        <v>0</v>
      </c>
      <c r="AD449" s="456"/>
      <c r="AE449" s="455"/>
      <c r="AF449" s="87">
        <f>+SUMIF($C:$C,$V449,L:L)</f>
        <v>0</v>
      </c>
      <c r="AG449" s="450"/>
      <c r="AH449" s="451">
        <f t="shared" si="254"/>
        <v>0</v>
      </c>
      <c r="AI449" s="452">
        <f t="shared" si="255"/>
        <v>0</v>
      </c>
      <c r="AJ449" s="456"/>
      <c r="AK449" s="449"/>
      <c r="AL449" s="87">
        <f t="shared" si="246"/>
        <v>0</v>
      </c>
      <c r="AM449" s="453"/>
      <c r="AN449" s="451">
        <f t="shared" si="256"/>
        <v>0</v>
      </c>
      <c r="AO449" s="208">
        <f t="shared" si="257"/>
        <v>0</v>
      </c>
      <c r="AP449" s="101">
        <f>AF449-Print_Mois!AF449</f>
        <v>0</v>
      </c>
      <c r="AQ449" s="87">
        <v>0</v>
      </c>
      <c r="AR449" s="87">
        <f t="shared" si="211"/>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tr">
        <f t="shared" si="253"/>
        <v>[...]</v>
      </c>
      <c r="B450" s="159"/>
      <c r="C450" s="79"/>
      <c r="D450" s="79"/>
      <c r="E450" s="79"/>
      <c r="F450" s="79"/>
      <c r="G450" s="79"/>
      <c r="H450" s="79"/>
      <c r="I450" s="79"/>
      <c r="J450" s="79"/>
      <c r="K450" s="79"/>
      <c r="L450" s="79"/>
      <c r="M450" s="79"/>
      <c r="N450" s="79"/>
      <c r="O450" s="79"/>
      <c r="P450" s="102"/>
      <c r="Q450" s="101"/>
      <c r="R450" s="79"/>
      <c r="S450" s="79"/>
      <c r="T450" s="79"/>
      <c r="U450" s="79"/>
      <c r="V450" s="299" t="s">
        <v>42</v>
      </c>
      <c r="W450" s="454"/>
      <c r="X450" s="449"/>
      <c r="Y450" s="455"/>
      <c r="Z450" s="87">
        <f t="shared" si="243"/>
        <v>0</v>
      </c>
      <c r="AA450" s="449"/>
      <c r="AB450" s="455"/>
      <c r="AC450" s="87">
        <f t="shared" si="244"/>
        <v>0</v>
      </c>
      <c r="AD450" s="456"/>
      <c r="AE450" s="455"/>
      <c r="AF450" s="87">
        <f>+SUMIF($C:$C,$V450,L:L)</f>
        <v>0</v>
      </c>
      <c r="AG450" s="450"/>
      <c r="AH450" s="451">
        <f t="shared" si="254"/>
        <v>0</v>
      </c>
      <c r="AI450" s="452">
        <f t="shared" si="255"/>
        <v>0</v>
      </c>
      <c r="AJ450" s="456"/>
      <c r="AK450" s="449"/>
      <c r="AL450" s="87">
        <f t="shared" si="246"/>
        <v>0</v>
      </c>
      <c r="AM450" s="453"/>
      <c r="AN450" s="451">
        <f t="shared" si="256"/>
        <v>0</v>
      </c>
      <c r="AO450" s="208">
        <f t="shared" si="257"/>
        <v>0</v>
      </c>
      <c r="AP450" s="101">
        <f>AF450-Print_Mois!AF450</f>
        <v>0</v>
      </c>
      <c r="AQ450" s="87">
        <v>0</v>
      </c>
      <c r="AR450" s="87">
        <f t="shared" si="211"/>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tr">
        <f t="shared" si="253"/>
        <v>TOTAL SEMI-FIXES</v>
      </c>
      <c r="B451" s="159"/>
      <c r="C451" s="79"/>
      <c r="D451" s="79"/>
      <c r="E451" s="79"/>
      <c r="F451" s="79"/>
      <c r="G451" s="79"/>
      <c r="H451" s="79"/>
      <c r="I451" s="79"/>
      <c r="J451" s="79"/>
      <c r="K451" s="79"/>
      <c r="L451" s="79"/>
      <c r="M451" s="79"/>
      <c r="N451" s="79"/>
      <c r="O451" s="79"/>
      <c r="P451" s="79"/>
      <c r="Q451" s="101"/>
      <c r="R451" s="79"/>
      <c r="S451" s="79"/>
      <c r="T451" s="79"/>
      <c r="U451" s="79"/>
      <c r="V451" s="461" t="s">
        <v>135</v>
      </c>
      <c r="W451" s="103"/>
      <c r="X451" s="89">
        <f>Z451/+Z406</f>
        <v>0.16046653358599061</v>
      </c>
      <c r="Y451" s="88"/>
      <c r="Z451" s="90">
        <f>+SUM(Z433:Z450)</f>
        <v>488064.3664524653</v>
      </c>
      <c r="AA451" s="89">
        <f>AC451/+AC406</f>
        <v>0.16046653358599061</v>
      </c>
      <c r="AB451" s="88"/>
      <c r="AC451" s="90">
        <f>+SUM(AC433:AC450)</f>
        <v>488064.3664524653</v>
      </c>
      <c r="AD451" s="91">
        <f>AF451/AF406</f>
        <v>0.15954222590298864</v>
      </c>
      <c r="AE451" s="88"/>
      <c r="AF451" s="90">
        <f>+SUM(AF433:AF450)</f>
        <v>488924.01</v>
      </c>
      <c r="AG451" s="99"/>
      <c r="AH451" s="549">
        <f>+SUM(AH433:AH450)</f>
        <v>859.643547534748</v>
      </c>
      <c r="AI451" s="89">
        <f>AH451/AC451</f>
        <v>1.7613323295513983E-3</v>
      </c>
      <c r="AJ451" s="91">
        <f>IF($AL$406=0,0,AL451/$AL$406)</f>
        <v>0.16485148775895411</v>
      </c>
      <c r="AK451" s="89"/>
      <c r="AL451" s="90">
        <f>+SUM(AL433:AL450)</f>
        <v>425174.11</v>
      </c>
      <c r="AM451" s="100"/>
      <c r="AN451" s="93">
        <f>+SUM(AN433:AN450)</f>
        <v>63749.899999999994</v>
      </c>
      <c r="AO451" s="630">
        <f>IF(AL451=0,0,AN451/AL451)</f>
        <v>0.14993833937819026</v>
      </c>
      <c r="AP451" s="101">
        <f>AF451-Print_Mois!AF451</f>
        <v>367400.49</v>
      </c>
      <c r="AQ451" s="90">
        <v>1072517.1100000003</v>
      </c>
      <c r="AR451" s="90">
        <f t="shared" si="211"/>
        <v>-583593.10000000033</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tr">
        <f t="shared" si="253"/>
        <v>Loyer</v>
      </c>
      <c r="B452" s="159"/>
      <c r="C452" s="79"/>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+SUMPRODUCT(('Budget original'!$A$8:$A$500=$A452)*('Budget original'!$C$3:$AO$3=Z$2),'Budget original'!$C$8:$AO$500)</f>
        <v>130000</v>
      </c>
      <c r="AA452" s="449"/>
      <c r="AB452" s="455"/>
      <c r="AC452" s="87">
        <f>+SUMPRODUCT(('Budget révisé'!$A$8:$A$500=$A452)*('Budget révisé'!$C$3:$AO$3=AC$2),'Budget révisé'!$C$8:$AO$500)</f>
        <v>130000</v>
      </c>
      <c r="AD452" s="456"/>
      <c r="AE452" s="455"/>
      <c r="AF452" s="87">
        <f>SUMIFS(BV_Data_An_Cour!$P:$P,BV_Data_An_Cour!$V:$V,$V452)</f>
        <v>130000</v>
      </c>
      <c r="AG452" s="450"/>
      <c r="AH452" s="451">
        <f t="shared" ref="AH452:AH460" si="258">AF452-AC452</f>
        <v>0</v>
      </c>
      <c r="AI452" s="452">
        <f>IF(AC452=0,0,AH452/AC452)</f>
        <v>0</v>
      </c>
      <c r="AJ452" s="456"/>
      <c r="AK452" s="449"/>
      <c r="AL452" s="87">
        <f>SUMIFS(BV_Data_An_Prec!$P:$P,BV_Data_An_Prec!$V:$V,$V452)</f>
        <v>130000</v>
      </c>
      <c r="AM452" s="453"/>
      <c r="AN452" s="451">
        <f t="shared" ref="AN452:AN460" si="259">AF452-AL452</f>
        <v>0</v>
      </c>
      <c r="AO452" s="208">
        <f t="shared" ref="AO452:AO460" si="260">IF(AL452=0,0,AN452/AL452)</f>
        <v>0</v>
      </c>
      <c r="AP452" s="101">
        <f>AF452-Print_Mois!AF452</f>
        <v>104000</v>
      </c>
      <c r="AQ452" s="87">
        <v>312000</v>
      </c>
      <c r="AR452" s="87">
        <f t="shared" si="211"/>
        <v>-182000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tr">
        <f t="shared" si="253"/>
        <v>Taxes foncières</v>
      </c>
      <c r="B453" s="159"/>
      <c r="C453" s="79"/>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+SUMPRODUCT(('Budget original'!$A$8:$A$500=$A453)*('Budget original'!$C$3:$AO$3=Z$2),'Budget original'!$C$8:$AO$500)</f>
        <v>24651.249999999996</v>
      </c>
      <c r="AA453" s="449"/>
      <c r="AB453" s="455"/>
      <c r="AC453" s="87">
        <f>+SUMPRODUCT(('Budget révisé'!$A$8:$A$500=$A453)*('Budget révisé'!$C$3:$AO$3=AC$2),'Budget révisé'!$C$8:$AO$500)</f>
        <v>24651.249999999996</v>
      </c>
      <c r="AD453" s="456"/>
      <c r="AE453" s="455"/>
      <c r="AF453" s="87">
        <f>SUMIFS(BV_Data_An_Cour!$P:$P,BV_Data_An_Cour!$V:$V,$V453)</f>
        <v>24650</v>
      </c>
      <c r="AG453" s="450"/>
      <c r="AH453" s="451">
        <f t="shared" si="258"/>
        <v>-1.249999999996362</v>
      </c>
      <c r="AI453" s="452">
        <f t="shared" ref="AI453:AI460" si="261">IF(AC453=0,0,AH453/AC453)</f>
        <v>-5.0707367780390941E-5</v>
      </c>
      <c r="AJ453" s="456"/>
      <c r="AK453" s="449"/>
      <c r="AL453" s="87">
        <f>SUMIFS(BV_Data_An_Prec!$P:$P,BV_Data_An_Prec!$V:$V,$V453)</f>
        <v>24050</v>
      </c>
      <c r="AM453" s="453"/>
      <c r="AN453" s="451">
        <f t="shared" si="259"/>
        <v>600</v>
      </c>
      <c r="AO453" s="208">
        <f t="shared" si="260"/>
        <v>2.4948024948024949E-2</v>
      </c>
      <c r="AP453" s="101">
        <f>AF453-Print_Mois!AF453</f>
        <v>19720</v>
      </c>
      <c r="AQ453" s="87">
        <v>56955.519999999997</v>
      </c>
      <c r="AR453" s="87">
        <f t="shared" si="211"/>
        <v>-32305.519999999997</v>
      </c>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tr">
        <f t="shared" si="253"/>
        <v>Taxes d`affaires</v>
      </c>
      <c r="B454" s="159"/>
      <c r="C454" s="79"/>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+SUMPRODUCT(('Budget original'!$A$8:$A$500=$A454)*('Budget original'!$C$3:$AO$3=Z$2),'Budget original'!$C$8:$AO$500)</f>
        <v>16399.999999999996</v>
      </c>
      <c r="AA454" s="439"/>
      <c r="AB454" s="458"/>
      <c r="AC454" s="440">
        <f>+SUMPRODUCT(('Budget révisé'!$A$8:$A$500=$A454)*('Budget révisé'!$C$3:$AO$3=AC$2),'Budget révisé'!$C$8:$AO$500)</f>
        <v>16399.999999999996</v>
      </c>
      <c r="AD454" s="459"/>
      <c r="AE454" s="458"/>
      <c r="AF454" s="440">
        <f>SUMIFS(BV_Data_An_Cour!$P:$P,BV_Data_An_Cour!$V:$V,$V454)</f>
        <v>16400</v>
      </c>
      <c r="AG454" s="441"/>
      <c r="AH454" s="442">
        <f t="shared" si="258"/>
        <v>0</v>
      </c>
      <c r="AI454" s="460">
        <f t="shared" si="261"/>
        <v>0</v>
      </c>
      <c r="AJ454" s="459"/>
      <c r="AK454" s="439"/>
      <c r="AL454" s="440">
        <f>SUMIFS(BV_Data_An_Prec!$P:$P,BV_Data_An_Prec!$V:$V,$V454)</f>
        <v>16000</v>
      </c>
      <c r="AM454" s="444"/>
      <c r="AN454" s="442">
        <f t="shared" si="259"/>
        <v>400</v>
      </c>
      <c r="AO454" s="445">
        <f t="shared" si="260"/>
        <v>2.5000000000000001E-2</v>
      </c>
      <c r="AP454" s="101">
        <f>AF454-Print_Mois!AF454</f>
        <v>13120</v>
      </c>
      <c r="AQ454" s="440">
        <v>37694.32</v>
      </c>
      <c r="AR454" s="440">
        <f t="shared" si="211"/>
        <v>-21294.32</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tr">
        <f t="shared" si="253"/>
        <v>Taxe sur le capital</v>
      </c>
      <c r="B455" s="159"/>
      <c r="C455" s="79"/>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+SUMPRODUCT(('Budget original'!$A$8:$A$500=$A455)*('Budget original'!$C$3:$AO$3=Z$2),'Budget original'!$C$8:$AO$500)</f>
        <v>0</v>
      </c>
      <c r="AA455" s="449"/>
      <c r="AB455" s="455"/>
      <c r="AC455" s="87">
        <f>+SUMPRODUCT(('Budget révisé'!$A$8:$A$500=$A455)*('Budget révisé'!$C$3:$AO$3=AC$2),'Budget révisé'!$C$8:$AO$500)</f>
        <v>0</v>
      </c>
      <c r="AD455" s="456"/>
      <c r="AE455" s="455"/>
      <c r="AF455" s="87">
        <f>SUMIFS(BV_Data_An_Cour!$P:$P,BV_Data_An_Cour!$V:$V,$V455)</f>
        <v>0</v>
      </c>
      <c r="AG455" s="450"/>
      <c r="AH455" s="451">
        <f t="shared" si="258"/>
        <v>0</v>
      </c>
      <c r="AI455" s="452">
        <f t="shared" si="261"/>
        <v>0</v>
      </c>
      <c r="AJ455" s="456"/>
      <c r="AK455" s="449"/>
      <c r="AL455" s="87">
        <f>SUMIFS(BV_Data_An_Prec!$P:$P,BV_Data_An_Prec!$V:$V,$V455)</f>
        <v>0</v>
      </c>
      <c r="AM455" s="453"/>
      <c r="AN455" s="451">
        <f t="shared" si="259"/>
        <v>0</v>
      </c>
      <c r="AO455" s="208">
        <f t="shared" si="260"/>
        <v>0</v>
      </c>
      <c r="AP455" s="101">
        <f>AF455-Print_Mois!AF455</f>
        <v>0</v>
      </c>
      <c r="AQ455" s="87">
        <v>0</v>
      </c>
      <c r="AR455" s="87">
        <f t="shared" si="211"/>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tr">
        <f t="shared" si="253"/>
        <v>Assurances</v>
      </c>
      <c r="B456" s="159"/>
      <c r="C456" s="79"/>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+SUMPRODUCT(('Budget original'!$A$8:$A$500=$A456)*('Budget original'!$C$3:$AO$3=Z$2),'Budget original'!$C$8:$AO$500)</f>
        <v>21352.916666666661</v>
      </c>
      <c r="AA456" s="439"/>
      <c r="AB456" s="458"/>
      <c r="AC456" s="440">
        <f>+SUMPRODUCT(('Budget révisé'!$A$8:$A$500=$A456)*('Budget révisé'!$C$3:$AO$3=AC$2),'Budget révisé'!$C$8:$AO$500)</f>
        <v>21352.916666666661</v>
      </c>
      <c r="AD456" s="459"/>
      <c r="AE456" s="458"/>
      <c r="AF456" s="440">
        <f>SUMIF(BV_Data_An_Cour!$V:$V,Print_AAD!$V456,BV_Data_An_Cour!$P:$P)</f>
        <v>21355</v>
      </c>
      <c r="AG456" s="441"/>
      <c r="AH456" s="442">
        <f t="shared" si="258"/>
        <v>2.0833333333393966</v>
      </c>
      <c r="AI456" s="460">
        <f t="shared" si="261"/>
        <v>9.7566686830732595E-5</v>
      </c>
      <c r="AJ456" s="459"/>
      <c r="AK456" s="439"/>
      <c r="AL456" s="440">
        <f>SUMIF(BV_Data_An_Prec!$V:$V,Print_AAD!$V456,BV_Data_An_Prec!$P:$P)</f>
        <v>18540.550000000003</v>
      </c>
      <c r="AM456" s="444"/>
      <c r="AN456" s="442">
        <f t="shared" si="259"/>
        <v>2814.4499999999971</v>
      </c>
      <c r="AO456" s="445">
        <f t="shared" si="260"/>
        <v>0.15179970389227918</v>
      </c>
      <c r="AP456" s="101">
        <f>AF456-Print_Mois!AF456</f>
        <v>17084</v>
      </c>
      <c r="AQ456" s="440">
        <v>44497.32</v>
      </c>
      <c r="AR456" s="440">
        <f t="shared" si="211"/>
        <v>-23142.32</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tr">
        <f t="shared" si="253"/>
        <v>Chauffage, éclairage</v>
      </c>
      <c r="B457" s="159"/>
      <c r="C457" s="79"/>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+SUMPRODUCT(('Budget original'!$A$8:$A$500=$A457)*('Budget original'!$C$3:$AO$3=Z$2),'Budget original'!$C$8:$AO$500)</f>
        <v>14192.431875000002</v>
      </c>
      <c r="AA457" s="470"/>
      <c r="AB457" s="471"/>
      <c r="AC457" s="87">
        <f>+SUMPRODUCT(('Budget révisé'!$A$8:$A$500=$A457)*('Budget révisé'!$C$3:$AO$3=AC$2),'Budget révisé'!$C$8:$AO$500)</f>
        <v>14192.431875000002</v>
      </c>
      <c r="AD457" s="456"/>
      <c r="AE457" s="455"/>
      <c r="AF457" s="87">
        <f>SUMIFS(BV_Data_An_Cour!$P:$P,BV_Data_An_Cour!$V:$V,$V457)</f>
        <v>11832.73</v>
      </c>
      <c r="AG457" s="450"/>
      <c r="AH457" s="451">
        <f t="shared" si="258"/>
        <v>-2359.7018750000025</v>
      </c>
      <c r="AI457" s="452">
        <f t="shared" si="261"/>
        <v>-0.16626480195805077</v>
      </c>
      <c r="AJ457" s="456"/>
      <c r="AK457" s="449"/>
      <c r="AL457" s="87">
        <f>SUMIFS(BV_Data_An_Prec!$P:$P,BV_Data_An_Prec!$V:$V,$V457)</f>
        <v>13448.19</v>
      </c>
      <c r="AM457" s="453"/>
      <c r="AN457" s="451">
        <f t="shared" si="259"/>
        <v>-1615.4600000000009</v>
      </c>
      <c r="AO457" s="208">
        <f t="shared" si="260"/>
        <v>-0.12012471566805651</v>
      </c>
      <c r="AP457" s="101">
        <f>AF457-Print_Mois!AF457</f>
        <v>8097.41</v>
      </c>
      <c r="AQ457" s="87">
        <v>32424.07</v>
      </c>
      <c r="AR457" s="87">
        <f t="shared" si="211"/>
        <v>-20591.34</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tr">
        <f t="shared" si="253"/>
        <v>Honoraires</v>
      </c>
      <c r="B458" s="159"/>
      <c r="C458" s="79"/>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+SUMPRODUCT(('Budget original'!$A$8:$A$500=$A458)*('Budget original'!$C$3:$AO$3=Z$2),'Budget original'!$C$8:$AO$500)</f>
        <v>30614.166666666664</v>
      </c>
      <c r="AA458" s="449"/>
      <c r="AB458" s="455"/>
      <c r="AC458" s="87">
        <f>+SUMPRODUCT(('Budget révisé'!$A$8:$A$500=$A458)*('Budget révisé'!$C$3:$AO$3=AC$2),'Budget révisé'!$C$8:$AO$500)</f>
        <v>30614.166666666664</v>
      </c>
      <c r="AD458" s="456"/>
      <c r="AE458" s="455"/>
      <c r="AF458" s="87">
        <f>SUMIFS(BV_Data_An_Cour!$P:$P,BV_Data_An_Cour!$V:$V,$V458)</f>
        <v>30616.65</v>
      </c>
      <c r="AG458" s="450"/>
      <c r="AH458" s="451">
        <f t="shared" si="258"/>
        <v>2.4833333333372138</v>
      </c>
      <c r="AI458" s="452">
        <f t="shared" si="261"/>
        <v>8.1117129869196088E-5</v>
      </c>
      <c r="AJ458" s="456"/>
      <c r="AK458" s="449"/>
      <c r="AL458" s="87">
        <f>SUMIFS(BV_Data_An_Prec!$P:$P,BV_Data_An_Prec!$V:$V,$V458)</f>
        <v>32875.649999999994</v>
      </c>
      <c r="AM458" s="453"/>
      <c r="AN458" s="451">
        <f t="shared" si="259"/>
        <v>-2258.9999999999927</v>
      </c>
      <c r="AO458" s="208">
        <f t="shared" si="260"/>
        <v>-6.8713470304008983E-2</v>
      </c>
      <c r="AP458" s="101">
        <f>AF458-Print_Mois!AF458</f>
        <v>24493.32</v>
      </c>
      <c r="AQ458" s="87">
        <v>77836.53</v>
      </c>
      <c r="AR458" s="87">
        <f t="shared" si="211"/>
        <v>-47219.88</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tr">
        <f t="shared" si="253"/>
        <v>Réparation équipement</v>
      </c>
      <c r="B459" s="159"/>
      <c r="C459" s="79"/>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+SUMPRODUCT(('Budget original'!$A$8:$A$500=$A459)*('Budget original'!$C$3:$AO$3=Z$2),'Budget original'!$C$8:$AO$500)</f>
        <v>5944.2995833333325</v>
      </c>
      <c r="AA459" s="439"/>
      <c r="AB459" s="458"/>
      <c r="AC459" s="440">
        <f>+SUMPRODUCT(('Budget révisé'!$A$8:$A$500=$A459)*('Budget révisé'!$C$3:$AO$3=AC$2),'Budget révisé'!$C$8:$AO$500)</f>
        <v>5944.2995833333325</v>
      </c>
      <c r="AD459" s="459"/>
      <c r="AE459" s="458"/>
      <c r="AF459" s="440">
        <f>SUMIFS(BV_Data_An_Cour!$P:$P,BV_Data_An_Cour!$V:$V,$V459)</f>
        <v>7893.24</v>
      </c>
      <c r="AG459" s="441"/>
      <c r="AH459" s="442">
        <f t="shared" si="258"/>
        <v>1948.9404166666673</v>
      </c>
      <c r="AI459" s="460">
        <f t="shared" si="261"/>
        <v>0.32786712536008777</v>
      </c>
      <c r="AJ459" s="459"/>
      <c r="AK459" s="439"/>
      <c r="AL459" s="440">
        <f>SUMIFS(BV_Data_An_Prec!$P:$P,BV_Data_An_Prec!$V:$V,$V459)</f>
        <v>4407.26</v>
      </c>
      <c r="AM459" s="444"/>
      <c r="AN459" s="442">
        <f t="shared" si="259"/>
        <v>3485.9799999999996</v>
      </c>
      <c r="AO459" s="445">
        <f t="shared" si="260"/>
        <v>0.7909630927152016</v>
      </c>
      <c r="AP459" s="101">
        <f>AF459-Print_Mois!AF459</f>
        <v>6676.5499999999993</v>
      </c>
      <c r="AQ459" s="440">
        <v>13715.12</v>
      </c>
      <c r="AR459" s="440">
        <f t="shared" si="211"/>
        <v>-5821.880000000001</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tr">
        <f t="shared" si="253"/>
        <v>Location équipement</v>
      </c>
      <c r="B460" s="159"/>
      <c r="C460" s="79"/>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+SUMPRODUCT(('Budget original'!$A$8:$A$500=$A460)*('Budget original'!$C$3:$AO$3=Z$2),'Budget original'!$C$8:$AO$500)</f>
        <v>1153.125</v>
      </c>
      <c r="AA460" s="449"/>
      <c r="AB460" s="455"/>
      <c r="AC460" s="87">
        <f>+SUMPRODUCT(('Budget révisé'!$A$8:$A$500=$A460)*('Budget révisé'!$C$3:$AO$3=AC$2),'Budget révisé'!$C$8:$AO$500)</f>
        <v>1153.125</v>
      </c>
      <c r="AD460" s="456"/>
      <c r="AE460" s="455"/>
      <c r="AF460" s="87">
        <f>SUMIFS(BV_Data_An_Cour!$P:$P,BV_Data_An_Cour!$V:$V,$V460)</f>
        <v>0</v>
      </c>
      <c r="AG460" s="450"/>
      <c r="AH460" s="451">
        <f t="shared" si="258"/>
        <v>-1153.125</v>
      </c>
      <c r="AI460" s="472">
        <f t="shared" si="261"/>
        <v>-1</v>
      </c>
      <c r="AJ460" s="449"/>
      <c r="AK460" s="449"/>
      <c r="AL460" s="87">
        <f>SUMIFS(BV_Data_An_Prec!$P:$P,BV_Data_An_Prec!$V:$V,$V460)</f>
        <v>0</v>
      </c>
      <c r="AM460" s="453"/>
      <c r="AN460" s="451">
        <f t="shared" si="259"/>
        <v>0</v>
      </c>
      <c r="AO460" s="208">
        <f t="shared" si="260"/>
        <v>0</v>
      </c>
      <c r="AP460" s="101">
        <f>AF460-Print_Mois!AF460</f>
        <v>0</v>
      </c>
      <c r="AQ460" s="87">
        <v>0</v>
      </c>
      <c r="AR460" s="87">
        <f t="shared" si="211"/>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64" t="str">
        <f t="shared" si="253"/>
        <v>Dons</v>
      </c>
      <c r="B461" s="159"/>
      <c r="C461" s="79"/>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SUMIFS(BV_Data_An_Cour!$P:$P,BV_Data_An_Cour!$V:$V,$V461)</f>
        <v>0</v>
      </c>
      <c r="AG461" s="450"/>
      <c r="AH461" s="451">
        <v>0</v>
      </c>
      <c r="AI461" s="97">
        <v>0</v>
      </c>
      <c r="AJ461" s="449"/>
      <c r="AK461" s="449"/>
      <c r="AL461" s="87">
        <v>0</v>
      </c>
      <c r="AM461" s="453"/>
      <c r="AN461" s="451">
        <v>0</v>
      </c>
      <c r="AO461" s="208">
        <v>0</v>
      </c>
      <c r="AP461" s="101">
        <f>AF461-Print_Mois!AF461</f>
        <v>0</v>
      </c>
      <c r="AQ461" s="87">
        <v>140</v>
      </c>
      <c r="AR461" s="87">
        <f t="shared" si="211"/>
        <v>-140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64" t="str">
        <f t="shared" si="253"/>
        <v>[...]</v>
      </c>
      <c r="B462" s="159"/>
      <c r="C462" s="79"/>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v>0</v>
      </c>
      <c r="AA462" s="449"/>
      <c r="AB462" s="455"/>
      <c r="AC462" s="87">
        <v>0</v>
      </c>
      <c r="AD462" s="456"/>
      <c r="AE462" s="455"/>
      <c r="AF462" s="87">
        <v>0</v>
      </c>
      <c r="AG462" s="450"/>
      <c r="AH462" s="451">
        <v>0</v>
      </c>
      <c r="AI462" s="97">
        <v>1</v>
      </c>
      <c r="AJ462" s="449"/>
      <c r="AK462" s="449"/>
      <c r="AL462" s="87">
        <v>0</v>
      </c>
      <c r="AM462" s="453"/>
      <c r="AN462" s="451">
        <v>0</v>
      </c>
      <c r="AO462" s="208">
        <v>1</v>
      </c>
      <c r="AP462" s="101">
        <f>AF462-Print_Mois!AF462</f>
        <v>0</v>
      </c>
      <c r="AQ462" s="87">
        <v>0</v>
      </c>
      <c r="AR462" s="87">
        <f t="shared" si="211"/>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64" t="str">
        <f t="shared" si="253"/>
        <v>[...]</v>
      </c>
      <c r="B463" s="159"/>
      <c r="C463" s="79"/>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v>0</v>
      </c>
      <c r="AA463" s="449"/>
      <c r="AB463" s="455"/>
      <c r="AC463" s="87">
        <v>0</v>
      </c>
      <c r="AD463" s="456"/>
      <c r="AE463" s="455"/>
      <c r="AF463" s="87">
        <v>0</v>
      </c>
      <c r="AG463" s="450"/>
      <c r="AH463" s="451">
        <v>0</v>
      </c>
      <c r="AI463" s="97">
        <v>2</v>
      </c>
      <c r="AJ463" s="449"/>
      <c r="AK463" s="449"/>
      <c r="AL463" s="87">
        <v>0</v>
      </c>
      <c r="AM463" s="453"/>
      <c r="AN463" s="451">
        <v>0</v>
      </c>
      <c r="AO463" s="208">
        <v>2</v>
      </c>
      <c r="AP463" s="101">
        <f>AF463-Print_Mois!AF463</f>
        <v>0</v>
      </c>
      <c r="AQ463" s="87">
        <v>0</v>
      </c>
      <c r="AR463" s="87">
        <f t="shared" si="211"/>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tr">
        <f t="shared" si="253"/>
        <v>[...]</v>
      </c>
      <c r="B464" s="159"/>
      <c r="C464" s="79"/>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v>0</v>
      </c>
      <c r="AA464" s="449"/>
      <c r="AB464" s="455"/>
      <c r="AC464" s="87">
        <v>0</v>
      </c>
      <c r="AD464" s="456"/>
      <c r="AE464" s="455"/>
      <c r="AF464" s="87">
        <v>0</v>
      </c>
      <c r="AG464" s="450"/>
      <c r="AH464" s="451">
        <v>0</v>
      </c>
      <c r="AI464" s="97">
        <v>3</v>
      </c>
      <c r="AJ464" s="449"/>
      <c r="AK464" s="449"/>
      <c r="AL464" s="87">
        <v>0</v>
      </c>
      <c r="AM464" s="453"/>
      <c r="AN464" s="451">
        <v>0</v>
      </c>
      <c r="AO464" s="208">
        <v>3</v>
      </c>
      <c r="AP464" s="101">
        <f>AF464-Print_Mois!AF464</f>
        <v>0</v>
      </c>
      <c r="AQ464" s="87">
        <v>0</v>
      </c>
      <c r="AR464" s="87">
        <f t="shared" si="211"/>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tr">
        <f t="shared" si="253"/>
        <v>TOTAL DÉPENSES FIXES</v>
      </c>
      <c r="B465" s="159"/>
      <c r="C465" s="79"/>
      <c r="D465" s="79"/>
      <c r="E465" s="79"/>
      <c r="F465" s="79"/>
      <c r="G465" s="79"/>
      <c r="H465" s="79"/>
      <c r="I465" s="79"/>
      <c r="J465" s="79"/>
      <c r="K465" s="79"/>
      <c r="L465" s="79"/>
      <c r="M465" s="79"/>
      <c r="N465" s="79"/>
      <c r="O465" s="79"/>
      <c r="P465" s="79"/>
      <c r="Q465" s="79"/>
      <c r="R465" s="79"/>
      <c r="S465" s="79"/>
      <c r="T465" s="79"/>
      <c r="U465" s="79"/>
      <c r="V465" s="461" t="s">
        <v>254</v>
      </c>
      <c r="W465" s="88"/>
      <c r="X465" s="89">
        <f>Z465/+Z406</f>
        <v>8.0324012645072357E-2</v>
      </c>
      <c r="Y465" s="88"/>
      <c r="Z465" s="90">
        <f>SUM(Z452:Z464)</f>
        <v>244308.18979166666</v>
      </c>
      <c r="AA465" s="89">
        <f>AC465/+AC406</f>
        <v>8.0324012645072357E-2</v>
      </c>
      <c r="AB465" s="88"/>
      <c r="AC465" s="90">
        <f>SUM(AC452:AC464)</f>
        <v>244308.18979166666</v>
      </c>
      <c r="AD465" s="91">
        <f>AF465/AF406</f>
        <v>7.921168696021462E-2</v>
      </c>
      <c r="AE465" s="88"/>
      <c r="AF465" s="90">
        <f>SUM(AF452:AF464)</f>
        <v>242747.62</v>
      </c>
      <c r="AG465" s="99"/>
      <c r="AH465" s="551">
        <f>SUM(AH452:AH464)</f>
        <v>-1560.569791666655</v>
      </c>
      <c r="AI465" s="89">
        <f>IF(AC465=0,0,AH465/AC465)</f>
        <v>-6.3877096915884307E-3</v>
      </c>
      <c r="AJ465" s="91">
        <f>IF($AL$406=0,0,AL465/$AL$406)</f>
        <v>9.2791468547856068E-2</v>
      </c>
      <c r="AK465" s="89"/>
      <c r="AL465" s="90">
        <f>SUM(AL452:AL464)</f>
        <v>239321.65</v>
      </c>
      <c r="AM465" s="100"/>
      <c r="AN465" s="93">
        <f>SUM(AN452:AN464)</f>
        <v>3425.970000000003</v>
      </c>
      <c r="AO465" s="630">
        <f>IF(AL465=0,0,AN465/AL465)</f>
        <v>1.4315336702717882E-2</v>
      </c>
      <c r="AP465" s="101">
        <f>AF465-Print_Mois!AF465</f>
        <v>193191.28</v>
      </c>
      <c r="AQ465" s="90">
        <v>575262.88</v>
      </c>
      <c r="AR465" s="90">
        <f t="shared" si="211"/>
        <v>-332515.26</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tr">
        <f t="shared" si="253"/>
        <v/>
      </c>
      <c r="B466" s="159"/>
      <c r="C466" s="79"/>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2">AF466-AC466</f>
        <v>0</v>
      </c>
      <c r="AI466" s="452"/>
      <c r="AJ466" s="456"/>
      <c r="AK466" s="449"/>
      <c r="AL466" s="105"/>
      <c r="AM466" s="473"/>
      <c r="AN466" s="451">
        <f t="shared" ref="AN466:AN472" si="263">AF466-AL466</f>
        <v>0</v>
      </c>
      <c r="AO466" s="474">
        <f>IF(AL466=0,0,AN466/AL466)</f>
        <v>0</v>
      </c>
      <c r="AP466" s="101">
        <f>AF466-Print_Mois!AF466</f>
        <v>0</v>
      </c>
      <c r="AQ466" s="105"/>
      <c r="AR466" s="105"/>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tr">
        <f t="shared" si="253"/>
        <v>TOTAL DES DÉPENSES</v>
      </c>
      <c r="B467" s="159"/>
      <c r="C467" s="79"/>
      <c r="D467" s="79"/>
      <c r="E467" s="79"/>
      <c r="F467" s="79"/>
      <c r="G467" s="79"/>
      <c r="H467" s="79"/>
      <c r="I467" s="79"/>
      <c r="J467" s="79"/>
      <c r="K467" s="79"/>
      <c r="L467" s="79"/>
      <c r="M467" s="79"/>
      <c r="N467" s="79"/>
      <c r="O467" s="79"/>
      <c r="P467" s="79"/>
      <c r="Q467" s="79"/>
      <c r="R467" s="79"/>
      <c r="S467" s="79"/>
      <c r="T467" s="79"/>
      <c r="U467" s="79"/>
      <c r="V467" s="461" t="s">
        <v>136</v>
      </c>
      <c r="W467" s="88"/>
      <c r="X467" s="89">
        <f>Z467/+Z406</f>
        <v>0.93266826934983182</v>
      </c>
      <c r="Y467" s="88"/>
      <c r="Z467" s="90">
        <f>Z418+Z432+Z451+Z465</f>
        <v>2836741.953714665</v>
      </c>
      <c r="AA467" s="89">
        <f>AC467/+AC406</f>
        <v>0.93266826934983182</v>
      </c>
      <c r="AB467" s="88"/>
      <c r="AC467" s="90">
        <f>AC418+AC432+AC451+AC465</f>
        <v>2836741.953714665</v>
      </c>
      <c r="AD467" s="91">
        <f>AF467/AF406</f>
        <v>0.89434247094703068</v>
      </c>
      <c r="AE467" s="88"/>
      <c r="AF467" s="90">
        <f>AF418+AF432+AF451+AF465</f>
        <v>2740750.95</v>
      </c>
      <c r="AG467" s="99"/>
      <c r="AH467" s="93">
        <f t="shared" si="262"/>
        <v>-95991.003714664839</v>
      </c>
      <c r="AI467" s="89">
        <f>AH467/AC467</f>
        <v>-3.3838468666128149E-2</v>
      </c>
      <c r="AJ467" s="91">
        <f>IF($AL$406=0,0,AL467/$AL$406)</f>
        <v>0.987650828716086</v>
      </c>
      <c r="AK467" s="89"/>
      <c r="AL467" s="90">
        <f>AL418+AL432+AL451+AL465</f>
        <v>2547284.0300000003</v>
      </c>
      <c r="AM467" s="100"/>
      <c r="AN467" s="93">
        <f t="shared" si="263"/>
        <v>193466.91999999993</v>
      </c>
      <c r="AO467" s="447">
        <f>IF(AL467=0,0,AN467/AL467)</f>
        <v>7.5950273986525138E-2</v>
      </c>
      <c r="AP467" s="101">
        <f>AF467-Print_Mois!AF467</f>
        <v>2110953.06</v>
      </c>
      <c r="AQ467" s="90">
        <v>6536747.29</v>
      </c>
      <c r="AR467" s="90">
        <f t="shared" ref="AR467:AR480" si="264">AF467-AQ467</f>
        <v>-3795996.34</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tr">
        <f t="shared" si="253"/>
        <v>Revenus autres</v>
      </c>
      <c r="B468" s="159"/>
      <c r="C468" s="79"/>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+SUMPRODUCT(('Budget original'!$A$8:$A$500=$A468)*('Budget original'!$C$3:$AO$3=Z$2),'Budget original'!$C$8:$AO$500)</f>
        <v>37791.599999999999</v>
      </c>
      <c r="AA468" s="243"/>
      <c r="AB468" s="244"/>
      <c r="AC468" s="242">
        <f>+SUMPRODUCT(('Budget révisé'!$A$8:$A$500=$A468)*('Budget révisé'!$C$3:$AO$3=AC$2),'Budget révisé'!$C$8:$AO$500)</f>
        <v>37791.599999999999</v>
      </c>
      <c r="AD468" s="246"/>
      <c r="AE468" s="244"/>
      <c r="AF468" s="87">
        <f>-SUMIFS(BV_Data_An_Cour!$P:$P,BV_Data_An_Cour!$V:$V,$V468)</f>
        <v>141833.03</v>
      </c>
      <c r="AG468" s="245"/>
      <c r="AH468" s="476">
        <f t="shared" si="262"/>
        <v>104041.43</v>
      </c>
      <c r="AI468" s="477">
        <f t="shared" ref="AI468:AI472" si="265">IF(AH468=0,0,AH468/AC468)</f>
        <v>2.7530305676393696</v>
      </c>
      <c r="AJ468" s="246"/>
      <c r="AK468" s="243"/>
      <c r="AL468" s="478">
        <f>-SUMIFS(BV_Data_An_Prec!$P:$P,BV_Data_An_Prec!$V:$V,$V468)</f>
        <v>156845.73000000001</v>
      </c>
      <c r="AM468" s="247"/>
      <c r="AN468" s="476">
        <f t="shared" si="263"/>
        <v>-15012.700000000012</v>
      </c>
      <c r="AO468" s="255">
        <f>IF(AL468=0,0,AN468/AL468)</f>
        <v>-9.5716344971584572E-2</v>
      </c>
      <c r="AP468" s="101">
        <f>AF468-Print_Mois!AF468</f>
        <v>125391.44</v>
      </c>
      <c r="AQ468" s="87">
        <v>244107.66</v>
      </c>
      <c r="AR468" s="87">
        <f t="shared" si="264"/>
        <v>-102274.63</v>
      </c>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64" t="str">
        <f t="shared" si="253"/>
        <v>Holdbacks</v>
      </c>
      <c r="B469" s="159"/>
      <c r="C469" s="79"/>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9" si="266">+SUMIF($C:$C,$V469,F:F)</f>
        <v>346241.61482530111</v>
      </c>
      <c r="AA469" s="249"/>
      <c r="AB469" s="241"/>
      <c r="AC469" s="248">
        <f t="shared" ref="AC469:AC479" si="267">+SUMIF($C:$C,$V469,I:I)</f>
        <v>346241.61482530111</v>
      </c>
      <c r="AD469" s="252"/>
      <c r="AE469" s="241"/>
      <c r="AF469" s="248">
        <f t="shared" ref="AF469:AF479" si="268">+SUMIF($C:$C,$V469,L:L)</f>
        <v>203762.85</v>
      </c>
      <c r="AG469" s="250"/>
      <c r="AH469" s="476">
        <f t="shared" si="262"/>
        <v>-142478.7648253011</v>
      </c>
      <c r="AI469" s="251">
        <f>IF(AC469=0,0,AH469/AC469)</f>
        <v>-0.41150098291099374</v>
      </c>
      <c r="AJ469" s="252"/>
      <c r="AK469" s="249"/>
      <c r="AL469" s="253">
        <f t="shared" ref="AL469:AL479" si="269">+SUMIF($C:$C,$V469,Q:Q)</f>
        <v>397247</v>
      </c>
      <c r="AM469" s="254"/>
      <c r="AN469" s="476">
        <f t="shared" si="263"/>
        <v>-193484.15</v>
      </c>
      <c r="AO469" s="255">
        <f>IF(AL469=0,0,AN469/AL469)</f>
        <v>-0.48706258322907409</v>
      </c>
      <c r="AP469" s="101">
        <f>AF469-Print_Mois!AF469</f>
        <v>150411.85</v>
      </c>
      <c r="AQ469" s="248">
        <v>793765.53</v>
      </c>
      <c r="AR469" s="248">
        <f t="shared" si="264"/>
        <v>-590002.68000000005</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tr">
        <f t="shared" si="253"/>
        <v>Programme neuf 1</v>
      </c>
      <c r="B470" s="159"/>
      <c r="C470" s="79"/>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6"/>
        <v>12255.3</v>
      </c>
      <c r="AA470" s="249"/>
      <c r="AB470" s="241"/>
      <c r="AC470" s="248">
        <f t="shared" si="267"/>
        <v>12255.3</v>
      </c>
      <c r="AD470" s="252"/>
      <c r="AE470" s="241"/>
      <c r="AF470" s="248">
        <f t="shared" si="268"/>
        <v>0</v>
      </c>
      <c r="AG470" s="250"/>
      <c r="AH470" s="476">
        <f t="shared" si="262"/>
        <v>-12255.3</v>
      </c>
      <c r="AI470" s="251">
        <f t="shared" si="265"/>
        <v>-1</v>
      </c>
      <c r="AJ470" s="252"/>
      <c r="AK470" s="249"/>
      <c r="AL470" s="253">
        <f t="shared" si="269"/>
        <v>65776.52</v>
      </c>
      <c r="AM470" s="254"/>
      <c r="AN470" s="476">
        <f t="shared" si="263"/>
        <v>-65776.52</v>
      </c>
      <c r="AO470" s="255">
        <f t="shared" ref="AO470:AO472" si="270">IF(AL470=0,0,AN470/AL470)</f>
        <v>-1</v>
      </c>
      <c r="AP470" s="101">
        <f>AF470-Print_Mois!AF470</f>
        <v>0</v>
      </c>
      <c r="AQ470" s="248">
        <v>105276.52</v>
      </c>
      <c r="AR470" s="248">
        <f t="shared" si="264"/>
        <v>-105276.52</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tr">
        <f t="shared" si="253"/>
        <v>Programme neuf 2</v>
      </c>
      <c r="B471" s="159"/>
      <c r="C471" s="79"/>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6"/>
        <v>0</v>
      </c>
      <c r="AA471" s="249"/>
      <c r="AB471" s="241"/>
      <c r="AC471" s="248">
        <f t="shared" si="267"/>
        <v>0</v>
      </c>
      <c r="AD471" s="252"/>
      <c r="AE471" s="241"/>
      <c r="AF471" s="248">
        <f t="shared" si="268"/>
        <v>0</v>
      </c>
      <c r="AG471" s="250"/>
      <c r="AH471" s="476">
        <f t="shared" si="262"/>
        <v>0</v>
      </c>
      <c r="AI471" s="251">
        <f t="shared" si="265"/>
        <v>0</v>
      </c>
      <c r="AJ471" s="252"/>
      <c r="AK471" s="249"/>
      <c r="AL471" s="253">
        <f t="shared" si="269"/>
        <v>0</v>
      </c>
      <c r="AM471" s="254"/>
      <c r="AN471" s="476">
        <f t="shared" si="263"/>
        <v>0</v>
      </c>
      <c r="AO471" s="255">
        <f t="shared" si="270"/>
        <v>0</v>
      </c>
      <c r="AP471" s="101">
        <f>AF471-Print_Mois!AF471</f>
        <v>0</v>
      </c>
      <c r="AQ471" s="248">
        <v>0</v>
      </c>
      <c r="AR471" s="248">
        <f t="shared" si="264"/>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tr">
        <f t="shared" si="253"/>
        <v>Programme neuf 3</v>
      </c>
      <c r="B472" s="159"/>
      <c r="C472" s="79"/>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6"/>
        <v>0</v>
      </c>
      <c r="AA472" s="249"/>
      <c r="AB472" s="241"/>
      <c r="AC472" s="248">
        <f t="shared" si="267"/>
        <v>0</v>
      </c>
      <c r="AD472" s="252"/>
      <c r="AE472" s="241"/>
      <c r="AF472" s="248">
        <f t="shared" si="268"/>
        <v>0</v>
      </c>
      <c r="AG472" s="250"/>
      <c r="AH472" s="476">
        <f t="shared" si="262"/>
        <v>0</v>
      </c>
      <c r="AI472" s="251">
        <f t="shared" si="265"/>
        <v>0</v>
      </c>
      <c r="AJ472" s="252"/>
      <c r="AK472" s="249"/>
      <c r="AL472" s="253">
        <f t="shared" si="269"/>
        <v>0</v>
      </c>
      <c r="AM472" s="254"/>
      <c r="AN472" s="476">
        <f t="shared" si="263"/>
        <v>0</v>
      </c>
      <c r="AO472" s="255">
        <f t="shared" si="270"/>
        <v>0</v>
      </c>
      <c r="AP472" s="101">
        <f>AF472-Print_Mois!AF472</f>
        <v>0</v>
      </c>
      <c r="AQ472" s="248">
        <v>0</v>
      </c>
      <c r="AR472" s="248">
        <f t="shared" si="264"/>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tr">
        <f t="shared" si="253"/>
        <v>Programme used 1</v>
      </c>
      <c r="B473" s="159"/>
      <c r="C473" s="79"/>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6"/>
        <v>0</v>
      </c>
      <c r="AA473" s="249"/>
      <c r="AB473" s="241"/>
      <c r="AC473" s="248">
        <f t="shared" si="267"/>
        <v>0</v>
      </c>
      <c r="AD473" s="252"/>
      <c r="AE473" s="241"/>
      <c r="AF473" s="248">
        <f t="shared" si="268"/>
        <v>0</v>
      </c>
      <c r="AG473" s="250"/>
      <c r="AH473" s="476">
        <f t="shared" ref="AH473:AH478" si="271">AF473-AC473</f>
        <v>0</v>
      </c>
      <c r="AI473" s="251">
        <f t="shared" ref="AI473:AI478" si="272">IF(AH473=0,0,AH473/AC473)</f>
        <v>0</v>
      </c>
      <c r="AJ473" s="252"/>
      <c r="AK473" s="249"/>
      <c r="AL473" s="253">
        <f t="shared" si="269"/>
        <v>0</v>
      </c>
      <c r="AM473" s="254"/>
      <c r="AN473" s="476">
        <f t="shared" ref="AN473:AN475" si="273">AF473-AL473</f>
        <v>0</v>
      </c>
      <c r="AO473" s="255">
        <f t="shared" ref="AO473:AO475" si="274">IF(AL473=0,0,AN473/AL473)</f>
        <v>0</v>
      </c>
      <c r="AP473" s="101">
        <f>AF473-Print_Mois!AF473</f>
        <v>0</v>
      </c>
      <c r="AQ473" s="248">
        <v>17000</v>
      </c>
      <c r="AR473" s="248">
        <f t="shared" si="264"/>
        <v>-17000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tr">
        <f t="shared" si="253"/>
        <v>Programme used 2</v>
      </c>
      <c r="B474" s="159"/>
      <c r="C474" s="79"/>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6"/>
        <v>0</v>
      </c>
      <c r="AA474" s="249"/>
      <c r="AB474" s="241"/>
      <c r="AC474" s="248">
        <f t="shared" si="267"/>
        <v>0</v>
      </c>
      <c r="AD474" s="252"/>
      <c r="AE474" s="241"/>
      <c r="AF474" s="248">
        <f t="shared" si="268"/>
        <v>0</v>
      </c>
      <c r="AG474" s="250"/>
      <c r="AH474" s="476">
        <f t="shared" si="271"/>
        <v>0</v>
      </c>
      <c r="AI474" s="251">
        <f t="shared" si="272"/>
        <v>0</v>
      </c>
      <c r="AJ474" s="252"/>
      <c r="AK474" s="249"/>
      <c r="AL474" s="253">
        <f t="shared" si="269"/>
        <v>0</v>
      </c>
      <c r="AM474" s="254"/>
      <c r="AN474" s="476">
        <f t="shared" si="273"/>
        <v>0</v>
      </c>
      <c r="AO474" s="255">
        <f t="shared" si="274"/>
        <v>0</v>
      </c>
      <c r="AP474" s="101">
        <f>AF474-Print_Mois!AF474</f>
        <v>0</v>
      </c>
      <c r="AQ474" s="248">
        <v>0</v>
      </c>
      <c r="AR474" s="248">
        <f t="shared" si="264"/>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tr">
        <f t="shared" si="253"/>
        <v>Programme used 3</v>
      </c>
      <c r="B475" s="159"/>
      <c r="C475" s="79"/>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6"/>
        <v>0</v>
      </c>
      <c r="AA475" s="249"/>
      <c r="AB475" s="241"/>
      <c r="AC475" s="248">
        <f t="shared" si="267"/>
        <v>0</v>
      </c>
      <c r="AD475" s="252"/>
      <c r="AE475" s="241"/>
      <c r="AF475" s="248">
        <f t="shared" si="268"/>
        <v>0</v>
      </c>
      <c r="AG475" s="250"/>
      <c r="AH475" s="476">
        <f t="shared" si="271"/>
        <v>0</v>
      </c>
      <c r="AI475" s="251">
        <f t="shared" si="272"/>
        <v>0</v>
      </c>
      <c r="AJ475" s="252"/>
      <c r="AK475" s="249"/>
      <c r="AL475" s="253">
        <f t="shared" si="269"/>
        <v>0</v>
      </c>
      <c r="AM475" s="254"/>
      <c r="AN475" s="476">
        <f t="shared" si="273"/>
        <v>0</v>
      </c>
      <c r="AO475" s="255">
        <f t="shared" si="274"/>
        <v>0</v>
      </c>
      <c r="AP475" s="101">
        <f>AF475-Print_Mois!AF475</f>
        <v>0</v>
      </c>
      <c r="AQ475" s="248">
        <v>0</v>
      </c>
      <c r="AR475" s="248">
        <f t="shared" si="264"/>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64" t="str">
        <f t="shared" si="253"/>
        <v>[...]</v>
      </c>
      <c r="B476" s="159"/>
      <c r="C476" s="79"/>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248">
        <f t="shared" si="266"/>
        <v>0</v>
      </c>
      <c r="AA476" s="249"/>
      <c r="AB476" s="241"/>
      <c r="AC476" s="248">
        <f t="shared" si="267"/>
        <v>0</v>
      </c>
      <c r="AD476" s="252"/>
      <c r="AE476" s="241"/>
      <c r="AF476" s="248">
        <f t="shared" si="268"/>
        <v>0</v>
      </c>
      <c r="AG476" s="250"/>
      <c r="AH476" s="476">
        <f t="shared" si="271"/>
        <v>0</v>
      </c>
      <c r="AI476" s="251">
        <f t="shared" si="272"/>
        <v>0</v>
      </c>
      <c r="AJ476" s="252"/>
      <c r="AK476" s="249"/>
      <c r="AL476" s="253">
        <f t="shared" si="269"/>
        <v>0</v>
      </c>
      <c r="AM476" s="254"/>
      <c r="AN476" s="476">
        <f t="shared" ref="AN476:AN479" si="275">AF476-AL476</f>
        <v>0</v>
      </c>
      <c r="AO476" s="255">
        <f t="shared" ref="AO476:AO479" si="276">IF(AL476=0,0,AN476/AL476)</f>
        <v>0</v>
      </c>
      <c r="AP476" s="101">
        <f>AF476-Print_Mois!AF476</f>
        <v>0</v>
      </c>
      <c r="AQ476" s="248">
        <v>0</v>
      </c>
      <c r="AR476" s="248">
        <f t="shared" si="264"/>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64" t="str">
        <f t="shared" si="253"/>
        <v>[...]</v>
      </c>
      <c r="B477" s="159"/>
      <c r="C477" s="79"/>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248">
        <f t="shared" si="266"/>
        <v>0</v>
      </c>
      <c r="AA477" s="249"/>
      <c r="AB477" s="241"/>
      <c r="AC477" s="248">
        <f t="shared" si="267"/>
        <v>0</v>
      </c>
      <c r="AD477" s="252"/>
      <c r="AE477" s="241"/>
      <c r="AF477" s="248">
        <f t="shared" si="268"/>
        <v>0</v>
      </c>
      <c r="AG477" s="250"/>
      <c r="AH477" s="476">
        <f t="shared" si="271"/>
        <v>0</v>
      </c>
      <c r="AI477" s="251">
        <f t="shared" si="272"/>
        <v>0</v>
      </c>
      <c r="AJ477" s="252"/>
      <c r="AK477" s="249"/>
      <c r="AL477" s="253">
        <f t="shared" si="269"/>
        <v>0</v>
      </c>
      <c r="AM477" s="254"/>
      <c r="AN477" s="476">
        <f t="shared" si="275"/>
        <v>0</v>
      </c>
      <c r="AO477" s="255">
        <f t="shared" si="276"/>
        <v>0</v>
      </c>
      <c r="AP477" s="101">
        <f>AF477-Print_Mois!AF477</f>
        <v>0</v>
      </c>
      <c r="AQ477" s="248">
        <v>0</v>
      </c>
      <c r="AR477" s="248">
        <f t="shared" si="264"/>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64" t="str">
        <f t="shared" si="253"/>
        <v>[...]</v>
      </c>
      <c r="B478" s="159"/>
      <c r="C478" s="79"/>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248">
        <f t="shared" si="266"/>
        <v>0</v>
      </c>
      <c r="AA478" s="249"/>
      <c r="AB478" s="241"/>
      <c r="AC478" s="248">
        <f t="shared" si="267"/>
        <v>0</v>
      </c>
      <c r="AD478" s="252"/>
      <c r="AE478" s="241"/>
      <c r="AF478" s="248">
        <f t="shared" si="268"/>
        <v>0</v>
      </c>
      <c r="AG478" s="250"/>
      <c r="AH478" s="476">
        <f t="shared" si="271"/>
        <v>0</v>
      </c>
      <c r="AI478" s="251">
        <f t="shared" si="272"/>
        <v>0</v>
      </c>
      <c r="AJ478" s="252"/>
      <c r="AK478" s="249"/>
      <c r="AL478" s="253">
        <f t="shared" si="269"/>
        <v>0</v>
      </c>
      <c r="AM478" s="254"/>
      <c r="AN478" s="476">
        <f t="shared" si="275"/>
        <v>0</v>
      </c>
      <c r="AO478" s="255">
        <f t="shared" si="276"/>
        <v>0</v>
      </c>
      <c r="AP478" s="101">
        <f>AF478-Print_Mois!AF478</f>
        <v>0</v>
      </c>
      <c r="AQ478" s="248">
        <v>0</v>
      </c>
      <c r="AR478" s="248">
        <f t="shared" si="264"/>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tr">
        <f t="shared" si="253"/>
        <v>Frais administration</v>
      </c>
      <c r="B479" s="159"/>
      <c r="C479" s="79"/>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 t="shared" si="266"/>
        <v>187556.05510991818</v>
      </c>
      <c r="AA479" s="249"/>
      <c r="AB479" s="241"/>
      <c r="AC479" s="248">
        <f t="shared" si="267"/>
        <v>187556.05510991818</v>
      </c>
      <c r="AD479" s="252"/>
      <c r="AE479" s="241"/>
      <c r="AF479" s="248">
        <f t="shared" si="268"/>
        <v>111874</v>
      </c>
      <c r="AG479" s="250"/>
      <c r="AH479" s="476">
        <f t="shared" ref="AH479:AH480" si="277">AF479-AC479</f>
        <v>-75682.055109918176</v>
      </c>
      <c r="AI479" s="251">
        <f>IF(AH479=0,0,AH479/AC479)</f>
        <v>-0.40351699157654136</v>
      </c>
      <c r="AJ479" s="252"/>
      <c r="AK479" s="249"/>
      <c r="AL479" s="253">
        <f t="shared" si="269"/>
        <v>144374.70000000001</v>
      </c>
      <c r="AM479" s="254"/>
      <c r="AN479" s="476">
        <f t="shared" si="275"/>
        <v>-32500.700000000012</v>
      </c>
      <c r="AO479" s="255">
        <f t="shared" si="276"/>
        <v>-0.2251135413614713</v>
      </c>
      <c r="AP479" s="101">
        <f>AF479-Print_Mois!AF479</f>
        <v>83356</v>
      </c>
      <c r="AQ479" s="248">
        <v>377721.88</v>
      </c>
      <c r="AR479" s="248">
        <f t="shared" si="264"/>
        <v>-265847.88</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tr">
        <f t="shared" si="253"/>
        <v>TOTAL AUTRES REVENUS</v>
      </c>
      <c r="B480" s="159"/>
      <c r="C480" s="79"/>
      <c r="D480" s="79"/>
      <c r="E480" s="79"/>
      <c r="F480" s="79"/>
      <c r="G480" s="79"/>
      <c r="H480" s="79"/>
      <c r="I480" s="79"/>
      <c r="J480" s="79"/>
      <c r="K480" s="79"/>
      <c r="L480" s="79"/>
      <c r="M480" s="79"/>
      <c r="N480" s="79"/>
      <c r="O480" s="79"/>
      <c r="P480" s="79"/>
      <c r="Q480" s="79"/>
      <c r="R480" s="79"/>
      <c r="S480" s="79"/>
      <c r="T480" s="79"/>
      <c r="U480" s="79"/>
      <c r="V480" s="461" t="s">
        <v>256</v>
      </c>
      <c r="W480" s="88"/>
      <c r="X480" s="89">
        <f>Z480/+Z406</f>
        <v>0.19195729237822312</v>
      </c>
      <c r="Y480" s="103"/>
      <c r="Z480" s="90">
        <f>SUM(Z468:Z479)</f>
        <v>583844.56993521925</v>
      </c>
      <c r="AA480" s="89">
        <f>AC480/+AC406</f>
        <v>0.19195729237822312</v>
      </c>
      <c r="AB480" s="103"/>
      <c r="AC480" s="90">
        <f>SUM(AC468:AC479)</f>
        <v>583844.56993521925</v>
      </c>
      <c r="AD480" s="89">
        <f>AF480/+AF406</f>
        <v>0.14927833660444106</v>
      </c>
      <c r="AE480" s="103"/>
      <c r="AF480" s="90">
        <f>SUM(AF468:AF479)</f>
        <v>457469.88</v>
      </c>
      <c r="AG480" s="99"/>
      <c r="AH480" s="93">
        <f t="shared" si="277"/>
        <v>-126374.68993521924</v>
      </c>
      <c r="AI480" s="89">
        <f>AH480/AC480</f>
        <v>-0.21645262530957718</v>
      </c>
      <c r="AJ480" s="109"/>
      <c r="AK480" s="110"/>
      <c r="AL480" s="90">
        <f>SUM(AL468:AL479)</f>
        <v>764243.95</v>
      </c>
      <c r="AM480" s="111"/>
      <c r="AN480" s="93">
        <f t="shared" ref="AN480:AN482" si="278">AF480-AL480</f>
        <v>-306774.06999999995</v>
      </c>
      <c r="AO480" s="630">
        <f>IF(AL480=0,0,AN480/AL480)</f>
        <v>-0.40140856855981649</v>
      </c>
      <c r="AP480" s="101">
        <f>AF480-Print_Mois!AF480</f>
        <v>359159.29000000004</v>
      </c>
      <c r="AQ480" s="90">
        <v>1537871.5899999999</v>
      </c>
      <c r="AR480" s="90">
        <f t="shared" si="264"/>
        <v>-1080401.71</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tr">
        <f t="shared" si="253"/>
        <v/>
      </c>
      <c r="B481" s="159"/>
      <c r="C481" s="79"/>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8"/>
        <v>0</v>
      </c>
      <c r="AO481" s="480">
        <f t="shared" ref="AO481" si="279">IF(AL481=0,0,AN481/AL481)</f>
        <v>0</v>
      </c>
      <c r="AP481" s="101">
        <f>AF481-Print_Mois!AF481</f>
        <v>0</v>
      </c>
      <c r="AQ481" s="113"/>
      <c r="AR481" s="113"/>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tr">
        <f t="shared" si="253"/>
        <v>BAIIA OPÉRATIONNEL</v>
      </c>
      <c r="B482" s="159"/>
      <c r="C482" s="79"/>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3.4902349867910458E-2</v>
      </c>
      <c r="Z482" s="485">
        <f>Z406-Z467+Z480</f>
        <v>788636.29645626468</v>
      </c>
      <c r="AA482" s="483" t="s">
        <v>258</v>
      </c>
      <c r="AB482" s="484">
        <f>AC482/AC405</f>
        <v>3.4902349867910458E-2</v>
      </c>
      <c r="AC482" s="485">
        <f>AC406-AC467+AC480</f>
        <v>788636.29645626468</v>
      </c>
      <c r="AD482" s="483" t="s">
        <v>258</v>
      </c>
      <c r="AE482" s="484">
        <f>AF482/AF405</f>
        <v>3.9852634820869218E-2</v>
      </c>
      <c r="AF482" s="211">
        <f>AF406-AF467+AF480</f>
        <v>781261.91999999818</v>
      </c>
      <c r="AG482" s="486"/>
      <c r="AH482" s="486">
        <f>AF482-AC482</f>
        <v>-7374.3764562665019</v>
      </c>
      <c r="AI482" s="540">
        <f>AH482/AC482</f>
        <v>-9.3507951503161157E-3</v>
      </c>
      <c r="AJ482" s="487" t="s">
        <v>258</v>
      </c>
      <c r="AK482" s="484">
        <f>IF($AL$405=0,0,AL482/$AL$405)</f>
        <v>3.5843670795331253E-2</v>
      </c>
      <c r="AL482" s="211">
        <f>AL406-AL467+AL480</f>
        <v>796094.12000000034</v>
      </c>
      <c r="AM482" s="212"/>
      <c r="AN482" s="211">
        <f t="shared" si="278"/>
        <v>-14832.200000002165</v>
      </c>
      <c r="AO482" s="488">
        <f>IF(AL482=0,0,AN482/AL482)</f>
        <v>-1.8631214108203887E-2</v>
      </c>
      <c r="AP482" s="101">
        <f>AF482-Print_Mois!AF482</f>
        <v>562823.72999999824</v>
      </c>
      <c r="AQ482" s="211">
        <v>2159824.8199999994</v>
      </c>
      <c r="AR482" s="211">
        <f>AF482-AQ482</f>
        <v>-1378562.9000000013</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tr">
        <f t="shared" si="253"/>
        <v/>
      </c>
      <c r="B483" s="159"/>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101">
        <f>AF483-Print_Mois!AF483</f>
        <v>0</v>
      </c>
      <c r="AQ483" s="120"/>
      <c r="AR483" s="120"/>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tr">
        <f t="shared" ref="A484:A497" si="280">+U484&amp;V484</f>
        <v>Volks</v>
      </c>
      <c r="B484" s="159"/>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AAJ, Mai 2022</v>
      </c>
      <c r="AP484" s="101">
        <f>AF484-Print_Mois!AF484</f>
        <v>0</v>
      </c>
      <c r="AQ484" s="21"/>
      <c r="AR484" s="21"/>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tr">
        <f t="shared" si="280"/>
        <v/>
      </c>
      <c r="B485" s="159"/>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101">
        <f>AF485-Print_Mois!AF485</f>
        <v>0</v>
      </c>
      <c r="AQ485" s="120"/>
      <c r="AR485" s="120"/>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tr">
        <f t="shared" si="280"/>
        <v/>
      </c>
      <c r="B486" s="159"/>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101">
        <f>AF486-Print_Mois!AF486</f>
        <v>0</v>
      </c>
      <c r="AQ486" s="120"/>
      <c r="AR486" s="120"/>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tr">
        <f t="shared" si="280"/>
        <v/>
      </c>
      <c r="B487" s="159"/>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101">
        <f>AF487-Print_Mois!AF487</f>
        <v>0</v>
      </c>
      <c r="AQ487" s="120"/>
      <c r="AR487" s="120"/>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tr">
        <f t="shared" si="280"/>
        <v>BAIIA OPÉRATIONNEL</v>
      </c>
      <c r="B488" s="159"/>
      <c r="C488" s="79"/>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3.4902349867910458E-2</v>
      </c>
      <c r="Z488" s="493">
        <f>Z482</f>
        <v>788636.29645626468</v>
      </c>
      <c r="AA488" s="491" t="s">
        <v>258</v>
      </c>
      <c r="AB488" s="492">
        <f>AC488/AC405</f>
        <v>3.4902349867910458E-2</v>
      </c>
      <c r="AC488" s="493">
        <f>AC482</f>
        <v>788636.29645626468</v>
      </c>
      <c r="AD488" s="491" t="s">
        <v>258</v>
      </c>
      <c r="AE488" s="492">
        <f>AF488/AF405</f>
        <v>3.9852634820869218E-2</v>
      </c>
      <c r="AF488" s="493">
        <f>AF482</f>
        <v>781261.91999999818</v>
      </c>
      <c r="AG488" s="494"/>
      <c r="AH488" s="486">
        <f>AF488-AC488</f>
        <v>-7374.3764562665019</v>
      </c>
      <c r="AI488" s="540">
        <f>AH488/AC488</f>
        <v>-9.3507951503161157E-3</v>
      </c>
      <c r="AJ488" s="491" t="s">
        <v>258</v>
      </c>
      <c r="AK488" s="492">
        <f>IF($AL$405=0,0,AL488/$AL$405)</f>
        <v>3.5843670795331253E-2</v>
      </c>
      <c r="AL488" s="495">
        <f>AL482</f>
        <v>796094.12000000034</v>
      </c>
      <c r="AM488" s="496"/>
      <c r="AN488" s="497">
        <f>AF488-AL488</f>
        <v>-14832.200000002165</v>
      </c>
      <c r="AO488" s="498">
        <f>IF(AL488=0,0,AN488/AL488)</f>
        <v>-1.8631214108203887E-2</v>
      </c>
      <c r="AP488" s="101">
        <f>AF488-Print_Mois!AF488</f>
        <v>562823.72999999824</v>
      </c>
      <c r="AQ488" s="493">
        <v>2159824.8199999994</v>
      </c>
      <c r="AR488" s="493">
        <f>AF488-AQ488</f>
        <v>-1378562.9000000013</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tr">
        <f t="shared" si="280"/>
        <v/>
      </c>
      <c r="B489" s="159"/>
      <c r="C489" s="79"/>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101">
        <f>AF489-Print_Mois!AF489</f>
        <v>0</v>
      </c>
      <c r="AQ489" s="122"/>
      <c r="AR489" s="122"/>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tr">
        <f t="shared" si="280"/>
        <v>Amortissement</v>
      </c>
      <c r="B490" s="159"/>
      <c r="C490" s="79"/>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+SUMPRODUCT(('Budget original'!$A$8:$A$500=$A490)*('Budget original'!$C$3:$AO$3=Z$2),'Budget original'!$C$8:$AO$500)</f>
        <v>36371.25</v>
      </c>
      <c r="AA490" s="449"/>
      <c r="AB490" s="455"/>
      <c r="AC490" s="87">
        <f>+SUMPRODUCT(('Budget révisé'!$A$8:$A$500=$A490)*('Budget révisé'!$C$3:$AO$3=AC$2),'Budget révisé'!$C$8:$AO$500)</f>
        <v>36371.25</v>
      </c>
      <c r="AD490" s="449"/>
      <c r="AE490" s="455"/>
      <c r="AF490" s="87">
        <f>SUMIFS(BV_Data_An_Cour!$P:$P,BV_Data_An_Cour!$V:$V,$V490)</f>
        <v>21572.5</v>
      </c>
      <c r="AG490" s="449"/>
      <c r="AH490" s="451">
        <f t="shared" ref="AH490:AH491" si="281">AF490-AC490</f>
        <v>-14798.75</v>
      </c>
      <c r="AI490" s="97">
        <f>IF(AC490=0,0,AH490/AC490)</f>
        <v>-0.40688043440904559</v>
      </c>
      <c r="AJ490" s="449"/>
      <c r="AK490" s="449"/>
      <c r="AL490" s="87">
        <f>SUMIFS(BV_Data_An_Prec!$P:$P,BV_Data_An_Prec!$V:$V,$V490)</f>
        <v>22367</v>
      </c>
      <c r="AM490" s="453"/>
      <c r="AN490" s="451">
        <f t="shared" ref="AN490:AN491" si="282">AF490-AL490</f>
        <v>-794.5</v>
      </c>
      <c r="AO490" s="208">
        <f>IF(AL490=0,0,AN490/AL490)</f>
        <v>-3.5521080162739749E-2</v>
      </c>
      <c r="AP490" s="101">
        <f>AF490-Print_Mois!AF490</f>
        <v>17258</v>
      </c>
      <c r="AQ490" s="87">
        <v>54471.5</v>
      </c>
      <c r="AR490" s="87">
        <f t="shared" ref="AR490:AR492" si="283">AF490-AQ490</f>
        <v>-32899</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tr">
        <f t="shared" si="280"/>
        <v>Intérêts sur marge</v>
      </c>
      <c r="B491" s="159"/>
      <c r="C491" s="79"/>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+SUMPRODUCT(('Budget original'!$A$8:$A$500=$A491)*('Budget original'!$C$3:$AO$3=Z$2),'Budget original'!$C$8:$AO$500)</f>
        <v>0</v>
      </c>
      <c r="AA491" s="433"/>
      <c r="AB491" s="433"/>
      <c r="AC491" s="87">
        <f>+SUMPRODUCT(('Budget révisé'!$A$8:$A$500=$A491)*('Budget révisé'!$C$3:$AO$3=AC$2),'Budget révisé'!$C$8:$AO$500)</f>
        <v>0</v>
      </c>
      <c r="AD491" s="433"/>
      <c r="AE491" s="172"/>
      <c r="AF491" s="248">
        <f>SUMIFS(BV_Data_An_Cour!$P:$P,BV_Data_An_Cour!$V:$V,$V491)</f>
        <v>0</v>
      </c>
      <c r="AG491" s="433"/>
      <c r="AH491" s="451">
        <f t="shared" si="281"/>
        <v>0</v>
      </c>
      <c r="AI491" s="97">
        <f t="shared" ref="AI491" si="284">IF(AC491=0,0,AH491/AC491)</f>
        <v>0</v>
      </c>
      <c r="AJ491" s="433"/>
      <c r="AK491" s="433"/>
      <c r="AL491" s="87">
        <f>SUMIFS(BV_Data_An_Prec!$P:$P,BV_Data_An_Prec!$V:$V,$V491)</f>
        <v>-5493.72</v>
      </c>
      <c r="AM491" s="502"/>
      <c r="AN491" s="451">
        <f t="shared" si="282"/>
        <v>5493.72</v>
      </c>
      <c r="AO491" s="208">
        <f t="shared" ref="AO491" si="285">IF(AL491=0,0,AN491/AL491)</f>
        <v>-1</v>
      </c>
      <c r="AP491" s="101">
        <f>AF491-Print_Mois!AF491</f>
        <v>0</v>
      </c>
      <c r="AQ491" s="248">
        <v>-4458.1099999999997</v>
      </c>
      <c r="AR491" s="248">
        <f t="shared" si="283"/>
        <v>4458.1099999999997</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tr">
        <f t="shared" si="280"/>
        <v>Intérêts sur prêt</v>
      </c>
      <c r="B492" s="159"/>
      <c r="C492" s="79"/>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+SUMPRODUCT(('Budget original'!$A$8:$A$500=$A492)*('Budget original'!$C$3:$AO$3=Z$2),'Budget original'!$C$8:$AO$500)</f>
        <v>2195.0100000000002</v>
      </c>
      <c r="AA492" s="433"/>
      <c r="AB492" s="433"/>
      <c r="AC492" s="87">
        <f>+SUMPRODUCT(('Budget révisé'!$A$8:$A$500=$A492)*('Budget révisé'!$C$3:$AO$3=AC$2),'Budget révisé'!$C$8:$AO$500)</f>
        <v>2195.0100000000002</v>
      </c>
      <c r="AD492" s="433"/>
      <c r="AE492" s="172"/>
      <c r="AF492" s="87">
        <f>SUMIFS(BV_Data_An_Cour!$P:$P,BV_Data_An_Cour!$V:$V,$V492)</f>
        <v>2133.9499999999998</v>
      </c>
      <c r="AG492" s="433"/>
      <c r="AH492" s="451">
        <f t="shared" ref="AH492:AH496" si="286">AF492-AC492</f>
        <v>-61.0600000000004</v>
      </c>
      <c r="AI492" s="97">
        <f t="shared" ref="AI492:AI496" si="287">IF(AC492=0,0,AH492/AC492)</f>
        <v>-2.7817640921909418E-2</v>
      </c>
      <c r="AJ492" s="433"/>
      <c r="AK492" s="433"/>
      <c r="AL492" s="87">
        <f>SUMIFS(BV_Data_An_Prec!$P:$P,BV_Data_An_Prec!$V:$V,$V492)</f>
        <v>2852.95</v>
      </c>
      <c r="AM492" s="502"/>
      <c r="AN492" s="451">
        <f t="shared" ref="AN492:AN496" si="288">AF492-AL492</f>
        <v>-719</v>
      </c>
      <c r="AO492" s="208">
        <f t="shared" ref="AO492:AO496" si="289">IF(AL492=0,0,AN492/AL492)</f>
        <v>-0.25201983911389969</v>
      </c>
      <c r="AP492" s="101">
        <f>AF492-Print_Mois!AF492</f>
        <v>1707.1599999999999</v>
      </c>
      <c r="AQ492" s="87">
        <v>6847.08</v>
      </c>
      <c r="AR492" s="87">
        <f t="shared" si="283"/>
        <v>-4713.13</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64" t="str">
        <f t="shared" si="280"/>
        <v>Intérêts sur avance</v>
      </c>
      <c r="B493" s="159"/>
      <c r="C493" s="79"/>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+SUMPRODUCT(('Budget original'!$A$8:$A$500=$A493)*('Budget original'!$C$3:$AO$3=Z$2),'Budget original'!$C$8:$AO$500)</f>
        <v>0</v>
      </c>
      <c r="AA493" s="433"/>
      <c r="AB493" s="433"/>
      <c r="AC493" s="87">
        <f>+SUMPRODUCT(('Budget révisé'!$A$8:$A$500=$A493)*('Budget révisé'!$C$3:$AO$3=AC$2),'Budget révisé'!$C$8:$AO$500)</f>
        <v>0</v>
      </c>
      <c r="AD493" s="433"/>
      <c r="AE493" s="172"/>
      <c r="AF493" s="87">
        <f>SUMIFS(BV_Data_An_Cour!$P:$P,BV_Data_An_Cour!$V:$V,$V493)</f>
        <v>0</v>
      </c>
      <c r="AG493" s="433"/>
      <c r="AH493" s="451">
        <f t="shared" si="286"/>
        <v>0</v>
      </c>
      <c r="AI493" s="97">
        <f t="shared" si="287"/>
        <v>0</v>
      </c>
      <c r="AJ493" s="433"/>
      <c r="AK493" s="433"/>
      <c r="AL493" s="87">
        <f>SUMIFS(BV_Data_An_Prec!$P:$P,BV_Data_An_Prec!$V:$V,$V493)</f>
        <v>0</v>
      </c>
      <c r="AM493" s="502"/>
      <c r="AN493" s="451">
        <f t="shared" si="288"/>
        <v>0</v>
      </c>
      <c r="AO493" s="208">
        <f t="shared" si="289"/>
        <v>0</v>
      </c>
      <c r="AP493" s="101">
        <f>AF493-Print_Mois!AF493</f>
        <v>0</v>
      </c>
      <c r="AQ493" s="87">
        <v>0</v>
      </c>
      <c r="AR493" s="87"/>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64" t="str">
        <f t="shared" si="280"/>
        <v>[...]</v>
      </c>
      <c r="B494" s="159"/>
      <c r="C494" s="79"/>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+SUMPRODUCT(('Budget original'!$A$8:$A$500=$A494)*('Budget original'!$C$3:$AO$3=Z$2),'Budget original'!$C$8:$AO$500)</f>
        <v>0</v>
      </c>
      <c r="AA494" s="433"/>
      <c r="AB494" s="433"/>
      <c r="AC494" s="87">
        <f>+SUMPRODUCT(('Budget révisé'!$A$8:$A$500=$A494)*('Budget révisé'!$C$3:$AO$3=AC$2),'Budget révisé'!$C$8:$AO$500)</f>
        <v>0</v>
      </c>
      <c r="AD494" s="433"/>
      <c r="AE494" s="172"/>
      <c r="AF494" s="87">
        <f>SUMIFS(BV_Data_An_Cour!$P:$P,BV_Data_An_Cour!$V:$V,$V494)</f>
        <v>0</v>
      </c>
      <c r="AG494" s="433"/>
      <c r="AH494" s="451">
        <f t="shared" si="286"/>
        <v>0</v>
      </c>
      <c r="AI494" s="97">
        <f t="shared" si="287"/>
        <v>0</v>
      </c>
      <c r="AJ494" s="433"/>
      <c r="AK494" s="433"/>
      <c r="AL494" s="87">
        <f>SUMIFS(BV_Data_An_Prec!$P:$P,BV_Data_An_Prec!$V:$V,$V494)</f>
        <v>0</v>
      </c>
      <c r="AM494" s="502"/>
      <c r="AN494" s="451">
        <f t="shared" si="288"/>
        <v>0</v>
      </c>
      <c r="AO494" s="208">
        <f t="shared" si="289"/>
        <v>0</v>
      </c>
      <c r="AP494" s="101">
        <f>AF494-Print_Mois!AF494</f>
        <v>0</v>
      </c>
      <c r="AQ494" s="87">
        <v>0</v>
      </c>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64" t="str">
        <f t="shared" si="280"/>
        <v>[...]</v>
      </c>
      <c r="B495" s="159"/>
      <c r="C495" s="79"/>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+SUMPRODUCT(('Budget original'!$A$8:$A$500=$A495)*('Budget original'!$C$3:$AO$3=Z$2),'Budget original'!$C$8:$AO$500)</f>
        <v>0</v>
      </c>
      <c r="AA495" s="433"/>
      <c r="AB495" s="433"/>
      <c r="AC495" s="87">
        <f>+SUMPRODUCT(('Budget révisé'!$A$8:$A$500=$A495)*('Budget révisé'!$C$3:$AO$3=AC$2),'Budget révisé'!$C$8:$AO$500)</f>
        <v>0</v>
      </c>
      <c r="AD495" s="433"/>
      <c r="AE495" s="172"/>
      <c r="AF495" s="87">
        <f>SUMIFS(BV_Data_An_Cour!$P:$P,BV_Data_An_Cour!$V:$V,$V495)</f>
        <v>0</v>
      </c>
      <c r="AG495" s="433"/>
      <c r="AH495" s="451">
        <f t="shared" si="286"/>
        <v>0</v>
      </c>
      <c r="AI495" s="97">
        <f t="shared" si="287"/>
        <v>0</v>
      </c>
      <c r="AJ495" s="433"/>
      <c r="AK495" s="433"/>
      <c r="AL495" s="87">
        <f>SUMIFS(BV_Data_An_Prec!$P:$P,BV_Data_An_Prec!$V:$V,$V495)</f>
        <v>0</v>
      </c>
      <c r="AM495" s="502"/>
      <c r="AN495" s="451">
        <f t="shared" si="288"/>
        <v>0</v>
      </c>
      <c r="AO495" s="208">
        <f t="shared" si="289"/>
        <v>0</v>
      </c>
      <c r="AP495" s="101">
        <f>AF495-Print_Mois!AF495</f>
        <v>0</v>
      </c>
      <c r="AQ495" s="87">
        <v>0</v>
      </c>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tr">
        <f t="shared" si="280"/>
        <v>[...]</v>
      </c>
      <c r="B496" s="159"/>
      <c r="C496" s="79"/>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+INDEX('Budget original'!$A$2:$AO$500,MATCH($A496,'Budget original'!$A$2:$A$500,0),MATCH(F$2,'Budget original'!$A$2:$AO$2,0))</f>
        <v>0</v>
      </c>
      <c r="AA496" s="433"/>
      <c r="AB496" s="433"/>
      <c r="AC496" s="87">
        <f>+SUMPRODUCT(('Budget révisé'!$A$8:$A$500=$A496)*('Budget révisé'!$C$3:$AO$3=AC$2),'Budget révisé'!$C$8:$AO$500)</f>
        <v>0</v>
      </c>
      <c r="AD496" s="433"/>
      <c r="AE496" s="172"/>
      <c r="AF496" s="87">
        <f>SUMIFS(BV_Data_An_Cour!$P:$P,BV_Data_An_Cour!$V:$V,$V496)</f>
        <v>0</v>
      </c>
      <c r="AG496" s="433"/>
      <c r="AH496" s="451">
        <f t="shared" si="286"/>
        <v>0</v>
      </c>
      <c r="AI496" s="97">
        <f t="shared" si="287"/>
        <v>0</v>
      </c>
      <c r="AJ496" s="433"/>
      <c r="AK496" s="433"/>
      <c r="AL496" s="87">
        <f>SUMIFS(BV_Data_An_Prec!$P:$P,BV_Data_An_Prec!$V:$V,$V496)</f>
        <v>0</v>
      </c>
      <c r="AM496" s="502"/>
      <c r="AN496" s="451">
        <f t="shared" si="288"/>
        <v>0</v>
      </c>
      <c r="AO496" s="208">
        <f t="shared" si="289"/>
        <v>0</v>
      </c>
      <c r="AP496" s="101">
        <f>AF496-Print_Mois!AF496</f>
        <v>0</v>
      </c>
      <c r="AQ496" s="87">
        <v>0</v>
      </c>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tr">
        <f t="shared" si="280"/>
        <v>Profit Net</v>
      </c>
      <c r="B497" s="159"/>
      <c r="C497" s="79"/>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3.3195538875739172E-2</v>
      </c>
      <c r="Z497" s="485">
        <f>Z488-Z490-Z491-Z492-Z496</f>
        <v>750070.03645626467</v>
      </c>
      <c r="AA497" s="483" t="s">
        <v>258</v>
      </c>
      <c r="AB497" s="484">
        <f>AC497/AC405</f>
        <v>3.3195538875739172E-2</v>
      </c>
      <c r="AC497" s="485">
        <f>AC488-AC490-AC491-AC492-AC496</f>
        <v>750070.03645626467</v>
      </c>
      <c r="AD497" s="483" t="s">
        <v>258</v>
      </c>
      <c r="AE497" s="484">
        <f>AF497/AF405</f>
        <v>3.8643354718302339E-2</v>
      </c>
      <c r="AF497" s="211">
        <f>AF488-AF490-AF491-AF492-AF496</f>
        <v>757555.46999999823</v>
      </c>
      <c r="AG497" s="486"/>
      <c r="AH497" s="486">
        <f>AF497-AC497</f>
        <v>7485.433543733554</v>
      </c>
      <c r="AI497" s="540">
        <f>AH497/AC497</f>
        <v>9.9796461395775509E-3</v>
      </c>
      <c r="AJ497" s="487" t="s">
        <v>258</v>
      </c>
      <c r="AK497" s="484">
        <f>IF($AL$405=0,0,AL497/$AL$405)</f>
        <v>3.495550886021611E-2</v>
      </c>
      <c r="AL497" s="211">
        <f>AL488-AL490-AL491-AL492-AL496</f>
        <v>776367.89000000036</v>
      </c>
      <c r="AM497" s="212"/>
      <c r="AN497" s="211">
        <f>AF497-AL497</f>
        <v>-18812.420000002137</v>
      </c>
      <c r="AO497" s="503">
        <f>IF(AL497=0,0,AN497/AL497)</f>
        <v>-2.4231321571017227E-2</v>
      </c>
      <c r="AP497" s="101">
        <f>AF497-Print_Mois!AF497</f>
        <v>543858.5699999982</v>
      </c>
      <c r="AQ497" s="211">
        <v>2102964.3499999992</v>
      </c>
      <c r="AR497" s="211">
        <f>AF497-AQ497</f>
        <v>-1345408.8800000008</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tr">
        <f t="shared" ref="A498" si="290">+U498&amp;V498</f>
        <v/>
      </c>
      <c r="B498" s="159"/>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59"/>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750070.03645626467</v>
      </c>
      <c r="AA499" s="79"/>
      <c r="AB499" s="79"/>
      <c r="AC499" s="101">
        <f>Z499</f>
        <v>750070.03645626467</v>
      </c>
      <c r="AD499" s="79"/>
      <c r="AE499" s="79"/>
      <c r="AF499" s="126">
        <v>179855.68</v>
      </c>
      <c r="AG499" s="79"/>
      <c r="AH499" s="79"/>
      <c r="AI499" s="79"/>
      <c r="AJ499" s="79"/>
      <c r="AK499" s="79"/>
      <c r="AL499" s="79">
        <v>776368</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59"/>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04">
        <f>+Z497-Z499</f>
        <v>0</v>
      </c>
      <c r="AA500" s="79"/>
      <c r="AB500" s="79"/>
      <c r="AC500" s="1004">
        <f>+AC497-AC499</f>
        <v>0</v>
      </c>
      <c r="AD500" s="79"/>
      <c r="AE500" s="79"/>
      <c r="AF500" s="1004">
        <f>+AF497-AF499</f>
        <v>577699.78999999817</v>
      </c>
      <c r="AG500" s="79"/>
      <c r="AH500" s="79"/>
      <c r="AI500" s="79"/>
      <c r="AJ500" s="79"/>
      <c r="AK500" s="79"/>
      <c r="AL500" s="1004">
        <f>+AL497-AL499</f>
        <v>-0.1099999996367842</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59"/>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59"/>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59"/>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101"/>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59"/>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59"/>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59"/>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59"/>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59"/>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59"/>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59"/>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59"/>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59"/>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59"/>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59"/>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59"/>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59"/>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59"/>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59"/>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59"/>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59"/>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59"/>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59"/>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59"/>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59"/>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59"/>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59"/>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59"/>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59"/>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59"/>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59"/>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59"/>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59"/>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59"/>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59"/>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59"/>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59"/>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59"/>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59"/>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59"/>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59"/>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59"/>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59"/>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59"/>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59"/>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59"/>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59"/>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59"/>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59"/>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59"/>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59"/>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59"/>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59"/>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59"/>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59"/>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59"/>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59"/>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59"/>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59"/>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59"/>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59"/>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59"/>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59"/>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59"/>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59"/>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59"/>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59"/>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59"/>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59"/>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59"/>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59"/>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59"/>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59"/>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59"/>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59"/>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59"/>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59"/>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59"/>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59"/>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59"/>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59"/>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59"/>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59"/>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59"/>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59"/>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59"/>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59"/>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59"/>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59"/>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59"/>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59"/>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59"/>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59"/>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59"/>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59"/>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59"/>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59"/>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59"/>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59"/>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59"/>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59"/>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59"/>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59"/>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59"/>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59"/>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59"/>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59"/>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59"/>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59"/>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59"/>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59"/>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59"/>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59"/>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59"/>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59"/>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59"/>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59"/>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59"/>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59"/>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59"/>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59"/>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59"/>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59"/>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59"/>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59"/>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59"/>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59"/>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59"/>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59"/>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59"/>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59"/>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59"/>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59"/>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59"/>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59"/>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59"/>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59"/>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59"/>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59"/>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59"/>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59"/>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59"/>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59"/>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59"/>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59"/>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59"/>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59"/>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59"/>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59"/>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59"/>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59"/>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59"/>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59"/>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59"/>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59"/>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59"/>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59"/>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59"/>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59"/>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59"/>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59"/>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59"/>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59"/>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59"/>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59"/>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59"/>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59"/>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59"/>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59"/>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59"/>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59"/>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59"/>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59"/>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59"/>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59"/>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59"/>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59"/>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59"/>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59"/>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59"/>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59"/>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59"/>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59"/>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59"/>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59"/>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59"/>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59"/>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59"/>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59"/>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59"/>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59"/>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59"/>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59"/>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59"/>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59"/>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59"/>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59"/>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59"/>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D357:F357"/>
    <mergeCell ref="R357:S357"/>
    <mergeCell ref="O357:Q357"/>
    <mergeCell ref="M357:N357"/>
    <mergeCell ref="J357:L357"/>
    <mergeCell ref="G357:I357"/>
    <mergeCell ref="R3:S3"/>
    <mergeCell ref="D3:F3"/>
    <mergeCell ref="G3:I3"/>
    <mergeCell ref="J3:L3"/>
    <mergeCell ref="M3:N3"/>
    <mergeCell ref="O3:Q3"/>
    <mergeCell ref="R169:S169"/>
    <mergeCell ref="D91:F91"/>
    <mergeCell ref="G91:I91"/>
    <mergeCell ref="J91:L91"/>
    <mergeCell ref="M91:N91"/>
    <mergeCell ref="O91:Q91"/>
    <mergeCell ref="R91:S91"/>
    <mergeCell ref="D169:F169"/>
    <mergeCell ref="G169:I169"/>
    <mergeCell ref="J169:L169"/>
    <mergeCell ref="M169:N169"/>
    <mergeCell ref="O169:Q169"/>
    <mergeCell ref="R292:S292"/>
    <mergeCell ref="D237:F237"/>
    <mergeCell ref="G237:I237"/>
    <mergeCell ref="J237:L237"/>
    <mergeCell ref="M237:N237"/>
    <mergeCell ref="O237:Q237"/>
    <mergeCell ref="R237:S237"/>
    <mergeCell ref="D292:F292"/>
    <mergeCell ref="G292:I292"/>
    <mergeCell ref="J292:L292"/>
    <mergeCell ref="M292:N292"/>
    <mergeCell ref="O292:Q292"/>
    <mergeCell ref="AM403:AO403"/>
    <mergeCell ref="X403:Z403"/>
    <mergeCell ref="AA403:AC403"/>
    <mergeCell ref="AD403:AF403"/>
    <mergeCell ref="AG403:AI403"/>
    <mergeCell ref="AJ403:AL403"/>
  </mergeCells>
  <conditionalFormatting sqref="K291 H168:I168 K168 J168:J195 J291:J292 H170:I170 H236:I236 K236 H291:I291 K170:L170 J90:J91 H90:I90 J3 K90 H25:L26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8:I189 H191:I195 H284:L284 I18:J18 I17 J49:L54 L173 L6:L14 J31:K48 H31:H54 J122:K133 H105:H133 L125:L129 O122:P133 Q125:Q129 H225:H228 J225:K228 H281:H283 L275:L283 J294:K302 L319:L324 J317:K347 H317:H347 J253:K274 H253:H274 H197:H218 J197:K218 H184:I186 H28:L30 I27:J27 L27 J112:K120 K111">
    <cfRule type="expression" dxfId="344" priority="342" stopIfTrue="1">
      <formula>"esterreur(reference)"</formula>
    </cfRule>
  </conditionalFormatting>
  <conditionalFormatting sqref="M95:M96">
    <cfRule type="expression" dxfId="343" priority="343" stopIfTrue="1">
      <formula>"esterreur(reference)"</formula>
    </cfRule>
  </conditionalFormatting>
  <conditionalFormatting sqref="H275:H280 J275:K280">
    <cfRule type="expression" dxfId="342" priority="344" stopIfTrue="1">
      <formula>"esterreur(reference)"</formula>
    </cfRule>
  </conditionalFormatting>
  <conditionalFormatting sqref="H219:H224 J219:K224">
    <cfRule type="expression" dxfId="341" priority="345" stopIfTrue="1">
      <formula>"esterreur(reference)"</formula>
    </cfRule>
  </conditionalFormatting>
  <conditionalFormatting sqref="H141:H147 J141:K147">
    <cfRule type="expression" dxfId="340" priority="346" stopIfTrue="1">
      <formula>"esterreur(reference)"</formula>
    </cfRule>
  </conditionalFormatting>
  <conditionalFormatting sqref="H137:H139 J137:K139">
    <cfRule type="expression" dxfId="339" priority="347" stopIfTrue="1">
      <formula>"esterreur(reference)"</formula>
    </cfRule>
  </conditionalFormatting>
  <conditionalFormatting sqref="H140 J140:K140">
    <cfRule type="expression" dxfId="338" priority="348" stopIfTrue="1">
      <formula>"esterreur(reference)"</formula>
    </cfRule>
  </conditionalFormatting>
  <conditionalFormatting sqref="L82">
    <cfRule type="expression" dxfId="337" priority="322" stopIfTrue="1">
      <formula>"esterreur(reference)"</formula>
    </cfRule>
  </conditionalFormatting>
  <conditionalFormatting sqref="M311">
    <cfRule type="expression" dxfId="336" priority="349" stopIfTrue="1">
      <formula>"esterreur(reference)"</formula>
    </cfRule>
  </conditionalFormatting>
  <conditionalFormatting sqref="R311">
    <cfRule type="expression" dxfId="335" priority="350" stopIfTrue="1">
      <formula>"esterreur(reference)"</formula>
    </cfRule>
  </conditionalFormatting>
  <conditionalFormatting sqref="AG408:AI413 AH490:AI490 AG431:AI431 AH465:AI467 AH452:AI459 AH419:AI430 AH432:AI450 AH460:AH464 AI491:AI496">
    <cfRule type="cellIs" dxfId="334" priority="351" operator="greaterThan">
      <formula>0</formula>
    </cfRule>
  </conditionalFormatting>
  <conditionalFormatting sqref="AH468:AI479">
    <cfRule type="cellIs" dxfId="333" priority="352" operator="lessThan">
      <formula>0</formula>
    </cfRule>
  </conditionalFormatting>
  <conditionalFormatting sqref="AH491:AH496">
    <cfRule type="cellIs" dxfId="332" priority="353" operator="greaterThan">
      <formula>0</formula>
    </cfRule>
  </conditionalFormatting>
  <conditionalFormatting sqref="J281:K283">
    <cfRule type="expression" dxfId="331" priority="354" stopIfTrue="1">
      <formula>"esterreur(reference)"</formula>
    </cfRule>
  </conditionalFormatting>
  <conditionalFormatting sqref="H316:L316">
    <cfRule type="expression" dxfId="330" priority="361" stopIfTrue="1">
      <formula>"esterreur(reference)"</formula>
    </cfRule>
  </conditionalFormatting>
  <conditionalFormatting sqref="H196:L196">
    <cfRule type="expression" dxfId="329" priority="362" stopIfTrue="1">
      <formula>"esterreur(reference)"</formula>
    </cfRule>
  </conditionalFormatting>
  <conditionalFormatting sqref="H55:H56 J55:K56 H71 J71:K71">
    <cfRule type="expression" dxfId="328" priority="363" stopIfTrue="1">
      <formula>"esterreur(reference)"</formula>
    </cfRule>
  </conditionalFormatting>
  <conditionalFormatting sqref="J61:K70 H61:H70">
    <cfRule type="expression" dxfId="327" priority="364" stopIfTrue="1">
      <formula>"esterreur(reference)"</formula>
    </cfRule>
  </conditionalFormatting>
  <conditionalFormatting sqref="H57:H59 J57:K59">
    <cfRule type="expression" dxfId="326" priority="365" stopIfTrue="1">
      <formula>"esterreur(reference)"</formula>
    </cfRule>
  </conditionalFormatting>
  <conditionalFormatting sqref="H60 J60:K60">
    <cfRule type="expression" dxfId="325" priority="366" stopIfTrue="1">
      <formula>"esterreur(reference)"</formula>
    </cfRule>
  </conditionalFormatting>
  <conditionalFormatting sqref="L19 L21:L23">
    <cfRule type="expression" dxfId="324" priority="340" stopIfTrue="1">
      <formula>"esterreur(reference)"</formula>
    </cfRule>
  </conditionalFormatting>
  <conditionalFormatting sqref="K98">
    <cfRule type="expression" dxfId="323" priority="367" stopIfTrue="1">
      <formula>"esterreur(reference)"</formula>
    </cfRule>
  </conditionalFormatting>
  <conditionalFormatting sqref="L331:L347">
    <cfRule type="expression" dxfId="322" priority="235" stopIfTrue="1">
      <formula>"esterreur(reference)"</formula>
    </cfRule>
  </conditionalFormatting>
  <conditionalFormatting sqref="L16:L17">
    <cfRule type="expression" dxfId="321" priority="341" stopIfTrue="1">
      <formula>"esterreur(reference)"</formula>
    </cfRule>
  </conditionalFormatting>
  <conditionalFormatting sqref="L20">
    <cfRule type="expression" dxfId="320" priority="339" stopIfTrue="1">
      <formula>"esterreur(reference)"</formula>
    </cfRule>
  </conditionalFormatting>
  <conditionalFormatting sqref="L325">
    <cfRule type="expression" dxfId="319" priority="239" stopIfTrue="1">
      <formula>"esterreur(reference)"</formula>
    </cfRule>
  </conditionalFormatting>
  <conditionalFormatting sqref="L326">
    <cfRule type="expression" dxfId="318" priority="238" stopIfTrue="1">
      <formula>"esterreur(reference)"</formula>
    </cfRule>
  </conditionalFormatting>
  <conditionalFormatting sqref="L327">
    <cfRule type="expression" dxfId="317" priority="237" stopIfTrue="1">
      <formula>"esterreur(reference)"</formula>
    </cfRule>
  </conditionalFormatting>
  <conditionalFormatting sqref="L328">
    <cfRule type="expression" dxfId="316" priority="236" stopIfTrue="1">
      <formula>"esterreur(reference)"</formula>
    </cfRule>
  </conditionalFormatting>
  <conditionalFormatting sqref="L42">
    <cfRule type="expression" dxfId="315" priority="338" stopIfTrue="1">
      <formula>"esterreur(reference)"</formula>
    </cfRule>
  </conditionalFormatting>
  <conditionalFormatting sqref="L43">
    <cfRule type="expression" dxfId="314" priority="337" stopIfTrue="1">
      <formula>"esterreur(reference)"</formula>
    </cfRule>
  </conditionalFormatting>
  <conditionalFormatting sqref="L44">
    <cfRule type="expression" dxfId="313" priority="336" stopIfTrue="1">
      <formula>"esterreur(reference)"</formula>
    </cfRule>
  </conditionalFormatting>
  <conditionalFormatting sqref="L45:L48">
    <cfRule type="expression" dxfId="312" priority="335" stopIfTrue="1">
      <formula>"esterreur(reference)"</formula>
    </cfRule>
  </conditionalFormatting>
  <conditionalFormatting sqref="L55">
    <cfRule type="expression" dxfId="311" priority="334" stopIfTrue="1">
      <formula>"esterreur(reference)"</formula>
    </cfRule>
  </conditionalFormatting>
  <conditionalFormatting sqref="L56">
    <cfRule type="expression" dxfId="310" priority="333" stopIfTrue="1">
      <formula>"esterreur(reference)"</formula>
    </cfRule>
  </conditionalFormatting>
  <conditionalFormatting sqref="L271">
    <cfRule type="expression" dxfId="309" priority="250" stopIfTrue="1">
      <formula>"esterreur(reference)"</formula>
    </cfRule>
  </conditionalFormatting>
  <conditionalFormatting sqref="L58">
    <cfRule type="expression" dxfId="308" priority="332" stopIfTrue="1">
      <formula>"esterreur(reference)"</formula>
    </cfRule>
  </conditionalFormatting>
  <conditionalFormatting sqref="L61">
    <cfRule type="expression" dxfId="307" priority="331" stopIfTrue="1">
      <formula>"esterreur(reference)"</formula>
    </cfRule>
  </conditionalFormatting>
  <conditionalFormatting sqref="L274">
    <cfRule type="expression" dxfId="306" priority="248" stopIfTrue="1">
      <formula>"esterreur(reference)"</formula>
    </cfRule>
  </conditionalFormatting>
  <conditionalFormatting sqref="L63">
    <cfRule type="expression" dxfId="305" priority="330" stopIfTrue="1">
      <formula>"esterreur(reference)"</formula>
    </cfRule>
  </conditionalFormatting>
  <conditionalFormatting sqref="L62">
    <cfRule type="expression" dxfId="304" priority="329" stopIfTrue="1">
      <formula>"esterreur(reference)"</formula>
    </cfRule>
  </conditionalFormatting>
  <conditionalFormatting sqref="L64">
    <cfRule type="expression" dxfId="303" priority="328" stopIfTrue="1">
      <formula>"esterreur(reference)"</formula>
    </cfRule>
  </conditionalFormatting>
  <conditionalFormatting sqref="L65">
    <cfRule type="expression" dxfId="302" priority="327" stopIfTrue="1">
      <formula>"esterreur(reference)"</formula>
    </cfRule>
  </conditionalFormatting>
  <conditionalFormatting sqref="L69 L66:L67">
    <cfRule type="expression" dxfId="301" priority="326" stopIfTrue="1">
      <formula>"esterreur(reference)"</formula>
    </cfRule>
  </conditionalFormatting>
  <conditionalFormatting sqref="L70">
    <cfRule type="expression" dxfId="300" priority="325" stopIfTrue="1">
      <formula>"esterreur(reference)"</formula>
    </cfRule>
  </conditionalFormatting>
  <conditionalFormatting sqref="L76:L77">
    <cfRule type="expression" dxfId="299" priority="324" stopIfTrue="1">
      <formula>"esterreur(reference)"</formula>
    </cfRule>
  </conditionalFormatting>
  <conditionalFormatting sqref="L78:L81">
    <cfRule type="expression" dxfId="298" priority="323" stopIfTrue="1">
      <formula>"esterreur(reference)"</formula>
    </cfRule>
  </conditionalFormatting>
  <conditionalFormatting sqref="L57">
    <cfRule type="expression" dxfId="297" priority="321" stopIfTrue="1">
      <formula>"esterreur(reference)"</formula>
    </cfRule>
  </conditionalFormatting>
  <conditionalFormatting sqref="L94:L95">
    <cfRule type="expression" dxfId="296" priority="320" stopIfTrue="1">
      <formula>"esterreur(reference)"</formula>
    </cfRule>
  </conditionalFormatting>
  <conditionalFormatting sqref="L98">
    <cfRule type="expression" dxfId="295" priority="319" stopIfTrue="1">
      <formula>"esterreur(reference)"</formula>
    </cfRule>
  </conditionalFormatting>
  <conditionalFormatting sqref="L99">
    <cfRule type="expression" dxfId="294" priority="318" stopIfTrue="1">
      <formula>"esterreur(reference)"</formula>
    </cfRule>
  </conditionalFormatting>
  <conditionalFormatting sqref="L101">
    <cfRule type="expression" dxfId="293" priority="317" stopIfTrue="1">
      <formula>"esterreur(reference)"</formula>
    </cfRule>
  </conditionalFormatting>
  <conditionalFormatting sqref="L102">
    <cfRule type="expression" dxfId="292" priority="316" stopIfTrue="1">
      <formula>"esterreur(reference)"</formula>
    </cfRule>
  </conditionalFormatting>
  <conditionalFormatting sqref="L103">
    <cfRule type="expression" dxfId="291" priority="315" stopIfTrue="1">
      <formula>"esterreur(reference)"</formula>
    </cfRule>
  </conditionalFormatting>
  <conditionalFormatting sqref="L111">
    <cfRule type="expression" dxfId="290" priority="314" stopIfTrue="1">
      <formula>"esterreur(reference)"</formula>
    </cfRule>
  </conditionalFormatting>
  <conditionalFormatting sqref="L112">
    <cfRule type="expression" dxfId="289" priority="313" stopIfTrue="1">
      <formula>"esterreur(reference)"</formula>
    </cfRule>
  </conditionalFormatting>
  <conditionalFormatting sqref="L207">
    <cfRule type="expression" dxfId="288" priority="273" stopIfTrue="1">
      <formula>"esterreur(reference)"</formula>
    </cfRule>
  </conditionalFormatting>
  <conditionalFormatting sqref="L114">
    <cfRule type="expression" dxfId="287" priority="312" stopIfTrue="1">
      <formula>"esterreur(reference)"</formula>
    </cfRule>
  </conditionalFormatting>
  <conditionalFormatting sqref="L227">
    <cfRule type="expression" dxfId="286" priority="269" stopIfTrue="1">
      <formula>"esterreur(reference)"</formula>
    </cfRule>
  </conditionalFormatting>
  <conditionalFormatting sqref="L116:L119">
    <cfRule type="expression" dxfId="285" priority="311" stopIfTrue="1">
      <formula>"esterreur(reference)"</formula>
    </cfRule>
  </conditionalFormatting>
  <conditionalFormatting sqref="L120">
    <cfRule type="expression" dxfId="284" priority="310" stopIfTrue="1">
      <formula>"esterreur(reference)"</formula>
    </cfRule>
  </conditionalFormatting>
  <conditionalFormatting sqref="L130">
    <cfRule type="expression" dxfId="283" priority="307" stopIfTrue="1">
      <formula>"esterreur(reference)"</formula>
    </cfRule>
  </conditionalFormatting>
  <conditionalFormatting sqref="L124">
    <cfRule type="expression" dxfId="282" priority="309" stopIfTrue="1">
      <formula>"esterreur(reference)"</formula>
    </cfRule>
  </conditionalFormatting>
  <conditionalFormatting sqref="L123">
    <cfRule type="expression" dxfId="281" priority="308" stopIfTrue="1">
      <formula>"esterreur(reference)"</formula>
    </cfRule>
  </conditionalFormatting>
  <conditionalFormatting sqref="L138">
    <cfRule type="expression" dxfId="280" priority="301" stopIfTrue="1">
      <formula>"esterreur(reference)"</formula>
    </cfRule>
  </conditionalFormatting>
  <conditionalFormatting sqref="L131">
    <cfRule type="expression" dxfId="279" priority="306" stopIfTrue="1">
      <formula>"esterreur(reference)"</formula>
    </cfRule>
  </conditionalFormatting>
  <conditionalFormatting sqref="L132">
    <cfRule type="expression" dxfId="278" priority="305" stopIfTrue="1">
      <formula>"esterreur(reference)"</formula>
    </cfRule>
  </conditionalFormatting>
  <conditionalFormatting sqref="L133">
    <cfRule type="expression" dxfId="277" priority="304" stopIfTrue="1">
      <formula>"esterreur(reference)"</formula>
    </cfRule>
  </conditionalFormatting>
  <conditionalFormatting sqref="L139">
    <cfRule type="expression" dxfId="276" priority="300" stopIfTrue="1">
      <formula>"esterreur(reference)"</formula>
    </cfRule>
  </conditionalFormatting>
  <conditionalFormatting sqref="L136">
    <cfRule type="expression" dxfId="275" priority="303" stopIfTrue="1">
      <formula>"esterreur(reference)"</formula>
    </cfRule>
  </conditionalFormatting>
  <conditionalFormatting sqref="L137">
    <cfRule type="expression" dxfId="274" priority="302" stopIfTrue="1">
      <formula>"esterreur(reference)"</formula>
    </cfRule>
  </conditionalFormatting>
  <conditionalFormatting sqref="L140">
    <cfRule type="expression" dxfId="273" priority="299" stopIfTrue="1">
      <formula>"esterreur(reference)"</formula>
    </cfRule>
  </conditionalFormatting>
  <conditionalFormatting sqref="L141">
    <cfRule type="expression" dxfId="272" priority="298" stopIfTrue="1">
      <formula>"esterreur(reference)"</formula>
    </cfRule>
  </conditionalFormatting>
  <conditionalFormatting sqref="L142">
    <cfRule type="expression" dxfId="271" priority="297" stopIfTrue="1">
      <formula>"esterreur(reference)"</formula>
    </cfRule>
  </conditionalFormatting>
  <conditionalFormatting sqref="L143">
    <cfRule type="expression" dxfId="270" priority="296" stopIfTrue="1">
      <formula>"esterreur(reference)"</formula>
    </cfRule>
  </conditionalFormatting>
  <conditionalFormatting sqref="L144">
    <cfRule type="expression" dxfId="269" priority="295" stopIfTrue="1">
      <formula>"esterreur(reference)"</formula>
    </cfRule>
  </conditionalFormatting>
  <conditionalFormatting sqref="L145">
    <cfRule type="expression" dxfId="268" priority="294" stopIfTrue="1">
      <formula>"esterreur(reference)"</formula>
    </cfRule>
  </conditionalFormatting>
  <conditionalFormatting sqref="L146">
    <cfRule type="expression" dxfId="267" priority="293" stopIfTrue="1">
      <formula>"esterreur(reference)"</formula>
    </cfRule>
  </conditionalFormatting>
  <conditionalFormatting sqref="L147">
    <cfRule type="expression" dxfId="266" priority="292" stopIfTrue="1">
      <formula>"esterreur(reference)"</formula>
    </cfRule>
  </conditionalFormatting>
  <conditionalFormatting sqref="L155">
    <cfRule type="expression" dxfId="265" priority="291" stopIfTrue="1">
      <formula>"esterreur(reference)"</formula>
    </cfRule>
  </conditionalFormatting>
  <conditionalFormatting sqref="L157">
    <cfRule type="expression" dxfId="264" priority="289" stopIfTrue="1">
      <formula>"esterreur(reference)"</formula>
    </cfRule>
  </conditionalFormatting>
  <conditionalFormatting sqref="L156">
    <cfRule type="expression" dxfId="263" priority="290" stopIfTrue="1">
      <formula>"esterreur(reference)"</formula>
    </cfRule>
  </conditionalFormatting>
  <conditionalFormatting sqref="L115">
    <cfRule type="expression" dxfId="262" priority="288" stopIfTrue="1">
      <formula>"esterreur(reference)"</formula>
    </cfRule>
  </conditionalFormatting>
  <conditionalFormatting sqref="L113">
    <cfRule type="expression" dxfId="261" priority="287" stopIfTrue="1">
      <formula>"esterreur(reference)"</formula>
    </cfRule>
  </conditionalFormatting>
  <conditionalFormatting sqref="L171">
    <cfRule type="expression" dxfId="260" priority="286" stopIfTrue="1">
      <formula>"esterreur(reference)"</formula>
    </cfRule>
  </conditionalFormatting>
  <conditionalFormatting sqref="L174">
    <cfRule type="expression" dxfId="259" priority="285" stopIfTrue="1">
      <formula>"esterreur(reference)"</formula>
    </cfRule>
  </conditionalFormatting>
  <conditionalFormatting sqref="L177">
    <cfRule type="expression" dxfId="258" priority="284" stopIfTrue="1">
      <formula>"esterreur(reference)"</formula>
    </cfRule>
  </conditionalFormatting>
  <conditionalFormatting sqref="L187">
    <cfRule type="expression" dxfId="257" priority="282" stopIfTrue="1">
      <formula>"esterreur(reference)"</formula>
    </cfRule>
  </conditionalFormatting>
  <conditionalFormatting sqref="L197">
    <cfRule type="expression" dxfId="256" priority="281" stopIfTrue="1">
      <formula>"esterreur(reference)"</formula>
    </cfRule>
  </conditionalFormatting>
  <conditionalFormatting sqref="L199">
    <cfRule type="expression" dxfId="255" priority="280" stopIfTrue="1">
      <formula>"esterreur(reference)"</formula>
    </cfRule>
  </conditionalFormatting>
  <conditionalFormatting sqref="L198">
    <cfRule type="expression" dxfId="254" priority="279" stopIfTrue="1">
      <formula>"esterreur(reference)"</formula>
    </cfRule>
  </conditionalFormatting>
  <conditionalFormatting sqref="L200">
    <cfRule type="expression" dxfId="253" priority="278" stopIfTrue="1">
      <formula>"esterreur(reference)"</formula>
    </cfRule>
  </conditionalFormatting>
  <conditionalFormatting sqref="L201">
    <cfRule type="expression" dxfId="252" priority="277" stopIfTrue="1">
      <formula>"esterreur(reference)"</formula>
    </cfRule>
  </conditionalFormatting>
  <conditionalFormatting sqref="L202:L204">
    <cfRule type="expression" dxfId="251" priority="276" stopIfTrue="1">
      <formula>"esterreur(reference)"</formula>
    </cfRule>
  </conditionalFormatting>
  <conditionalFormatting sqref="L206">
    <cfRule type="expression" dxfId="250" priority="274" stopIfTrue="1">
      <formula>"esterreur(reference)"</formula>
    </cfRule>
  </conditionalFormatting>
  <conditionalFormatting sqref="L205">
    <cfRule type="expression" dxfId="249" priority="275" stopIfTrue="1">
      <formula>"esterreur(reference)"</formula>
    </cfRule>
  </conditionalFormatting>
  <conditionalFormatting sqref="L208">
    <cfRule type="expression" dxfId="248" priority="272" stopIfTrue="1">
      <formula>"esterreur(reference)"</formula>
    </cfRule>
  </conditionalFormatting>
  <conditionalFormatting sqref="L211:L224">
    <cfRule type="expression" dxfId="247" priority="271" stopIfTrue="1">
      <formula>"esterreur(reference)"</formula>
    </cfRule>
  </conditionalFormatting>
  <conditionalFormatting sqref="L225:L226">
    <cfRule type="expression" dxfId="246" priority="270" stopIfTrue="1">
      <formula>"esterreur(reference)"</formula>
    </cfRule>
  </conditionalFormatting>
  <conditionalFormatting sqref="L180">
    <cfRule type="expression" dxfId="245" priority="268" stopIfTrue="1">
      <formula>"esterreur(reference)"</formula>
    </cfRule>
  </conditionalFormatting>
  <conditionalFormatting sqref="L243">
    <cfRule type="expression" dxfId="244" priority="267" stopIfTrue="1">
      <formula>"esterreur(reference)"</formula>
    </cfRule>
  </conditionalFormatting>
  <conditionalFormatting sqref="L246">
    <cfRule type="expression" dxfId="243" priority="266" stopIfTrue="1">
      <formula>"esterreur(reference)"</formula>
    </cfRule>
  </conditionalFormatting>
  <conditionalFormatting sqref="L253">
    <cfRule type="expression" dxfId="242" priority="265" stopIfTrue="1">
      <formula>"esterreur(reference)"</formula>
    </cfRule>
  </conditionalFormatting>
  <conditionalFormatting sqref="L254">
    <cfRule type="expression" dxfId="241" priority="264" stopIfTrue="1">
      <formula>"esterreur(reference)"</formula>
    </cfRule>
  </conditionalFormatting>
  <conditionalFormatting sqref="L255">
    <cfRule type="expression" dxfId="240" priority="263" stopIfTrue="1">
      <formula>"esterreur(reference)"</formula>
    </cfRule>
  </conditionalFormatting>
  <conditionalFormatting sqref="L256">
    <cfRule type="expression" dxfId="239" priority="262" stopIfTrue="1">
      <formula>"esterreur(reference)"</formula>
    </cfRule>
  </conditionalFormatting>
  <conditionalFormatting sqref="L257">
    <cfRule type="expression" dxfId="238" priority="261" stopIfTrue="1">
      <formula>"esterreur(reference)"</formula>
    </cfRule>
  </conditionalFormatting>
  <conditionalFormatting sqref="L258">
    <cfRule type="expression" dxfId="237" priority="260" stopIfTrue="1">
      <formula>"esterreur(reference)"</formula>
    </cfRule>
  </conditionalFormatting>
  <conditionalFormatting sqref="L259">
    <cfRule type="expression" dxfId="236" priority="259" stopIfTrue="1">
      <formula>"esterreur(reference)"</formula>
    </cfRule>
  </conditionalFormatting>
  <conditionalFormatting sqref="L260">
    <cfRule type="expression" dxfId="235" priority="258" stopIfTrue="1">
      <formula>"esterreur(reference)"</formula>
    </cfRule>
  </conditionalFormatting>
  <conditionalFormatting sqref="L261">
    <cfRule type="expression" dxfId="234" priority="257" stopIfTrue="1">
      <formula>"esterreur(reference)"</formula>
    </cfRule>
  </conditionalFormatting>
  <conditionalFormatting sqref="L262">
    <cfRule type="expression" dxfId="233" priority="256" stopIfTrue="1">
      <formula>"esterreur(reference)"</formula>
    </cfRule>
  </conditionalFormatting>
  <conditionalFormatting sqref="L263:L264">
    <cfRule type="expression" dxfId="232" priority="255" stopIfTrue="1">
      <formula>"esterreur(reference)"</formula>
    </cfRule>
  </conditionalFormatting>
  <conditionalFormatting sqref="L268">
    <cfRule type="expression" dxfId="231" priority="253" stopIfTrue="1">
      <formula>"esterreur(reference)"</formula>
    </cfRule>
  </conditionalFormatting>
  <conditionalFormatting sqref="L267">
    <cfRule type="expression" dxfId="230" priority="254" stopIfTrue="1">
      <formula>"esterreur(reference)"</formula>
    </cfRule>
  </conditionalFormatting>
  <conditionalFormatting sqref="L269">
    <cfRule type="expression" dxfId="229" priority="252" stopIfTrue="1">
      <formula>"esterreur(reference)"</formula>
    </cfRule>
  </conditionalFormatting>
  <conditionalFormatting sqref="L270">
    <cfRule type="expression" dxfId="228" priority="251" stopIfTrue="1">
      <formula>"esterreur(reference)"</formula>
    </cfRule>
  </conditionalFormatting>
  <conditionalFormatting sqref="L272:L273">
    <cfRule type="expression" dxfId="227" priority="249" stopIfTrue="1">
      <formula>"esterreur(reference)"</formula>
    </cfRule>
  </conditionalFormatting>
  <conditionalFormatting sqref="L294:L300">
    <cfRule type="expression" dxfId="226" priority="247" stopIfTrue="1">
      <formula>"esterreur(reference)"</formula>
    </cfRule>
  </conditionalFormatting>
  <conditionalFormatting sqref="L301">
    <cfRule type="expression" dxfId="225" priority="246" stopIfTrue="1">
      <formula>"esterreur(reference)"</formula>
    </cfRule>
  </conditionalFormatting>
  <conditionalFormatting sqref="L302">
    <cfRule type="expression" dxfId="224" priority="245" stopIfTrue="1">
      <formula>"esterreur(reference)"</formula>
    </cfRule>
  </conditionalFormatting>
  <conditionalFormatting sqref="L306">
    <cfRule type="expression" dxfId="223" priority="244" stopIfTrue="1">
      <formula>"esterreur(reference)"</formula>
    </cfRule>
  </conditionalFormatting>
  <conditionalFormatting sqref="L307">
    <cfRule type="expression" dxfId="222" priority="243" stopIfTrue="1">
      <formula>"esterreur(reference)"</formula>
    </cfRule>
  </conditionalFormatting>
  <conditionalFormatting sqref="L311">
    <cfRule type="expression" dxfId="221" priority="242" stopIfTrue="1">
      <formula>"esterreur(reference)"</formula>
    </cfRule>
  </conditionalFormatting>
  <conditionalFormatting sqref="L317">
    <cfRule type="expression" dxfId="220" priority="241" stopIfTrue="1">
      <formula>"esterreur(reference)"</formula>
    </cfRule>
  </conditionalFormatting>
  <conditionalFormatting sqref="L318">
    <cfRule type="expression" dxfId="219" priority="240" stopIfTrue="1">
      <formula>"esterreur(reference)"</formula>
    </cfRule>
  </conditionalFormatting>
  <conditionalFormatting sqref="K5">
    <cfRule type="expression" dxfId="218" priority="234" stopIfTrue="1">
      <formula>"esterreur(reference)"</formula>
    </cfRule>
  </conditionalFormatting>
  <conditionalFormatting sqref="L5">
    <cfRule type="expression" dxfId="217" priority="233" stopIfTrue="1">
      <formula>"esterreur(reference)"</formula>
    </cfRule>
  </conditionalFormatting>
  <conditionalFormatting sqref="K182">
    <cfRule type="expression" dxfId="216" priority="232" stopIfTrue="1">
      <formula>"esterreur(reference)"</formula>
    </cfRule>
  </conditionalFormatting>
  <conditionalFormatting sqref="L93">
    <cfRule type="expression" dxfId="215" priority="231" stopIfTrue="1">
      <formula>"esterreur(reference)"</formula>
    </cfRule>
  </conditionalFormatting>
  <conditionalFormatting sqref="K171">
    <cfRule type="expression" dxfId="214" priority="230" stopIfTrue="1">
      <formula>"esterreur(reference)"</formula>
    </cfRule>
  </conditionalFormatting>
  <conditionalFormatting sqref="K174">
    <cfRule type="expression" dxfId="213" priority="229" stopIfTrue="1">
      <formula>"esterreur(reference)"</formula>
    </cfRule>
  </conditionalFormatting>
  <conditionalFormatting sqref="K177">
    <cfRule type="expression" dxfId="212" priority="228" stopIfTrue="1">
      <formula>"esterreur(reference)"</formula>
    </cfRule>
  </conditionalFormatting>
  <conditionalFormatting sqref="K180">
    <cfRule type="expression" dxfId="211" priority="227" stopIfTrue="1">
      <formula>"esterreur(reference)"</formula>
    </cfRule>
  </conditionalFormatting>
  <conditionalFormatting sqref="K240">
    <cfRule type="expression" dxfId="210" priority="226" stopIfTrue="1">
      <formula>"esterreur(reference)"</formula>
    </cfRule>
  </conditionalFormatting>
  <conditionalFormatting sqref="K243">
    <cfRule type="expression" dxfId="209" priority="225" stopIfTrue="1">
      <formula>"esterreur(reference)"</formula>
    </cfRule>
  </conditionalFormatting>
  <conditionalFormatting sqref="K246">
    <cfRule type="expression" dxfId="208" priority="224" stopIfTrue="1">
      <formula>"esterreur(reference)"</formula>
    </cfRule>
  </conditionalFormatting>
  <conditionalFormatting sqref="J306:J307">
    <cfRule type="expression" dxfId="207" priority="223" stopIfTrue="1">
      <formula>"esterreur(reference)"</formula>
    </cfRule>
  </conditionalFormatting>
  <conditionalFormatting sqref="K187">
    <cfRule type="expression" dxfId="206" priority="222" stopIfTrue="1">
      <formula>"esterreur(reference)"</formula>
    </cfRule>
  </conditionalFormatting>
  <conditionalFormatting sqref="K190">
    <cfRule type="expression" dxfId="205" priority="221" stopIfTrue="1">
      <formula>"esterreur(reference)"</formula>
    </cfRule>
  </conditionalFormatting>
  <conditionalFormatting sqref="J311">
    <cfRule type="expression" dxfId="204" priority="220" stopIfTrue="1">
      <formula>"esterreur(reference)"</formula>
    </cfRule>
  </conditionalFormatting>
  <conditionalFormatting sqref="K93">
    <cfRule type="expression" dxfId="203" priority="217" stopIfTrue="1">
      <formula>"esterreur(reference)"</formula>
    </cfRule>
  </conditionalFormatting>
  <conditionalFormatting sqref="L240">
    <cfRule type="expression" dxfId="202" priority="216" stopIfTrue="1">
      <formula>"esterreur(reference)"</formula>
    </cfRule>
  </conditionalFormatting>
  <conditionalFormatting sqref="K239">
    <cfRule type="expression" dxfId="201" priority="215" stopIfTrue="1">
      <formula>"esterreur(reference)"</formula>
    </cfRule>
  </conditionalFormatting>
  <conditionalFormatting sqref="L239">
    <cfRule type="expression" dxfId="200" priority="214" stopIfTrue="1">
      <formula>"esterreur(reference)"</formula>
    </cfRule>
  </conditionalFormatting>
  <conditionalFormatting sqref="F183">
    <cfRule type="expression" dxfId="199" priority="213" stopIfTrue="1">
      <formula>"esterreur(reference)"</formula>
    </cfRule>
  </conditionalFormatting>
  <conditionalFormatting sqref="S185">
    <cfRule type="expression" dxfId="198" priority="210" stopIfTrue="1">
      <formula>"esterreur(reference)"</formula>
    </cfRule>
  </conditionalFormatting>
  <conditionalFormatting sqref="K286">
    <cfRule type="expression" dxfId="197" priority="209" stopIfTrue="1">
      <formula>"esterreur(reference)"</formula>
    </cfRule>
  </conditionalFormatting>
  <conditionalFormatting sqref="AO408:AO413">
    <cfRule type="cellIs" dxfId="196" priority="208" operator="greaterThan">
      <formula>0</formula>
    </cfRule>
  </conditionalFormatting>
  <conditionalFormatting sqref="L71">
    <cfRule type="expression" dxfId="195" priority="207" stopIfTrue="1">
      <formula>"esterreur(reference)"</formula>
    </cfRule>
  </conditionalFormatting>
  <conditionalFormatting sqref="L210">
    <cfRule type="expression" dxfId="194" priority="204" stopIfTrue="1">
      <formula>"esterreur(reference)"</formula>
    </cfRule>
  </conditionalFormatting>
  <conditionalFormatting sqref="L122">
    <cfRule type="expression" dxfId="193" priority="206" stopIfTrue="1">
      <formula>"esterreur(reference)"</formula>
    </cfRule>
  </conditionalFormatting>
  <conditionalFormatting sqref="L266">
    <cfRule type="expression" dxfId="192" priority="203" stopIfTrue="1">
      <formula>"esterreur(reference)"</formula>
    </cfRule>
  </conditionalFormatting>
  <conditionalFormatting sqref="L135">
    <cfRule type="expression" dxfId="191" priority="205" stopIfTrue="1">
      <formula>"esterreur(reference)"</formula>
    </cfRule>
  </conditionalFormatting>
  <conditionalFormatting sqref="L330">
    <cfRule type="expression" dxfId="190" priority="202" stopIfTrue="1">
      <formula>"esterreur(reference)"</formula>
    </cfRule>
  </conditionalFormatting>
  <conditionalFormatting sqref="L75">
    <cfRule type="expression" dxfId="189" priority="201" stopIfTrue="1">
      <formula>"esterreur(reference)"</formula>
    </cfRule>
  </conditionalFormatting>
  <conditionalFormatting sqref="L60">
    <cfRule type="expression" dxfId="188" priority="199" stopIfTrue="1">
      <formula>"esterreur(reference)"</formula>
    </cfRule>
  </conditionalFormatting>
  <conditionalFormatting sqref="L59">
    <cfRule type="expression" dxfId="187" priority="200" stopIfTrue="1">
      <formula>"esterreur(reference)"</formula>
    </cfRule>
  </conditionalFormatting>
  <conditionalFormatting sqref="F5">
    <cfRule type="expression" dxfId="186" priority="198" stopIfTrue="1">
      <formula>"esterreur(reference)"</formula>
    </cfRule>
  </conditionalFormatting>
  <conditionalFormatting sqref="O25:Q26 Q18 O83:Q85 O41:Q41 O72:Q72 Q24 O13:O14 O16 O18:O24 O49:Q54 Q6:Q14 O31:P40 O42:P48 O28:Q30 O27 Q27">
    <cfRule type="expression" dxfId="185" priority="193" stopIfTrue="1">
      <formula>"esterreur(reference)"</formula>
    </cfRule>
  </conditionalFormatting>
  <conditionalFormatting sqref="P5">
    <cfRule type="expression" dxfId="184" priority="170" stopIfTrue="1">
      <formula>"esterreur(reference)"</formula>
    </cfRule>
  </conditionalFormatting>
  <conditionalFormatting sqref="Q32">
    <cfRule type="expression" dxfId="183" priority="188" stopIfTrue="1">
      <formula>"esterreur(reference)"</formula>
    </cfRule>
  </conditionalFormatting>
  <conditionalFormatting sqref="Q35">
    <cfRule type="expression" dxfId="182" priority="187" stopIfTrue="1">
      <formula>"esterreur(reference)"</formula>
    </cfRule>
  </conditionalFormatting>
  <conditionalFormatting sqref="O55:P56 O71:P71">
    <cfRule type="expression" dxfId="181" priority="194" stopIfTrue="1">
      <formula>"esterreur(reference)"</formula>
    </cfRule>
  </conditionalFormatting>
  <conditionalFormatting sqref="O61:P70">
    <cfRule type="expression" dxfId="180" priority="195" stopIfTrue="1">
      <formula>"esterreur(reference)"</formula>
    </cfRule>
  </conditionalFormatting>
  <conditionalFormatting sqref="O57:P59">
    <cfRule type="expression" dxfId="179" priority="196" stopIfTrue="1">
      <formula>"esterreur(reference)"</formula>
    </cfRule>
  </conditionalFormatting>
  <conditionalFormatting sqref="O60:P60">
    <cfRule type="expression" dxfId="178" priority="197" stopIfTrue="1">
      <formula>"esterreur(reference)"</formula>
    </cfRule>
  </conditionalFormatting>
  <conditionalFormatting sqref="Q19 Q21:Q23">
    <cfRule type="expression" dxfId="177" priority="191" stopIfTrue="1">
      <formula>"esterreur(reference)"</formula>
    </cfRule>
  </conditionalFormatting>
  <conditionalFormatting sqref="Q16:Q17">
    <cfRule type="expression" dxfId="176" priority="192" stopIfTrue="1">
      <formula>"esterreur(reference)"</formula>
    </cfRule>
  </conditionalFormatting>
  <conditionalFormatting sqref="Q20">
    <cfRule type="expression" dxfId="175" priority="190" stopIfTrue="1">
      <formula>"esterreur(reference)"</formula>
    </cfRule>
  </conditionalFormatting>
  <conditionalFormatting sqref="Q31 Q33:Q34">
    <cfRule type="expression" dxfId="174" priority="189" stopIfTrue="1">
      <formula>"esterreur(reference)"</formula>
    </cfRule>
  </conditionalFormatting>
  <conditionalFormatting sqref="Q42">
    <cfRule type="expression" dxfId="173" priority="186" stopIfTrue="1">
      <formula>"esterreur(reference)"</formula>
    </cfRule>
  </conditionalFormatting>
  <conditionalFormatting sqref="Q43">
    <cfRule type="expression" dxfId="172" priority="185" stopIfTrue="1">
      <formula>"esterreur(reference)"</formula>
    </cfRule>
  </conditionalFormatting>
  <conditionalFormatting sqref="Q44">
    <cfRule type="expression" dxfId="171" priority="184" stopIfTrue="1">
      <formula>"esterreur(reference)"</formula>
    </cfRule>
  </conditionalFormatting>
  <conditionalFormatting sqref="Q45:Q48">
    <cfRule type="expression" dxfId="170" priority="183" stopIfTrue="1">
      <formula>"esterreur(reference)"</formula>
    </cfRule>
  </conditionalFormatting>
  <conditionalFormatting sqref="Q55">
    <cfRule type="expression" dxfId="169" priority="182" stopIfTrue="1">
      <formula>"esterreur(reference)"</formula>
    </cfRule>
  </conditionalFormatting>
  <conditionalFormatting sqref="Q56">
    <cfRule type="expression" dxfId="168" priority="181" stopIfTrue="1">
      <formula>"esterreur(reference)"</formula>
    </cfRule>
  </conditionalFormatting>
  <conditionalFormatting sqref="Q58">
    <cfRule type="expression" dxfId="167" priority="180" stopIfTrue="1">
      <formula>"esterreur(reference)"</formula>
    </cfRule>
  </conditionalFormatting>
  <conditionalFormatting sqref="Q61">
    <cfRule type="expression" dxfId="166" priority="179" stopIfTrue="1">
      <formula>"esterreur(reference)"</formula>
    </cfRule>
  </conditionalFormatting>
  <conditionalFormatting sqref="Q63">
    <cfRule type="expression" dxfId="165" priority="178" stopIfTrue="1">
      <formula>"esterreur(reference)"</formula>
    </cfRule>
  </conditionalFormatting>
  <conditionalFormatting sqref="Q62">
    <cfRule type="expression" dxfId="164" priority="177" stopIfTrue="1">
      <formula>"esterreur(reference)"</formula>
    </cfRule>
  </conditionalFormatting>
  <conditionalFormatting sqref="Q64">
    <cfRule type="expression" dxfId="163" priority="176" stopIfTrue="1">
      <formula>"esterreur(reference)"</formula>
    </cfRule>
  </conditionalFormatting>
  <conditionalFormatting sqref="Q65">
    <cfRule type="expression" dxfId="162" priority="175" stopIfTrue="1">
      <formula>"esterreur(reference)"</formula>
    </cfRule>
  </conditionalFormatting>
  <conditionalFormatting sqref="Q66:Q69">
    <cfRule type="expression" dxfId="161" priority="174" stopIfTrue="1">
      <formula>"esterreur(reference)"</formula>
    </cfRule>
  </conditionalFormatting>
  <conditionalFormatting sqref="Q70">
    <cfRule type="expression" dxfId="160" priority="173" stopIfTrue="1">
      <formula>"esterreur(reference)"</formula>
    </cfRule>
  </conditionalFormatting>
  <conditionalFormatting sqref="Q75:Q82">
    <cfRule type="expression" dxfId="159" priority="172" stopIfTrue="1">
      <formula>"esterreur(reference)"</formula>
    </cfRule>
  </conditionalFormatting>
  <conditionalFormatting sqref="Q57">
    <cfRule type="expression" dxfId="158" priority="171" stopIfTrue="1">
      <formula>"esterreur(reference)"</formula>
    </cfRule>
  </conditionalFormatting>
  <conditionalFormatting sqref="Q5">
    <cfRule type="expression" dxfId="157" priority="169" stopIfTrue="1">
      <formula>"esterreur(reference)"</formula>
    </cfRule>
  </conditionalFormatting>
  <conditionalFormatting sqref="Q71">
    <cfRule type="expression" dxfId="156" priority="168" stopIfTrue="1">
      <formula>"esterreur(reference)"</formula>
    </cfRule>
  </conditionalFormatting>
  <conditionalFormatting sqref="Q60">
    <cfRule type="expression" dxfId="155" priority="166" stopIfTrue="1">
      <formula>"esterreur(reference)"</formula>
    </cfRule>
  </conditionalFormatting>
  <conditionalFormatting sqref="P98">
    <cfRule type="expression" dxfId="154" priority="165" stopIfTrue="1">
      <formula>"esterreur(reference)"</formula>
    </cfRule>
  </conditionalFormatting>
  <conditionalFormatting sqref="Q59">
    <cfRule type="expression" dxfId="153" priority="167" stopIfTrue="1">
      <formula>"esterreur(reference)"</formula>
    </cfRule>
  </conditionalFormatting>
  <conditionalFormatting sqref="O163:Q163 O164:P164 O121:Q121 O152:Q152 O96:Q97 O100:Q100 P94:P95 O104:Q110 P99 O134:Q134 O101:P103 O135:P136 O155:P156 O111:P120">
    <cfRule type="expression" dxfId="152" priority="161" stopIfTrue="1">
      <formula>"esterreur(reference)"</formula>
    </cfRule>
  </conditionalFormatting>
  <conditionalFormatting sqref="O141:P147">
    <cfRule type="expression" dxfId="151" priority="162" stopIfTrue="1">
      <formula>"esterreur(reference)"</formula>
    </cfRule>
  </conditionalFormatting>
  <conditionalFormatting sqref="O137:P139">
    <cfRule type="expression" dxfId="150" priority="163" stopIfTrue="1">
      <formula>"esterreur(reference)"</formula>
    </cfRule>
  </conditionalFormatting>
  <conditionalFormatting sqref="O140:P140">
    <cfRule type="expression" dxfId="149" priority="164" stopIfTrue="1">
      <formula>"esterreur(reference)"</formula>
    </cfRule>
  </conditionalFormatting>
  <conditionalFormatting sqref="Q94:Q95">
    <cfRule type="expression" dxfId="148" priority="160" stopIfTrue="1">
      <formula>"esterreur(reference)"</formula>
    </cfRule>
  </conditionalFormatting>
  <conditionalFormatting sqref="Q98">
    <cfRule type="expression" dxfId="147" priority="159" stopIfTrue="1">
      <formula>"esterreur(reference)"</formula>
    </cfRule>
  </conditionalFormatting>
  <conditionalFormatting sqref="Q99">
    <cfRule type="expression" dxfId="146" priority="158" stopIfTrue="1">
      <formula>"esterreur(reference)"</formula>
    </cfRule>
  </conditionalFormatting>
  <conditionalFormatting sqref="Q101">
    <cfRule type="expression" dxfId="145" priority="157" stopIfTrue="1">
      <formula>"esterreur(reference)"</formula>
    </cfRule>
  </conditionalFormatting>
  <conditionalFormatting sqref="Q102">
    <cfRule type="expression" dxfId="144" priority="156" stopIfTrue="1">
      <formula>"esterreur(reference)"</formula>
    </cfRule>
  </conditionalFormatting>
  <conditionalFormatting sqref="Q103">
    <cfRule type="expression" dxfId="143" priority="155" stopIfTrue="1">
      <formula>"esterreur(reference)"</formula>
    </cfRule>
  </conditionalFormatting>
  <conditionalFormatting sqref="Q111">
    <cfRule type="expression" dxfId="142" priority="154" stopIfTrue="1">
      <formula>"esterreur(reference)"</formula>
    </cfRule>
  </conditionalFormatting>
  <conditionalFormatting sqref="Q112">
    <cfRule type="expression" dxfId="141" priority="153" stopIfTrue="1">
      <formula>"esterreur(reference)"</formula>
    </cfRule>
  </conditionalFormatting>
  <conditionalFormatting sqref="Q114">
    <cfRule type="expression" dxfId="140" priority="152" stopIfTrue="1">
      <formula>"esterreur(reference)"</formula>
    </cfRule>
  </conditionalFormatting>
  <conditionalFormatting sqref="Q116:Q119">
    <cfRule type="expression" dxfId="139" priority="151" stopIfTrue="1">
      <formula>"esterreur(reference)"</formula>
    </cfRule>
  </conditionalFormatting>
  <conditionalFormatting sqref="Q120">
    <cfRule type="expression" dxfId="138" priority="150" stopIfTrue="1">
      <formula>"esterreur(reference)"</formula>
    </cfRule>
  </conditionalFormatting>
  <conditionalFormatting sqref="Q130">
    <cfRule type="expression" dxfId="137" priority="147" stopIfTrue="1">
      <formula>"esterreur(reference)"</formula>
    </cfRule>
  </conditionalFormatting>
  <conditionalFormatting sqref="Q124">
    <cfRule type="expression" dxfId="136" priority="149" stopIfTrue="1">
      <formula>"esterreur(reference)"</formula>
    </cfRule>
  </conditionalFormatting>
  <conditionalFormatting sqref="Q123">
    <cfRule type="expression" dxfId="135" priority="148" stopIfTrue="1">
      <formula>"esterreur(reference)"</formula>
    </cfRule>
  </conditionalFormatting>
  <conditionalFormatting sqref="Q139">
    <cfRule type="expression" dxfId="134" priority="140" stopIfTrue="1">
      <formula>"esterreur(reference)"</formula>
    </cfRule>
  </conditionalFormatting>
  <conditionalFormatting sqref="Q131">
    <cfRule type="expression" dxfId="133" priority="146" stopIfTrue="1">
      <formula>"esterreur(reference)"</formula>
    </cfRule>
  </conditionalFormatting>
  <conditionalFormatting sqref="Q132">
    <cfRule type="expression" dxfId="132" priority="145" stopIfTrue="1">
      <formula>"esterreur(reference)"</formula>
    </cfRule>
  </conditionalFormatting>
  <conditionalFormatting sqref="Q133">
    <cfRule type="expression" dxfId="131" priority="144" stopIfTrue="1">
      <formula>"esterreur(reference)"</formula>
    </cfRule>
  </conditionalFormatting>
  <conditionalFormatting sqref="Q141">
    <cfRule type="expression" dxfId="130" priority="138" stopIfTrue="1">
      <formula>"esterreur(reference)"</formula>
    </cfRule>
  </conditionalFormatting>
  <conditionalFormatting sqref="Q136">
    <cfRule type="expression" dxfId="129" priority="143" stopIfTrue="1">
      <formula>"esterreur(reference)"</formula>
    </cfRule>
  </conditionalFormatting>
  <conditionalFormatting sqref="Q137">
    <cfRule type="expression" dxfId="128" priority="142" stopIfTrue="1">
      <formula>"esterreur(reference)"</formula>
    </cfRule>
  </conditionalFormatting>
  <conditionalFormatting sqref="Q138">
    <cfRule type="expression" dxfId="127" priority="141" stopIfTrue="1">
      <formula>"esterreur(reference)"</formula>
    </cfRule>
  </conditionalFormatting>
  <conditionalFormatting sqref="Q143">
    <cfRule type="expression" dxfId="126" priority="136" stopIfTrue="1">
      <formula>"esterreur(reference)"</formula>
    </cfRule>
  </conditionalFormatting>
  <conditionalFormatting sqref="Q140">
    <cfRule type="expression" dxfId="125" priority="139" stopIfTrue="1">
      <formula>"esterreur(reference)"</formula>
    </cfRule>
  </conditionalFormatting>
  <conditionalFormatting sqref="Q142">
    <cfRule type="expression" dxfId="124" priority="137" stopIfTrue="1">
      <formula>"esterreur(reference)"</formula>
    </cfRule>
  </conditionalFormatting>
  <conditionalFormatting sqref="Q144">
    <cfRule type="expression" dxfId="123" priority="135" stopIfTrue="1">
      <formula>"esterreur(reference)"</formula>
    </cfRule>
  </conditionalFormatting>
  <conditionalFormatting sqref="Q145">
    <cfRule type="expression" dxfId="122" priority="134" stopIfTrue="1">
      <formula>"esterreur(reference)"</formula>
    </cfRule>
  </conditionalFormatting>
  <conditionalFormatting sqref="Q146">
    <cfRule type="expression" dxfId="121" priority="133" stopIfTrue="1">
      <formula>"esterreur(reference)"</formula>
    </cfRule>
  </conditionalFormatting>
  <conditionalFormatting sqref="Q147">
    <cfRule type="expression" dxfId="120" priority="132" stopIfTrue="1">
      <formula>"esterreur(reference)"</formula>
    </cfRule>
  </conditionalFormatting>
  <conditionalFormatting sqref="Q113">
    <cfRule type="expression" dxfId="119" priority="129" stopIfTrue="1">
      <formula>"esterreur(reference)"</formula>
    </cfRule>
  </conditionalFormatting>
  <conditionalFormatting sqref="Q155:Q161">
    <cfRule type="expression" dxfId="118" priority="131" stopIfTrue="1">
      <formula>"esterreur(reference)"</formula>
    </cfRule>
  </conditionalFormatting>
  <conditionalFormatting sqref="Q93">
    <cfRule type="expression" dxfId="117" priority="128" stopIfTrue="1">
      <formula>"esterreur(reference)"</formula>
    </cfRule>
  </conditionalFormatting>
  <conditionalFormatting sqref="Q115">
    <cfRule type="expression" dxfId="116" priority="130" stopIfTrue="1">
      <formula>"esterreur(reference)"</formula>
    </cfRule>
  </conditionalFormatting>
  <conditionalFormatting sqref="P93">
    <cfRule type="expression" dxfId="115" priority="127" stopIfTrue="1">
      <formula>"esterreur(reference)"</formula>
    </cfRule>
  </conditionalFormatting>
  <conditionalFormatting sqref="Q122">
    <cfRule type="expression" dxfId="114" priority="126" stopIfTrue="1">
      <formula>"esterreur(reference)"</formula>
    </cfRule>
  </conditionalFormatting>
  <conditionalFormatting sqref="Q135">
    <cfRule type="expression" dxfId="113" priority="125" stopIfTrue="1">
      <formula>"esterreur(reference)"</formula>
    </cfRule>
  </conditionalFormatting>
  <conditionalFormatting sqref="O171:O195 O231:Q231 O232:P232 P172:Q172 P175:Q176 P178:Q179 P181:Q181 P184:Q186 P183 P188:Q189 Q182 P191:Q195 Q190 Q173 O225:P228 O197:P218">
    <cfRule type="expression" dxfId="112" priority="122" stopIfTrue="1">
      <formula>"esterreur(reference)"</formula>
    </cfRule>
  </conditionalFormatting>
  <conditionalFormatting sqref="O219:P224">
    <cfRule type="expression" dxfId="111" priority="123" stopIfTrue="1">
      <formula>"esterreur(reference)"</formula>
    </cfRule>
  </conditionalFormatting>
  <conditionalFormatting sqref="O196:Q196">
    <cfRule type="expression" dxfId="110" priority="124" stopIfTrue="1">
      <formula>"esterreur(reference)"</formula>
    </cfRule>
  </conditionalFormatting>
  <conditionalFormatting sqref="Q207">
    <cfRule type="expression" dxfId="109" priority="108" stopIfTrue="1">
      <formula>"esterreur(reference)"</formula>
    </cfRule>
  </conditionalFormatting>
  <conditionalFormatting sqref="Q227">
    <cfRule type="expression" dxfId="108" priority="104" stopIfTrue="1">
      <formula>"esterreur(reference)"</formula>
    </cfRule>
  </conditionalFormatting>
  <conditionalFormatting sqref="Q171">
    <cfRule type="expression" dxfId="107" priority="121" stopIfTrue="1">
      <formula>"esterreur(reference)"</formula>
    </cfRule>
  </conditionalFormatting>
  <conditionalFormatting sqref="Q174">
    <cfRule type="expression" dxfId="106" priority="120" stopIfTrue="1">
      <formula>"esterreur(reference)"</formula>
    </cfRule>
  </conditionalFormatting>
  <conditionalFormatting sqref="Q177">
    <cfRule type="expression" dxfId="105" priority="119" stopIfTrue="1">
      <formula>"esterreur(reference)"</formula>
    </cfRule>
  </conditionalFormatting>
  <conditionalFormatting sqref="Q183">
    <cfRule type="expression" dxfId="104" priority="118" stopIfTrue="1">
      <formula>"esterreur(reference)"</formula>
    </cfRule>
  </conditionalFormatting>
  <conditionalFormatting sqref="Q187">
    <cfRule type="expression" dxfId="103" priority="117" stopIfTrue="1">
      <formula>"esterreur(reference)"</formula>
    </cfRule>
  </conditionalFormatting>
  <conditionalFormatting sqref="Q197">
    <cfRule type="expression" dxfId="102" priority="116" stopIfTrue="1">
      <formula>"esterreur(reference)"</formula>
    </cfRule>
  </conditionalFormatting>
  <conditionalFormatting sqref="Q199">
    <cfRule type="expression" dxfId="101" priority="115" stopIfTrue="1">
      <formula>"esterreur(reference)"</formula>
    </cfRule>
  </conditionalFormatting>
  <conditionalFormatting sqref="Q198">
    <cfRule type="expression" dxfId="100" priority="114" stopIfTrue="1">
      <formula>"esterreur(reference)"</formula>
    </cfRule>
  </conditionalFormatting>
  <conditionalFormatting sqref="Q200">
    <cfRule type="expression" dxfId="99" priority="113" stopIfTrue="1">
      <formula>"esterreur(reference)"</formula>
    </cfRule>
  </conditionalFormatting>
  <conditionalFormatting sqref="Q201">
    <cfRule type="expression" dxfId="98" priority="112" stopIfTrue="1">
      <formula>"esterreur(reference)"</formula>
    </cfRule>
  </conditionalFormatting>
  <conditionalFormatting sqref="Q202:Q204">
    <cfRule type="expression" dxfId="97" priority="111" stopIfTrue="1">
      <formula>"esterreur(reference)"</formula>
    </cfRule>
  </conditionalFormatting>
  <conditionalFormatting sqref="Q206">
    <cfRule type="expression" dxfId="96" priority="109" stopIfTrue="1">
      <formula>"esterreur(reference)"</formula>
    </cfRule>
  </conditionalFormatting>
  <conditionalFormatting sqref="Q205">
    <cfRule type="expression" dxfId="95" priority="110" stopIfTrue="1">
      <formula>"esterreur(reference)"</formula>
    </cfRule>
  </conditionalFormatting>
  <conditionalFormatting sqref="Q208">
    <cfRule type="expression" dxfId="94" priority="107" stopIfTrue="1">
      <formula>"esterreur(reference)"</formula>
    </cfRule>
  </conditionalFormatting>
  <conditionalFormatting sqref="Q211:Q224">
    <cfRule type="expression" dxfId="93" priority="106" stopIfTrue="1">
      <formula>"esterreur(reference)"</formula>
    </cfRule>
  </conditionalFormatting>
  <conditionalFormatting sqref="Q225:Q226">
    <cfRule type="expression" dxfId="92" priority="105" stopIfTrue="1">
      <formula>"esterreur(reference)"</formula>
    </cfRule>
  </conditionalFormatting>
  <conditionalFormatting sqref="Q180">
    <cfRule type="expression" dxfId="91" priority="103" stopIfTrue="1">
      <formula>"esterreur(reference)"</formula>
    </cfRule>
  </conditionalFormatting>
  <conditionalFormatting sqref="P182">
    <cfRule type="expression" dxfId="90" priority="102" stopIfTrue="1">
      <formula>"esterreur(reference)"</formula>
    </cfRule>
  </conditionalFormatting>
  <conditionalFormatting sqref="P171">
    <cfRule type="expression" dxfId="89" priority="101" stopIfTrue="1">
      <formula>"esterreur(reference)"</formula>
    </cfRule>
  </conditionalFormatting>
  <conditionalFormatting sqref="P174">
    <cfRule type="expression" dxfId="88" priority="100" stopIfTrue="1">
      <formula>"esterreur(reference)"</formula>
    </cfRule>
  </conditionalFormatting>
  <conditionalFormatting sqref="P177">
    <cfRule type="expression" dxfId="87" priority="99" stopIfTrue="1">
      <formula>"esterreur(reference)"</formula>
    </cfRule>
  </conditionalFormatting>
  <conditionalFormatting sqref="P180">
    <cfRule type="expression" dxfId="86" priority="98" stopIfTrue="1">
      <formula>"esterreur(reference)"</formula>
    </cfRule>
  </conditionalFormatting>
  <conditionalFormatting sqref="P187">
    <cfRule type="expression" dxfId="85" priority="97" stopIfTrue="1">
      <formula>"esterreur(reference)"</formula>
    </cfRule>
  </conditionalFormatting>
  <conditionalFormatting sqref="P190">
    <cfRule type="expression" dxfId="84" priority="96" stopIfTrue="1">
      <formula>"esterreur(reference)"</formula>
    </cfRule>
  </conditionalFormatting>
  <conditionalFormatting sqref="Q210">
    <cfRule type="expression" dxfId="83" priority="95" stopIfTrue="1">
      <formula>"esterreur(reference)"</formula>
    </cfRule>
  </conditionalFormatting>
  <conditionalFormatting sqref="O287:Q287 O288:P288 O242:Q242 O251:Q252 O284:Q284 Q275:Q283 O253:P274">
    <cfRule type="expression" dxfId="82" priority="92" stopIfTrue="1">
      <formula>"esterreur(reference)"</formula>
    </cfRule>
  </conditionalFormatting>
  <conditionalFormatting sqref="O275:P280">
    <cfRule type="expression" dxfId="81" priority="93" stopIfTrue="1">
      <formula>"esterreur(reference)"</formula>
    </cfRule>
  </conditionalFormatting>
  <conditionalFormatting sqref="O281:P283">
    <cfRule type="expression" dxfId="80" priority="94" stopIfTrue="1">
      <formula>"esterreur(reference)"</formula>
    </cfRule>
  </conditionalFormatting>
  <conditionalFormatting sqref="Q271">
    <cfRule type="expression" dxfId="79" priority="74" stopIfTrue="1">
      <formula>"esterreur(reference)"</formula>
    </cfRule>
  </conditionalFormatting>
  <conditionalFormatting sqref="Q274">
    <cfRule type="expression" dxfId="78" priority="72" stopIfTrue="1">
      <formula>"esterreur(reference)"</formula>
    </cfRule>
  </conditionalFormatting>
  <conditionalFormatting sqref="Q243">
    <cfRule type="expression" dxfId="77" priority="91" stopIfTrue="1">
      <formula>"esterreur(reference)"</formula>
    </cfRule>
  </conditionalFormatting>
  <conditionalFormatting sqref="Q246">
    <cfRule type="expression" dxfId="76" priority="90" stopIfTrue="1">
      <formula>"esterreur(reference)"</formula>
    </cfRule>
  </conditionalFormatting>
  <conditionalFormatting sqref="Q253">
    <cfRule type="expression" dxfId="75" priority="89" stopIfTrue="1">
      <formula>"esterreur(reference)"</formula>
    </cfRule>
  </conditionalFormatting>
  <conditionalFormatting sqref="Q254">
    <cfRule type="expression" dxfId="74" priority="88" stopIfTrue="1">
      <formula>"esterreur(reference)"</formula>
    </cfRule>
  </conditionalFormatting>
  <conditionalFormatting sqref="Q255">
    <cfRule type="expression" dxfId="73" priority="87" stopIfTrue="1">
      <formula>"esterreur(reference)"</formula>
    </cfRule>
  </conditionalFormatting>
  <conditionalFormatting sqref="Q256">
    <cfRule type="expression" dxfId="72" priority="86" stopIfTrue="1">
      <formula>"esterreur(reference)"</formula>
    </cfRule>
  </conditionalFormatting>
  <conditionalFormatting sqref="Q257">
    <cfRule type="expression" dxfId="71" priority="85" stopIfTrue="1">
      <formula>"esterreur(reference)"</formula>
    </cfRule>
  </conditionalFormatting>
  <conditionalFormatting sqref="Q258">
    <cfRule type="expression" dxfId="70" priority="84" stopIfTrue="1">
      <formula>"esterreur(reference)"</formula>
    </cfRule>
  </conditionalFormatting>
  <conditionalFormatting sqref="Q259">
    <cfRule type="expression" dxfId="69" priority="83" stopIfTrue="1">
      <formula>"esterreur(reference)"</formula>
    </cfRule>
  </conditionalFormatting>
  <conditionalFormatting sqref="Q260">
    <cfRule type="expression" dxfId="68" priority="82" stopIfTrue="1">
      <formula>"esterreur(reference)"</formula>
    </cfRule>
  </conditionalFormatting>
  <conditionalFormatting sqref="Q261">
    <cfRule type="expression" dxfId="67" priority="81" stopIfTrue="1">
      <formula>"esterreur(reference)"</formula>
    </cfRule>
  </conditionalFormatting>
  <conditionalFormatting sqref="Q262">
    <cfRule type="expression" dxfId="66" priority="80" stopIfTrue="1">
      <formula>"esterreur(reference)"</formula>
    </cfRule>
  </conditionalFormatting>
  <conditionalFormatting sqref="Q263:Q264">
    <cfRule type="expression" dxfId="65" priority="79" stopIfTrue="1">
      <formula>"esterreur(reference)"</formula>
    </cfRule>
  </conditionalFormatting>
  <conditionalFormatting sqref="Q268">
    <cfRule type="expression" dxfId="64" priority="77" stopIfTrue="1">
      <formula>"esterreur(reference)"</formula>
    </cfRule>
  </conditionalFormatting>
  <conditionalFormatting sqref="Q267">
    <cfRule type="expression" dxfId="63" priority="78" stopIfTrue="1">
      <formula>"esterreur(reference)"</formula>
    </cfRule>
  </conditionalFormatting>
  <conditionalFormatting sqref="Q269">
    <cfRule type="expression" dxfId="62" priority="76" stopIfTrue="1">
      <formula>"esterreur(reference)"</formula>
    </cfRule>
  </conditionalFormatting>
  <conditionalFormatting sqref="Q270">
    <cfRule type="expression" dxfId="61" priority="75" stopIfTrue="1">
      <formula>"esterreur(reference)"</formula>
    </cfRule>
  </conditionalFormatting>
  <conditionalFormatting sqref="Q272:Q273">
    <cfRule type="expression" dxfId="60" priority="73" stopIfTrue="1">
      <formula>"esterreur(reference)"</formula>
    </cfRule>
  </conditionalFormatting>
  <conditionalFormatting sqref="P240">
    <cfRule type="expression" dxfId="59" priority="71" stopIfTrue="1">
      <formula>"esterreur(reference)"</formula>
    </cfRule>
  </conditionalFormatting>
  <conditionalFormatting sqref="P243">
    <cfRule type="expression" dxfId="58" priority="70" stopIfTrue="1">
      <formula>"esterreur(reference)"</formula>
    </cfRule>
  </conditionalFormatting>
  <conditionalFormatting sqref="P246">
    <cfRule type="expression" dxfId="57" priority="69" stopIfTrue="1">
      <formula>"esterreur(reference)"</formula>
    </cfRule>
  </conditionalFormatting>
  <conditionalFormatting sqref="Q240">
    <cfRule type="expression" dxfId="56" priority="68" stopIfTrue="1">
      <formula>"esterreur(reference)"</formula>
    </cfRule>
  </conditionalFormatting>
  <conditionalFormatting sqref="P286">
    <cfRule type="expression" dxfId="55" priority="67" stopIfTrue="1">
      <formula>"esterreur(reference)"</formula>
    </cfRule>
  </conditionalFormatting>
  <conditionalFormatting sqref="Q266">
    <cfRule type="expression" dxfId="54" priority="66" stopIfTrue="1">
      <formula>"esterreur(reference)"</formula>
    </cfRule>
  </conditionalFormatting>
  <conditionalFormatting sqref="O308:Q310 O303:Q305 O351:Q351 O352:P352 O348:Q348 O312:Q315 P306:P307 P311 O294:P302 Q319:Q324 O317:P347">
    <cfRule type="expression" dxfId="53" priority="64" stopIfTrue="1">
      <formula>"esterreur(reference)"</formula>
    </cfRule>
  </conditionalFormatting>
  <conditionalFormatting sqref="O316:Q316">
    <cfRule type="expression" dxfId="52" priority="65" stopIfTrue="1">
      <formula>"esterreur(reference)"</formula>
    </cfRule>
  </conditionalFormatting>
  <conditionalFormatting sqref="Q331:Q347">
    <cfRule type="expression" dxfId="51" priority="51" stopIfTrue="1">
      <formula>"esterreur(reference)"</formula>
    </cfRule>
  </conditionalFormatting>
  <conditionalFormatting sqref="Q325">
    <cfRule type="expression" dxfId="50" priority="55" stopIfTrue="1">
      <formula>"esterreur(reference)"</formula>
    </cfRule>
  </conditionalFormatting>
  <conditionalFormatting sqref="Q326">
    <cfRule type="expression" dxfId="49" priority="54" stopIfTrue="1">
      <formula>"esterreur(reference)"</formula>
    </cfRule>
  </conditionalFormatting>
  <conditionalFormatting sqref="Q327">
    <cfRule type="expression" dxfId="48" priority="53" stopIfTrue="1">
      <formula>"esterreur(reference)"</formula>
    </cfRule>
  </conditionalFormatting>
  <conditionalFormatting sqref="Q328">
    <cfRule type="expression" dxfId="47" priority="52" stopIfTrue="1">
      <formula>"esterreur(reference)"</formula>
    </cfRule>
  </conditionalFormatting>
  <conditionalFormatting sqref="Q294:Q300">
    <cfRule type="expression" dxfId="46" priority="63" stopIfTrue="1">
      <formula>"esterreur(reference)"</formula>
    </cfRule>
  </conditionalFormatting>
  <conditionalFormatting sqref="Q301">
    <cfRule type="expression" dxfId="45" priority="62" stopIfTrue="1">
      <formula>"esterreur(reference)"</formula>
    </cfRule>
  </conditionalFormatting>
  <conditionalFormatting sqref="Q302">
    <cfRule type="expression" dxfId="44" priority="61" stopIfTrue="1">
      <formula>"esterreur(reference)"</formula>
    </cfRule>
  </conditionalFormatting>
  <conditionalFormatting sqref="Q306">
    <cfRule type="expression" dxfId="43" priority="60" stopIfTrue="1">
      <formula>"esterreur(reference)"</formula>
    </cfRule>
  </conditionalFormatting>
  <conditionalFormatting sqref="Q307">
    <cfRule type="expression" dxfId="42" priority="59" stopIfTrue="1">
      <formula>"esterreur(reference)"</formula>
    </cfRule>
  </conditionalFormatting>
  <conditionalFormatting sqref="Q311">
    <cfRule type="expression" dxfId="41" priority="58" stopIfTrue="1">
      <formula>"esterreur(reference)"</formula>
    </cfRule>
  </conditionalFormatting>
  <conditionalFormatting sqref="Q317">
    <cfRule type="expression" dxfId="40" priority="57" stopIfTrue="1">
      <formula>"esterreur(reference)"</formula>
    </cfRule>
  </conditionalFormatting>
  <conditionalFormatting sqref="Q318">
    <cfRule type="expression" dxfId="39" priority="56" stopIfTrue="1">
      <formula>"esterreur(reference)"</formula>
    </cfRule>
  </conditionalFormatting>
  <conditionalFormatting sqref="O306:O307">
    <cfRule type="expression" dxfId="38" priority="50" stopIfTrue="1">
      <formula>"esterreur(reference)"</formula>
    </cfRule>
  </conditionalFormatting>
  <conditionalFormatting sqref="O311">
    <cfRule type="expression" dxfId="37" priority="49" stopIfTrue="1">
      <formula>"esterreur(reference)"</formula>
    </cfRule>
  </conditionalFormatting>
  <conditionalFormatting sqref="Q330">
    <cfRule type="expression" dxfId="36" priority="48" stopIfTrue="1">
      <formula>"esterreur(reference)"</formula>
    </cfRule>
  </conditionalFormatting>
  <conditionalFormatting sqref="Q36:Q40">
    <cfRule type="expression" dxfId="35" priority="37" stopIfTrue="1">
      <formula>"esterreur(reference)"</formula>
    </cfRule>
  </conditionalFormatting>
  <conditionalFormatting sqref="L68">
    <cfRule type="expression" dxfId="34" priority="36" stopIfTrue="1">
      <formula>"esterreur(reference)"</formula>
    </cfRule>
  </conditionalFormatting>
  <conditionalFormatting sqref="Q149:Q151">
    <cfRule type="expression" dxfId="33" priority="28" stopIfTrue="1">
      <formula>"esterreur(reference)"</formula>
    </cfRule>
  </conditionalFormatting>
  <conditionalFormatting sqref="H148 J148:K148">
    <cfRule type="expression" dxfId="32" priority="35" stopIfTrue="1">
      <formula>"esterreur(reference)"</formula>
    </cfRule>
  </conditionalFormatting>
  <conditionalFormatting sqref="L148">
    <cfRule type="expression" dxfId="31" priority="34" stopIfTrue="1">
      <formula>"esterreur(reference)"</formula>
    </cfRule>
  </conditionalFormatting>
  <conditionalFormatting sqref="O148:P148">
    <cfRule type="expression" dxfId="30" priority="33" stopIfTrue="1">
      <formula>"esterreur(reference)"</formula>
    </cfRule>
  </conditionalFormatting>
  <conditionalFormatting sqref="Q148">
    <cfRule type="expression" dxfId="29" priority="32" stopIfTrue="1">
      <formula>"esterreur(reference)"</formula>
    </cfRule>
  </conditionalFormatting>
  <conditionalFormatting sqref="H149:H151 J149:K151">
    <cfRule type="expression" dxfId="28" priority="31" stopIfTrue="1">
      <formula>"esterreur(reference)"</formula>
    </cfRule>
  </conditionalFormatting>
  <conditionalFormatting sqref="L149:L151">
    <cfRule type="expression" dxfId="27" priority="30" stopIfTrue="1">
      <formula>"esterreur(reference)"</formula>
    </cfRule>
  </conditionalFormatting>
  <conditionalFormatting sqref="O149:P151">
    <cfRule type="expression" dxfId="26" priority="29" stopIfTrue="1">
      <formula>"esterreur(reference)"</formula>
    </cfRule>
  </conditionalFormatting>
  <conditionalFormatting sqref="L158:L161">
    <cfRule type="expression" dxfId="25" priority="27" stopIfTrue="1">
      <formula>"esterreur(reference)"</formula>
    </cfRule>
  </conditionalFormatting>
  <conditionalFormatting sqref="AG414:AI417">
    <cfRule type="cellIs" dxfId="24" priority="26" operator="greaterThan">
      <formula>0</formula>
    </cfRule>
  </conditionalFormatting>
  <conditionalFormatting sqref="AO414:AO417">
    <cfRule type="cellIs" dxfId="23" priority="25" operator="greaterThan">
      <formula>0</formula>
    </cfRule>
  </conditionalFormatting>
  <conditionalFormatting sqref="H353:H354 J353:K354 J399:K399 H399 H363:L363 H364:H375 J364:K375">
    <cfRule type="expression" dxfId="22" priority="18" stopIfTrue="1">
      <formula>"esterreur(reference)"</formula>
    </cfRule>
  </conditionalFormatting>
  <conditionalFormatting sqref="K356 J356:J357 H356:I356 L355:L356 H358:L358">
    <cfRule type="expression" dxfId="21" priority="19" stopIfTrue="1">
      <formula>"esterreur(reference)"</formula>
    </cfRule>
  </conditionalFormatting>
  <conditionalFormatting sqref="H396">
    <cfRule type="expression" dxfId="20" priority="20" stopIfTrue="1">
      <formula>"esterreur(reference)"</formula>
    </cfRule>
  </conditionalFormatting>
  <conditionalFormatting sqref="I376:L376 H377:H392 J377:K392">
    <cfRule type="expression" dxfId="19" priority="21" stopIfTrue="1">
      <formula>"esterreur(reference)"</formula>
    </cfRule>
  </conditionalFormatting>
  <conditionalFormatting sqref="H397:L398 I396:L396 H395:L395 H393:H394 J393:K393">
    <cfRule type="expression" dxfId="18" priority="22" stopIfTrue="1">
      <formula>"esterreur(reference)"</formula>
    </cfRule>
  </conditionalFormatting>
  <conditionalFormatting sqref="H360:L362 H359 K359">
    <cfRule type="expression" dxfId="17" priority="23" stopIfTrue="1">
      <formula>"esterreur(reference)"</formula>
    </cfRule>
  </conditionalFormatting>
  <conditionalFormatting sqref="K394">
    <cfRule type="expression" dxfId="16" priority="24" stopIfTrue="1">
      <formula>"esterreur(reference)"</formula>
    </cfRule>
  </conditionalFormatting>
  <conditionalFormatting sqref="L364:L375">
    <cfRule type="expression" dxfId="15" priority="17" stopIfTrue="1">
      <formula>"esterreur(reference)"</formula>
    </cfRule>
  </conditionalFormatting>
  <conditionalFormatting sqref="J359">
    <cfRule type="expression" dxfId="14" priority="15" stopIfTrue="1">
      <formula>"esterreur(reference)"</formula>
    </cfRule>
  </conditionalFormatting>
  <conditionalFormatting sqref="L359">
    <cfRule type="expression" dxfId="13" priority="14" stopIfTrue="1">
      <formula>"esterreur(reference)"</formula>
    </cfRule>
  </conditionalFormatting>
  <conditionalFormatting sqref="O363:Q363 O364:P375">
    <cfRule type="expression" dxfId="12" priority="8" stopIfTrue="1">
      <formula>"esterreur(reference)"</formula>
    </cfRule>
  </conditionalFormatting>
  <conditionalFormatting sqref="O358:Q358">
    <cfRule type="expression" dxfId="11" priority="9" stopIfTrue="1">
      <formula>"esterreur(reference)"</formula>
    </cfRule>
  </conditionalFormatting>
  <conditionalFormatting sqref="O376:Q376 O377:P392">
    <cfRule type="expression" dxfId="10" priority="10" stopIfTrue="1">
      <formula>"esterreur(reference)"</formula>
    </cfRule>
  </conditionalFormatting>
  <conditionalFormatting sqref="O395:Q398 O393:P393">
    <cfRule type="expression" dxfId="9" priority="11" stopIfTrue="1">
      <formula>"esterreur(reference)"</formula>
    </cfRule>
  </conditionalFormatting>
  <conditionalFormatting sqref="O360:Q362 P359">
    <cfRule type="expression" dxfId="8" priority="12" stopIfTrue="1">
      <formula>"esterreur(reference)"</formula>
    </cfRule>
  </conditionalFormatting>
  <conditionalFormatting sqref="P394">
    <cfRule type="expression" dxfId="7" priority="13" stopIfTrue="1">
      <formula>"esterreur(reference)"</formula>
    </cfRule>
  </conditionalFormatting>
  <conditionalFormatting sqref="Q364:Q375">
    <cfRule type="expression" dxfId="6" priority="7" stopIfTrue="1">
      <formula>"esterreur(reference)"</formula>
    </cfRule>
  </conditionalFormatting>
  <conditionalFormatting sqref="Q377:Q393">
    <cfRule type="expression" dxfId="5" priority="6" stopIfTrue="1">
      <formula>"esterreur(reference)"</formula>
    </cfRule>
  </conditionalFormatting>
  <conditionalFormatting sqref="O359">
    <cfRule type="expression" dxfId="4" priority="5" stopIfTrue="1">
      <formula>"esterreur(reference)"</formula>
    </cfRule>
  </conditionalFormatting>
  <conditionalFormatting sqref="Q359">
    <cfRule type="expression" dxfId="3" priority="4" stopIfTrue="1">
      <formula>"esterreur(reference)"</formula>
    </cfRule>
  </conditionalFormatting>
  <conditionalFormatting sqref="L377:L393">
    <cfRule type="expression" dxfId="2" priority="3" stopIfTrue="1">
      <formula>"esterreur(reference)"</formula>
    </cfRule>
  </conditionalFormatting>
  <conditionalFormatting sqref="G184">
    <cfRule type="expression" dxfId="1" priority="2" stopIfTrue="1">
      <formula>"esterreur(reference)"</formula>
    </cfRule>
  </conditionalFormatting>
  <conditionalFormatting sqref="J111">
    <cfRule type="expression" dxfId="0" priority="1" stopIfTrue="1">
      <formula>"esterreur(reference)"</formula>
    </cfRule>
  </conditionalFormatting>
  <printOptions horizontalCentered="1"/>
  <pageMargins left="0.23622047244094491" right="0.23622047244094491" top="0.51181102362204722" bottom="0.51181102362204722" header="0" footer="0.23622047244094491"/>
  <pageSetup scale="40" orientation="landscape" r:id="rId1"/>
  <headerFooter>
    <oddFooter>&amp;L&amp;9&amp;F&amp;C&amp;9Page &amp;P de &amp;N&amp;R&amp;9Imprimé le &amp;D @ &amp;T</oddFooter>
  </headerFooter>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E9BC-BE27-4FCE-BC95-6917F937F27D}">
  <sheetPr>
    <pageSetUpPr fitToPage="1"/>
  </sheetPr>
  <dimension ref="A1:U35"/>
  <sheetViews>
    <sheetView zoomScale="90" zoomScaleNormal="90" workbookViewId="0">
      <selection activeCell="B25" sqref="B25"/>
    </sheetView>
  </sheetViews>
  <sheetFormatPr baseColWidth="10" defaultColWidth="11" defaultRowHeight="14.4"/>
  <cols>
    <col min="1" max="1" width="3.19921875" style="1261" customWidth="1"/>
    <col min="2" max="2" width="16.3984375" style="1261" customWidth="1"/>
    <col min="3" max="5" width="11.09765625" style="1261" customWidth="1"/>
    <col min="6" max="6" width="3.19921875" style="1261" customWidth="1"/>
    <col min="7" max="7" width="16.3984375" style="1261" customWidth="1"/>
    <col min="8" max="10" width="11.09765625" style="1261" customWidth="1"/>
    <col min="11" max="11" width="3.19921875" style="1261" customWidth="1"/>
    <col min="12" max="12" width="16.3984375" style="1261" customWidth="1"/>
    <col min="13" max="15" width="11.09765625" style="1261" customWidth="1"/>
    <col min="16" max="16" width="3.19921875" style="1261" customWidth="1"/>
    <col min="17" max="17" width="16.3984375" style="1261" customWidth="1"/>
    <col min="18" max="20" width="11.09765625" style="1261" customWidth="1"/>
    <col min="21" max="16384" width="11" style="1261"/>
  </cols>
  <sheetData>
    <row r="1" spans="1:21" ht="15.6" thickTop="1" thickBot="1">
      <c r="B1" s="1313" t="s">
        <v>3339</v>
      </c>
      <c r="C1" s="1314"/>
      <c r="D1" s="1314"/>
      <c r="E1" s="1314"/>
      <c r="F1" s="1314"/>
      <c r="G1" s="1314"/>
      <c r="H1" s="1314"/>
      <c r="I1" s="1314"/>
      <c r="J1" s="1314"/>
      <c r="K1" s="1314"/>
      <c r="L1" s="1314"/>
      <c r="M1" s="1314"/>
      <c r="N1" s="1314"/>
      <c r="O1" s="1314"/>
      <c r="P1" s="1314"/>
      <c r="Q1" s="1314"/>
      <c r="R1" s="1314"/>
      <c r="S1" s="1314"/>
      <c r="T1" s="1315"/>
    </row>
    <row r="2" spans="1:21" ht="15" thickTop="1">
      <c r="A2" s="1282"/>
      <c r="B2" s="1282"/>
      <c r="C2" s="1282"/>
      <c r="D2" s="1282"/>
      <c r="E2" s="1282"/>
      <c r="F2" s="1282"/>
      <c r="G2" s="1282"/>
      <c r="H2" s="1282"/>
      <c r="I2" s="1282"/>
      <c r="J2" s="1282"/>
      <c r="K2" s="1282"/>
      <c r="L2" s="1282"/>
      <c r="M2" s="1282"/>
      <c r="N2" s="1282"/>
      <c r="O2" s="1282"/>
      <c r="P2" s="1282"/>
      <c r="Q2" s="1282"/>
      <c r="R2" s="1282"/>
      <c r="S2" s="1282"/>
      <c r="T2" s="1282"/>
      <c r="U2" s="1282"/>
    </row>
    <row r="3" spans="1:21">
      <c r="A3" s="1282"/>
      <c r="B3" s="1260" t="s">
        <v>3312</v>
      </c>
      <c r="C3" s="1281" t="s">
        <v>3313</v>
      </c>
      <c r="D3" s="1281" t="s">
        <v>3314</v>
      </c>
      <c r="E3" s="1281" t="s">
        <v>3315</v>
      </c>
      <c r="F3" s="1282"/>
      <c r="G3" s="1260" t="s">
        <v>3316</v>
      </c>
      <c r="H3" s="1281" t="s">
        <v>3313</v>
      </c>
      <c r="I3" s="1281" t="s">
        <v>3314</v>
      </c>
      <c r="J3" s="1281" t="s">
        <v>3315</v>
      </c>
      <c r="K3" s="1282"/>
      <c r="L3" s="1260" t="s">
        <v>155</v>
      </c>
      <c r="M3" s="1281" t="s">
        <v>3317</v>
      </c>
      <c r="N3" s="1281" t="s">
        <v>3318</v>
      </c>
      <c r="O3" s="1281" t="s">
        <v>3315</v>
      </c>
      <c r="P3" s="1282"/>
      <c r="Q3" s="1260" t="s">
        <v>3319</v>
      </c>
      <c r="R3" s="1281" t="s">
        <v>3313</v>
      </c>
      <c r="S3" s="1281" t="s">
        <v>3320</v>
      </c>
      <c r="T3" s="1281" t="s">
        <v>1914</v>
      </c>
      <c r="U3" s="1282"/>
    </row>
    <row r="4" spans="1:21">
      <c r="A4" s="1282"/>
      <c r="B4" s="1283" t="s">
        <v>3321</v>
      </c>
      <c r="C4" s="1282"/>
      <c r="D4" s="1282"/>
      <c r="E4" s="1282"/>
      <c r="F4" s="1282"/>
      <c r="G4" s="1283" t="s">
        <v>3321</v>
      </c>
      <c r="H4" s="1282"/>
      <c r="I4" s="1282"/>
      <c r="J4" s="1282"/>
      <c r="K4" s="1282"/>
      <c r="L4" s="1283" t="s">
        <v>3321</v>
      </c>
      <c r="M4" s="1282"/>
      <c r="N4" s="1282"/>
      <c r="O4" s="1282"/>
      <c r="P4" s="1282"/>
      <c r="Q4" s="1283" t="s">
        <v>3321</v>
      </c>
      <c r="R4" s="1282"/>
      <c r="S4" s="1282"/>
      <c r="T4" s="1282"/>
      <c r="U4" s="1282"/>
    </row>
    <row r="5" spans="1:21">
      <c r="A5" s="1282"/>
      <c r="B5" s="1262" t="s">
        <v>3322</v>
      </c>
      <c r="C5" s="1279">
        <f>Print_AAD!J27</f>
        <v>181</v>
      </c>
      <c r="D5" s="1263">
        <f>Print_AAD!L27/Print_AAD!J27</f>
        <v>4643.9313812154624</v>
      </c>
      <c r="E5" s="1264">
        <f>+C5*D5</f>
        <v>840551.57999999868</v>
      </c>
      <c r="F5" s="1282"/>
      <c r="G5" s="1262" t="s">
        <v>3322</v>
      </c>
      <c r="H5" s="1279">
        <f>Print_AAD!J107</f>
        <v>268</v>
      </c>
      <c r="I5" s="1263">
        <f>Print_AAD!L107/Print_AAD!J107</f>
        <v>3135.0942537313426</v>
      </c>
      <c r="J5" s="1264">
        <f>+H5*I5</f>
        <v>840205.25999999978</v>
      </c>
      <c r="K5" s="1282"/>
      <c r="L5" s="1262" t="s">
        <v>3322</v>
      </c>
      <c r="M5" s="1265">
        <f>Print_AAD!K193</f>
        <v>1118598.95</v>
      </c>
      <c r="N5" s="1266">
        <f>O5/M5</f>
        <v>0.68704414571460115</v>
      </c>
      <c r="O5" s="1267">
        <f>Print_AAD!L193</f>
        <v>768526.85999999987</v>
      </c>
      <c r="P5" s="1282"/>
      <c r="Q5" s="1262" t="s">
        <v>3322</v>
      </c>
      <c r="R5" s="1268">
        <f>Print_AAD!J184</f>
        <v>4548</v>
      </c>
      <c r="S5" s="1263">
        <f>Print_AAD!K184/Print_AAD!J184</f>
        <v>223.49409630606857</v>
      </c>
      <c r="T5" s="1264">
        <f>+R5*S5</f>
        <v>1016451.1499999999</v>
      </c>
      <c r="U5" s="1282"/>
    </row>
    <row r="6" spans="1:21">
      <c r="A6" s="1282"/>
      <c r="B6" s="1284" t="s">
        <v>6</v>
      </c>
      <c r="C6" s="1285">
        <f>Print_AAD!G27</f>
        <v>330.64429348239992</v>
      </c>
      <c r="D6" s="1286">
        <f>Print_AAD!I27/Print_AAD!G27</f>
        <v>2829.4591873904283</v>
      </c>
      <c r="E6" s="1287">
        <f>+C6*D6</f>
        <v>935544.53395199357</v>
      </c>
      <c r="F6" s="1282"/>
      <c r="G6" s="1284" t="s">
        <v>6</v>
      </c>
      <c r="H6" s="1285">
        <f>Print_AAD!G107</f>
        <v>358.42338001831899</v>
      </c>
      <c r="I6" s="1286">
        <f>Print_AAD!I107/Print_AAD!G107</f>
        <v>1773.5940903255239</v>
      </c>
      <c r="J6" s="1287">
        <f>+H6*I6</f>
        <v>635697.58863499004</v>
      </c>
      <c r="K6" s="1282"/>
      <c r="L6" s="1284" t="s">
        <v>6</v>
      </c>
      <c r="M6" s="1288">
        <f>Print_AAD!H193</f>
        <v>1290089.8796919889</v>
      </c>
      <c r="N6" s="1269">
        <f>O6/M6</f>
        <v>0.66999952332263923</v>
      </c>
      <c r="O6" s="1289">
        <f>Print_AAD!I193</f>
        <v>864359.6044369936</v>
      </c>
      <c r="P6" s="1282"/>
      <c r="Q6" s="1284" t="s">
        <v>6</v>
      </c>
      <c r="R6" s="1310">
        <f>Print_AAD!G184</f>
        <v>5154.5601311991959</v>
      </c>
      <c r="S6" s="1286">
        <f>Print_AAD!H184/Print_AAD!G184</f>
        <v>225.37267276497846</v>
      </c>
      <c r="T6" s="1287">
        <f>+R6*S6</f>
        <v>1161696.9936961608</v>
      </c>
      <c r="U6" s="1282"/>
    </row>
    <row r="7" spans="1:21" ht="15" thickBot="1">
      <c r="A7" s="1282"/>
      <c r="B7" s="1290" t="s">
        <v>3321</v>
      </c>
      <c r="C7" s="1291">
        <f>+C5-C6</f>
        <v>-149.64429348239992</v>
      </c>
      <c r="D7" s="1292">
        <f t="shared" ref="D7:E7" si="0">+D5-D6</f>
        <v>1814.4721938250341</v>
      </c>
      <c r="E7" s="1270">
        <f t="shared" si="0"/>
        <v>-94992.953951994888</v>
      </c>
      <c r="F7" s="1282"/>
      <c r="G7" s="1290" t="s">
        <v>3321</v>
      </c>
      <c r="H7" s="1291">
        <f>+H5-H6</f>
        <v>-90.423380018318994</v>
      </c>
      <c r="I7" s="1292">
        <f t="shared" ref="I7:J7" si="1">+I5-I6</f>
        <v>1361.5001634058187</v>
      </c>
      <c r="J7" s="1270">
        <f t="shared" si="1"/>
        <v>204507.67136500974</v>
      </c>
      <c r="K7" s="1282"/>
      <c r="L7" s="1290" t="s">
        <v>3321</v>
      </c>
      <c r="M7" s="1293">
        <f>+M5-M6</f>
        <v>-171490.92969198897</v>
      </c>
      <c r="N7" s="1294">
        <f t="shared" ref="N7:O7" si="2">+N5-N6</f>
        <v>1.7044622391961917E-2</v>
      </c>
      <c r="O7" s="1271">
        <f t="shared" si="2"/>
        <v>-95832.744436993729</v>
      </c>
      <c r="P7" s="1282"/>
      <c r="Q7" s="1290" t="s">
        <v>3321</v>
      </c>
      <c r="R7" s="1311">
        <f>+R5-R6</f>
        <v>-606.56013119919589</v>
      </c>
      <c r="S7" s="1292">
        <f t="shared" ref="S7:T7" si="3">+S5-S6</f>
        <v>-1.8785764589098903</v>
      </c>
      <c r="T7" s="1272">
        <f t="shared" si="3"/>
        <v>-145245.84369616094</v>
      </c>
      <c r="U7" s="1282"/>
    </row>
    <row r="8" spans="1:21" ht="15" thickTop="1">
      <c r="A8" s="1282"/>
      <c r="B8" s="1282"/>
      <c r="C8" s="1273">
        <f>+C7/C6</f>
        <v>-0.45258392911101436</v>
      </c>
      <c r="D8" s="1273">
        <f>+D7/D6</f>
        <v>0.64127880052530362</v>
      </c>
      <c r="E8" s="1287"/>
      <c r="F8" s="1282"/>
      <c r="G8" s="1282"/>
      <c r="H8" s="1273">
        <f>+H7/H6</f>
        <v>-0.25228091988222828</v>
      </c>
      <c r="I8" s="1273">
        <f>+I7/I6</f>
        <v>0.76765037210736886</v>
      </c>
      <c r="J8" s="1287"/>
      <c r="K8" s="1282"/>
      <c r="L8" s="1282"/>
      <c r="M8" s="1273">
        <f>+M7/M6</f>
        <v>-0.13292944343764074</v>
      </c>
      <c r="N8" s="1273">
        <f>+N7/N6</f>
        <v>2.5439753012710807E-2</v>
      </c>
      <c r="O8" s="1296"/>
      <c r="P8" s="1282"/>
      <c r="Q8" s="1282"/>
      <c r="R8" s="1273">
        <f>+R7/R6</f>
        <v>-0.11767446993737585</v>
      </c>
      <c r="S8" s="1273">
        <f>+S7/S6</f>
        <v>-8.3354225508471217E-3</v>
      </c>
      <c r="T8" s="1287"/>
      <c r="U8" s="1282"/>
    </row>
    <row r="9" spans="1:21">
      <c r="A9" s="1282"/>
      <c r="B9" s="1283" t="s">
        <v>3323</v>
      </c>
      <c r="C9" s="1282"/>
      <c r="D9" s="1287"/>
      <c r="E9" s="1287"/>
      <c r="F9" s="1282"/>
      <c r="G9" s="1283" t="s">
        <v>3323</v>
      </c>
      <c r="H9" s="1295"/>
      <c r="I9" s="1287"/>
      <c r="J9" s="1287"/>
      <c r="K9" s="1282"/>
      <c r="L9" s="1283" t="s">
        <v>3323</v>
      </c>
      <c r="M9" s="1287"/>
      <c r="N9" s="1297"/>
      <c r="O9" s="1296"/>
      <c r="P9" s="1282"/>
      <c r="Q9" s="1283" t="s">
        <v>3323</v>
      </c>
      <c r="R9" s="1282"/>
      <c r="S9" s="1287"/>
      <c r="T9" s="1287"/>
      <c r="U9" s="1282"/>
    </row>
    <row r="10" spans="1:21">
      <c r="A10" s="1282"/>
      <c r="B10" s="1284" t="s">
        <v>3324</v>
      </c>
      <c r="C10" s="1280">
        <f>+C5</f>
        <v>181</v>
      </c>
      <c r="D10" s="1264">
        <f>+D5</f>
        <v>4643.9313812154624</v>
      </c>
      <c r="E10" s="1287">
        <f>+C10*D10</f>
        <v>840551.57999999868</v>
      </c>
      <c r="F10" s="1282"/>
      <c r="G10" s="1284" t="s">
        <v>3324</v>
      </c>
      <c r="H10" s="1280">
        <f>+H5</f>
        <v>268</v>
      </c>
      <c r="I10" s="1264">
        <f>+I5</f>
        <v>3135.0942537313426</v>
      </c>
      <c r="J10" s="1287">
        <f>+H10*I10</f>
        <v>840205.25999999978</v>
      </c>
      <c r="K10" s="1282"/>
      <c r="L10" s="1284" t="s">
        <v>3324</v>
      </c>
      <c r="M10" s="1274">
        <f>+M5</f>
        <v>1118598.95</v>
      </c>
      <c r="N10" s="1275">
        <f>+N5</f>
        <v>0.68704414571460115</v>
      </c>
      <c r="O10" s="1296">
        <f>+M10*N10</f>
        <v>768526.85999999987</v>
      </c>
      <c r="P10" s="1282"/>
      <c r="Q10" s="1284" t="s">
        <v>3324</v>
      </c>
      <c r="R10" s="1276">
        <f>+R5</f>
        <v>4548</v>
      </c>
      <c r="S10" s="1264">
        <f>+S5</f>
        <v>223.49409630606857</v>
      </c>
      <c r="T10" s="1287">
        <f>+R10*S10</f>
        <v>1016451.1499999999</v>
      </c>
      <c r="U10" s="1282"/>
    </row>
    <row r="11" spans="1:21">
      <c r="A11" s="1282"/>
      <c r="B11" s="1284" t="s">
        <v>3325</v>
      </c>
      <c r="C11" s="1280">
        <f>+C5</f>
        <v>181</v>
      </c>
      <c r="D11" s="1287">
        <f>+D6</f>
        <v>2829.4591873904283</v>
      </c>
      <c r="E11" s="1287">
        <f>C11*D11</f>
        <v>512132.11291766749</v>
      </c>
      <c r="F11" s="1282"/>
      <c r="G11" s="1284" t="s">
        <v>3325</v>
      </c>
      <c r="H11" s="1280">
        <f>+H5</f>
        <v>268</v>
      </c>
      <c r="I11" s="1287">
        <f>+I6</f>
        <v>1773.5940903255239</v>
      </c>
      <c r="J11" s="1287">
        <f>H11*I11</f>
        <v>475323.21620724042</v>
      </c>
      <c r="K11" s="1282"/>
      <c r="L11" s="1284" t="s">
        <v>3325</v>
      </c>
      <c r="M11" s="1274">
        <f>+M5</f>
        <v>1118598.95</v>
      </c>
      <c r="N11" s="1298">
        <f>+N6</f>
        <v>0.66999952332263923</v>
      </c>
      <c r="O11" s="1296">
        <f>M11*N11</f>
        <v>749460.76328920468</v>
      </c>
      <c r="P11" s="1282"/>
      <c r="Q11" s="1284" t="s">
        <v>3325</v>
      </c>
      <c r="R11" s="1276">
        <f>+R5</f>
        <v>4548</v>
      </c>
      <c r="S11" s="1287">
        <f>+S6</f>
        <v>225.37267276497846</v>
      </c>
      <c r="T11" s="1287">
        <f>R11*S11</f>
        <v>1024994.915735122</v>
      </c>
      <c r="U11" s="1282"/>
    </row>
    <row r="12" spans="1:21" ht="15" thickBot="1">
      <c r="A12" s="1282"/>
      <c r="B12" s="1290" t="s">
        <v>3323</v>
      </c>
      <c r="C12" s="1291">
        <f>+C10-C11</f>
        <v>0</v>
      </c>
      <c r="D12" s="1292">
        <f t="shared" ref="D12:E12" si="4">+D10-D11</f>
        <v>1814.4721938250341</v>
      </c>
      <c r="E12" s="1270">
        <f t="shared" si="4"/>
        <v>328419.46708233119</v>
      </c>
      <c r="F12" s="1282"/>
      <c r="G12" s="1290" t="s">
        <v>3323</v>
      </c>
      <c r="H12" s="1291">
        <f>+H10-H11</f>
        <v>0</v>
      </c>
      <c r="I12" s="1292">
        <f t="shared" ref="I12:J12" si="5">+I10-I11</f>
        <v>1361.5001634058187</v>
      </c>
      <c r="J12" s="1270">
        <f t="shared" si="5"/>
        <v>364882.04379275936</v>
      </c>
      <c r="K12" s="1282"/>
      <c r="L12" s="1290" t="s">
        <v>3323</v>
      </c>
      <c r="M12" s="1293">
        <f>+M10-M11</f>
        <v>0</v>
      </c>
      <c r="N12" s="1294">
        <f t="shared" ref="N12:O12" si="6">+N10-N11</f>
        <v>1.7044622391961917E-2</v>
      </c>
      <c r="O12" s="1271">
        <f t="shared" si="6"/>
        <v>19066.096710795187</v>
      </c>
      <c r="P12" s="1282"/>
      <c r="Q12" s="1290" t="s">
        <v>3323</v>
      </c>
      <c r="R12" s="1311">
        <f>+R10-R11</f>
        <v>0</v>
      </c>
      <c r="S12" s="1292">
        <f t="shared" ref="S12:T12" si="7">+S10-S11</f>
        <v>-1.8785764589098903</v>
      </c>
      <c r="T12" s="1272">
        <f t="shared" si="7"/>
        <v>-8543.7657351221424</v>
      </c>
      <c r="U12" s="1282"/>
    </row>
    <row r="13" spans="1:21" ht="15" thickTop="1">
      <c r="A13" s="1282"/>
      <c r="B13" s="1284"/>
      <c r="C13" s="1295"/>
      <c r="D13" s="1287"/>
      <c r="E13" s="1287"/>
      <c r="F13" s="1282"/>
      <c r="G13" s="1284"/>
      <c r="H13" s="1295"/>
      <c r="I13" s="1287"/>
      <c r="J13" s="1287"/>
      <c r="K13" s="1282"/>
      <c r="L13" s="1284"/>
      <c r="M13" s="1287"/>
      <c r="N13" s="1299"/>
      <c r="O13" s="1300"/>
      <c r="P13" s="1282"/>
      <c r="Q13" s="1284"/>
      <c r="R13" s="1282"/>
      <c r="S13" s="1287"/>
      <c r="T13" s="1287"/>
      <c r="U13" s="1282"/>
    </row>
    <row r="14" spans="1:21">
      <c r="A14" s="1282"/>
      <c r="B14" s="1283" t="s">
        <v>3326</v>
      </c>
      <c r="C14" s="1295"/>
      <c r="D14" s="1287"/>
      <c r="E14" s="1287"/>
      <c r="F14" s="1282"/>
      <c r="G14" s="1283" t="s">
        <v>3326</v>
      </c>
      <c r="H14" s="1295"/>
      <c r="I14" s="1287"/>
      <c r="J14" s="1287"/>
      <c r="K14" s="1282"/>
      <c r="L14" s="1283" t="s">
        <v>3326</v>
      </c>
      <c r="M14" s="1287"/>
      <c r="N14" s="1298"/>
      <c r="O14" s="1296"/>
      <c r="P14" s="1282"/>
      <c r="Q14" s="1283" t="s">
        <v>3326</v>
      </c>
      <c r="R14" s="1282"/>
      <c r="S14" s="1287"/>
      <c r="T14" s="1287"/>
      <c r="U14" s="1282"/>
    </row>
    <row r="15" spans="1:21">
      <c r="A15" s="1282"/>
      <c r="B15" s="1284" t="s">
        <v>3327</v>
      </c>
      <c r="C15" s="1280">
        <f>+C5</f>
        <v>181</v>
      </c>
      <c r="D15" s="1287">
        <f>+D6</f>
        <v>2829.4591873904283</v>
      </c>
      <c r="E15" s="1287">
        <f>+C15*D15</f>
        <v>512132.11291766749</v>
      </c>
      <c r="F15" s="1282"/>
      <c r="G15" s="1284" t="s">
        <v>3327</v>
      </c>
      <c r="H15" s="1280">
        <f>+H5</f>
        <v>268</v>
      </c>
      <c r="I15" s="1287">
        <f>+I6</f>
        <v>1773.5940903255239</v>
      </c>
      <c r="J15" s="1287">
        <f>+H15*I15</f>
        <v>475323.21620724042</v>
      </c>
      <c r="K15" s="1282"/>
      <c r="L15" s="1284" t="s">
        <v>3327</v>
      </c>
      <c r="M15" s="1274">
        <f>+M5</f>
        <v>1118598.95</v>
      </c>
      <c r="N15" s="1298">
        <f>+N6</f>
        <v>0.66999952332263923</v>
      </c>
      <c r="O15" s="1296">
        <f>+M15*N15</f>
        <v>749460.76328920468</v>
      </c>
      <c r="P15" s="1282"/>
      <c r="Q15" s="1284" t="s">
        <v>3327</v>
      </c>
      <c r="R15" s="1276">
        <f>+R5</f>
        <v>4548</v>
      </c>
      <c r="S15" s="1287">
        <f>+S6</f>
        <v>225.37267276497846</v>
      </c>
      <c r="T15" s="1287">
        <f>+R15*S15</f>
        <v>1024994.915735122</v>
      </c>
      <c r="U15" s="1282"/>
    </row>
    <row r="16" spans="1:21">
      <c r="A16" s="1282"/>
      <c r="B16" s="1284" t="s">
        <v>3328</v>
      </c>
      <c r="C16" s="1301">
        <f>+C6</f>
        <v>330.64429348239992</v>
      </c>
      <c r="D16" s="1287">
        <f>+D6</f>
        <v>2829.4591873904283</v>
      </c>
      <c r="E16" s="1287">
        <f>C16*D16</f>
        <v>935544.53395199357</v>
      </c>
      <c r="F16" s="1282"/>
      <c r="G16" s="1284" t="s">
        <v>3328</v>
      </c>
      <c r="H16" s="1301">
        <f>+H6</f>
        <v>358.42338001831899</v>
      </c>
      <c r="I16" s="1287">
        <f>+I6</f>
        <v>1773.5940903255239</v>
      </c>
      <c r="J16" s="1287">
        <f>H16*I16</f>
        <v>635697.58863499004</v>
      </c>
      <c r="K16" s="1282"/>
      <c r="L16" s="1284" t="s">
        <v>3328</v>
      </c>
      <c r="M16" s="1302">
        <f>+M6</f>
        <v>1290089.8796919889</v>
      </c>
      <c r="N16" s="1298">
        <f>+N6</f>
        <v>0.66999952332263923</v>
      </c>
      <c r="O16" s="1296">
        <f>M16*N16</f>
        <v>864359.6044369936</v>
      </c>
      <c r="P16" s="1282"/>
      <c r="Q16" s="1284" t="s">
        <v>3328</v>
      </c>
      <c r="R16" s="1312">
        <f>+R6</f>
        <v>5154.5601311991959</v>
      </c>
      <c r="S16" s="1287">
        <f>+S6</f>
        <v>225.37267276497846</v>
      </c>
      <c r="T16" s="1287">
        <f>R16*S16</f>
        <v>1161696.9936961608</v>
      </c>
      <c r="U16" s="1282"/>
    </row>
    <row r="17" spans="1:21" ht="15" thickBot="1">
      <c r="A17" s="1282"/>
      <c r="B17" s="1290" t="s">
        <v>3326</v>
      </c>
      <c r="C17" s="1291">
        <f>+C15-C16</f>
        <v>-149.64429348239992</v>
      </c>
      <c r="D17" s="1292">
        <f t="shared" ref="D17:E17" si="8">+D15-D16</f>
        <v>0</v>
      </c>
      <c r="E17" s="1270">
        <f t="shared" si="8"/>
        <v>-423412.42103432608</v>
      </c>
      <c r="F17" s="1282"/>
      <c r="G17" s="1290" t="s">
        <v>3326</v>
      </c>
      <c r="H17" s="1291">
        <f>+H15-H16</f>
        <v>-90.423380018318994</v>
      </c>
      <c r="I17" s="1292">
        <f t="shared" ref="I17:J17" si="9">+I15-I16</f>
        <v>0</v>
      </c>
      <c r="J17" s="1270">
        <f t="shared" si="9"/>
        <v>-160374.37242774962</v>
      </c>
      <c r="K17" s="1282"/>
      <c r="L17" s="1290" t="s">
        <v>3326</v>
      </c>
      <c r="M17" s="1293">
        <f>+M15-M16</f>
        <v>-171490.92969198897</v>
      </c>
      <c r="N17" s="1294">
        <f t="shared" ref="N17:O17" si="10">+N15-N16</f>
        <v>0</v>
      </c>
      <c r="O17" s="1271">
        <f t="shared" si="10"/>
        <v>-114898.84114778892</v>
      </c>
      <c r="P17" s="1282"/>
      <c r="Q17" s="1290" t="s">
        <v>3326</v>
      </c>
      <c r="R17" s="1311">
        <f>+R15-R16</f>
        <v>-606.56013119919589</v>
      </c>
      <c r="S17" s="1292">
        <f t="shared" ref="S17:T17" si="11">+S15-S16</f>
        <v>0</v>
      </c>
      <c r="T17" s="1272">
        <f t="shared" si="11"/>
        <v>-136702.0779610388</v>
      </c>
      <c r="U17" s="1282"/>
    </row>
    <row r="18" spans="1:21" ht="15" thickTop="1">
      <c r="A18" s="1282"/>
      <c r="B18" s="1282"/>
      <c r="C18" s="1295"/>
      <c r="D18" s="1287"/>
      <c r="E18" s="1277">
        <f>+E7-E12-E17</f>
        <v>0</v>
      </c>
      <c r="F18" s="1282"/>
      <c r="G18" s="1282"/>
      <c r="H18" s="1295"/>
      <c r="I18" s="1287"/>
      <c r="J18" s="1277">
        <f>+J7-J12-J17</f>
        <v>0</v>
      </c>
      <c r="K18" s="1282"/>
      <c r="L18" s="1282"/>
      <c r="M18" s="1287"/>
      <c r="N18" s="1298"/>
      <c r="O18" s="1278">
        <f>+O7-O12-O17</f>
        <v>0</v>
      </c>
      <c r="P18" s="1282"/>
      <c r="Q18" s="1282"/>
      <c r="R18" s="1282"/>
      <c r="S18" s="1287"/>
      <c r="T18" s="1277">
        <f>+T7-T12-T17</f>
        <v>0</v>
      </c>
      <c r="U18" s="1282"/>
    </row>
    <row r="19" spans="1:21">
      <c r="A19" s="1282"/>
      <c r="B19" s="1303" t="s">
        <v>3329</v>
      </c>
      <c r="C19" s="1295"/>
      <c r="D19" s="1287"/>
      <c r="E19" s="1287"/>
      <c r="F19" s="1282"/>
      <c r="G19" s="1303" t="s">
        <v>3329</v>
      </c>
      <c r="H19" s="1295"/>
      <c r="I19" s="1287"/>
      <c r="J19" s="1287"/>
      <c r="K19" s="1282"/>
      <c r="L19" s="1303" t="s">
        <v>3329</v>
      </c>
      <c r="M19" s="1287"/>
      <c r="N19" s="1298"/>
      <c r="O19" s="1296"/>
      <c r="P19" s="1282"/>
      <c r="Q19" s="1303" t="s">
        <v>3329</v>
      </c>
      <c r="R19" s="1282"/>
      <c r="S19" s="1287"/>
      <c r="T19" s="1287"/>
      <c r="U19" s="1282"/>
    </row>
    <row r="20" spans="1:21">
      <c r="A20" s="1282"/>
      <c r="B20" s="1284" t="s">
        <v>3330</v>
      </c>
      <c r="C20" s="1301">
        <f>MAX(C5:C6)</f>
        <v>330.64429348239992</v>
      </c>
      <c r="D20" s="1287">
        <f>MAX(D5:D6)</f>
        <v>4643.9313812154624</v>
      </c>
      <c r="E20" s="1287">
        <f t="shared" ref="E20:E22" si="12">+C20*D20</f>
        <v>1535489.4105227322</v>
      </c>
      <c r="F20" s="1282"/>
      <c r="G20" s="1284" t="s">
        <v>3330</v>
      </c>
      <c r="H20" s="1301">
        <f>MAX(H5:H6)</f>
        <v>358.42338001831899</v>
      </c>
      <c r="I20" s="1287">
        <f>MAX(I5:I6)</f>
        <v>3135.0942537313426</v>
      </c>
      <c r="J20" s="1287">
        <f t="shared" ref="J20" si="13">+H20*I20</f>
        <v>1123691.0790983972</v>
      </c>
      <c r="K20" s="1282"/>
      <c r="L20" s="1284" t="s">
        <v>3330</v>
      </c>
      <c r="M20" s="1302">
        <f>MAX(M5:M6)</f>
        <v>1290089.8796919889</v>
      </c>
      <c r="N20" s="1298">
        <f>MAX(N5:N6)</f>
        <v>0.68704414571460115</v>
      </c>
      <c r="O20" s="1296">
        <f t="shared" ref="O20" si="14">+M20*N20</f>
        <v>886348.69928803516</v>
      </c>
      <c r="P20" s="1282"/>
      <c r="Q20" s="1284" t="s">
        <v>3330</v>
      </c>
      <c r="R20" s="1312">
        <f>MAX(R5:R6)</f>
        <v>5154.5601311991959</v>
      </c>
      <c r="S20" s="1287">
        <f>MAX(S5:S6)</f>
        <v>225.37267276497846</v>
      </c>
      <c r="T20" s="1287">
        <f t="shared" ref="T20" si="15">+R20*S20</f>
        <v>1161696.9936961608</v>
      </c>
      <c r="U20" s="1282"/>
    </row>
    <row r="21" spans="1:21">
      <c r="A21" s="1282"/>
      <c r="B21" s="1290" t="s">
        <v>3331</v>
      </c>
      <c r="C21" s="1301"/>
      <c r="D21" s="1287"/>
      <c r="E21" s="1304">
        <f>AVERAGE(E20,E22)</f>
        <v>1023810.7617201998</v>
      </c>
      <c r="F21" s="1282"/>
      <c r="G21" s="1290" t="s">
        <v>3331</v>
      </c>
      <c r="H21" s="1301"/>
      <c r="I21" s="1287"/>
      <c r="J21" s="1304">
        <f>AVERAGE(J20,J22)</f>
        <v>799507.14765281882</v>
      </c>
      <c r="K21" s="1282"/>
      <c r="L21" s="1290" t="s">
        <v>3331</v>
      </c>
      <c r="M21" s="1302"/>
      <c r="N21" s="1298"/>
      <c r="O21" s="1305">
        <f>AVERAGE(O20,O22)</f>
        <v>817904.73128861992</v>
      </c>
      <c r="P21" s="1282"/>
      <c r="Q21" s="1290" t="s">
        <v>3331</v>
      </c>
      <c r="R21" s="1312"/>
      <c r="S21" s="1287"/>
      <c r="T21" s="1304">
        <f>AVERAGE(T20,T22)</f>
        <v>1089074.0718480805</v>
      </c>
      <c r="U21" s="1282"/>
    </row>
    <row r="22" spans="1:21">
      <c r="A22" s="1282"/>
      <c r="B22" s="1284" t="s">
        <v>3332</v>
      </c>
      <c r="C22" s="1301">
        <f>MIN(C5:C6)</f>
        <v>181</v>
      </c>
      <c r="D22" s="1287">
        <f>MIN(D5:D6)</f>
        <v>2829.4591873904283</v>
      </c>
      <c r="E22" s="1287">
        <f t="shared" si="12"/>
        <v>512132.11291766749</v>
      </c>
      <c r="F22" s="1282"/>
      <c r="G22" s="1284" t="s">
        <v>3332</v>
      </c>
      <c r="H22" s="1301">
        <f>MIN(H5:H6)</f>
        <v>268</v>
      </c>
      <c r="I22" s="1287">
        <f>MIN(I5:I6)</f>
        <v>1773.5940903255239</v>
      </c>
      <c r="J22" s="1287">
        <f t="shared" ref="J22" si="16">+H22*I22</f>
        <v>475323.21620724042</v>
      </c>
      <c r="K22" s="1282"/>
      <c r="L22" s="1284" t="s">
        <v>3332</v>
      </c>
      <c r="M22" s="1302">
        <f>MIN(M5:M6)</f>
        <v>1118598.95</v>
      </c>
      <c r="N22" s="1298">
        <f>MIN(N5:N6)</f>
        <v>0.66999952332263923</v>
      </c>
      <c r="O22" s="1296">
        <f t="shared" ref="O22" si="17">+M22*N22</f>
        <v>749460.76328920468</v>
      </c>
      <c r="P22" s="1282"/>
      <c r="Q22" s="1284" t="s">
        <v>3332</v>
      </c>
      <c r="R22" s="1312">
        <f>MIN(R5:R6)</f>
        <v>4548</v>
      </c>
      <c r="S22" s="1287">
        <f>MIN(S5:S6)</f>
        <v>223.49409630606857</v>
      </c>
      <c r="T22" s="1287">
        <f t="shared" ref="T22" si="18">+R22*S22</f>
        <v>1016451.1499999999</v>
      </c>
      <c r="U22" s="1282"/>
    </row>
    <row r="23" spans="1:21" ht="15" thickBot="1">
      <c r="A23" s="1282"/>
      <c r="B23" s="1290" t="s">
        <v>3333</v>
      </c>
      <c r="C23" s="1291">
        <f>+C20-C22</f>
        <v>149.64429348239992</v>
      </c>
      <c r="D23" s="1292">
        <f t="shared" ref="D23:E23" si="19">+D20-D22</f>
        <v>1814.4721938250341</v>
      </c>
      <c r="E23" s="1292">
        <f t="shared" si="19"/>
        <v>1023357.2976050647</v>
      </c>
      <c r="F23" s="1282"/>
      <c r="G23" s="1290" t="s">
        <v>3333</v>
      </c>
      <c r="H23" s="1291">
        <f>+H20-H22</f>
        <v>90.423380018318994</v>
      </c>
      <c r="I23" s="1292">
        <f t="shared" ref="I23:J23" si="20">+I20-I22</f>
        <v>1361.5001634058187</v>
      </c>
      <c r="J23" s="1292">
        <f t="shared" si="20"/>
        <v>648367.86289115669</v>
      </c>
      <c r="K23" s="1282"/>
      <c r="L23" s="1290" t="s">
        <v>3333</v>
      </c>
      <c r="M23" s="1293">
        <f>+M20-M22</f>
        <v>171490.92969198897</v>
      </c>
      <c r="N23" s="1294">
        <f t="shared" ref="N23:O23" si="21">+N20-N22</f>
        <v>1.7044622391961917E-2</v>
      </c>
      <c r="O23" s="1306">
        <f t="shared" si="21"/>
        <v>136887.93599883048</v>
      </c>
      <c r="P23" s="1282"/>
      <c r="Q23" s="1290" t="s">
        <v>3333</v>
      </c>
      <c r="R23" s="1311">
        <f>+R20-R22</f>
        <v>606.56013119919589</v>
      </c>
      <c r="S23" s="1292">
        <f t="shared" ref="S23:T23" si="22">+S20-S22</f>
        <v>1.8785764589098903</v>
      </c>
      <c r="T23" s="1292">
        <f t="shared" si="22"/>
        <v>145245.84369616094</v>
      </c>
      <c r="U23" s="1282"/>
    </row>
    <row r="24" spans="1:21" ht="15" thickTop="1">
      <c r="A24" s="1282"/>
      <c r="B24" s="1282"/>
      <c r="C24" s="1282"/>
      <c r="D24" s="1282"/>
      <c r="E24" s="1282"/>
      <c r="F24" s="1282"/>
      <c r="G24" s="1282"/>
      <c r="H24" s="1282"/>
      <c r="I24" s="1282"/>
      <c r="J24" s="1282"/>
      <c r="K24" s="1282"/>
      <c r="L24" s="1282"/>
      <c r="M24" s="1282"/>
      <c r="N24" s="1282"/>
      <c r="O24" s="1282"/>
      <c r="P24" s="1282"/>
      <c r="Q24" s="1282"/>
      <c r="R24" s="1282"/>
      <c r="S24" s="1282"/>
      <c r="T24" s="1282"/>
      <c r="U24" s="1282"/>
    </row>
    <row r="25" spans="1:21">
      <c r="A25" s="1282"/>
      <c r="B25" s="1282"/>
      <c r="C25" s="1307" t="s">
        <v>3334</v>
      </c>
      <c r="D25" s="1282"/>
      <c r="E25" s="1308">
        <f>+E5/E20</f>
        <v>0.54741607088898558</v>
      </c>
      <c r="F25" s="1282"/>
      <c r="G25" s="1282"/>
      <c r="H25" s="1307" t="s">
        <v>3334</v>
      </c>
      <c r="I25" s="1282"/>
      <c r="J25" s="1308">
        <f>+J5/J20</f>
        <v>0.74771908011777166</v>
      </c>
      <c r="K25" s="1282"/>
      <c r="L25" s="1282"/>
      <c r="M25" s="1307" t="s">
        <v>3334</v>
      </c>
      <c r="N25" s="1282"/>
      <c r="O25" s="1308">
        <f>+O5/O20</f>
        <v>0.86707055656235932</v>
      </c>
      <c r="P25" s="1282"/>
      <c r="Q25" s="1308"/>
      <c r="R25" s="1307" t="s">
        <v>3334</v>
      </c>
      <c r="S25" s="1282"/>
      <c r="T25" s="1308">
        <f>+T5/T20</f>
        <v>0.87497097394215206</v>
      </c>
      <c r="U25" s="1282"/>
    </row>
    <row r="26" spans="1:21">
      <c r="A26" s="1282"/>
      <c r="B26" s="1282"/>
      <c r="C26" s="1307" t="s">
        <v>3335</v>
      </c>
      <c r="D26" s="1282"/>
      <c r="E26" s="1298">
        <f>+E5/E21</f>
        <v>0.82100287614452272</v>
      </c>
      <c r="F26" s="1282"/>
      <c r="G26" s="1282"/>
      <c r="H26" s="1307" t="s">
        <v>3335</v>
      </c>
      <c r="I26" s="1282"/>
      <c r="J26" s="1298">
        <f>+J5/J21</f>
        <v>1.050904000629215</v>
      </c>
      <c r="K26" s="1282"/>
      <c r="L26" s="1282"/>
      <c r="M26" s="1307" t="s">
        <v>3335</v>
      </c>
      <c r="N26" s="1282"/>
      <c r="O26" s="1298">
        <f>+O5/O21</f>
        <v>0.93962882301606865</v>
      </c>
      <c r="P26" s="1282"/>
      <c r="Q26" s="1298"/>
      <c r="R26" s="1307" t="s">
        <v>3335</v>
      </c>
      <c r="S26" s="1282"/>
      <c r="T26" s="1298">
        <f>+T5/T21</f>
        <v>0.93331682047590692</v>
      </c>
      <c r="U26" s="1282"/>
    </row>
    <row r="27" spans="1:21">
      <c r="A27" s="1282"/>
      <c r="B27" s="1282"/>
      <c r="C27" s="1307" t="s">
        <v>3336</v>
      </c>
      <c r="D27" s="1282"/>
      <c r="E27" s="1308">
        <f>+E5/E22</f>
        <v>1.6412788005253036</v>
      </c>
      <c r="F27" s="1282"/>
      <c r="G27" s="1282"/>
      <c r="H27" s="1307" t="s">
        <v>3336</v>
      </c>
      <c r="I27" s="1282"/>
      <c r="J27" s="1308">
        <f>+J5/J22</f>
        <v>1.7676503721073686</v>
      </c>
      <c r="K27" s="1282"/>
      <c r="L27" s="1282"/>
      <c r="M27" s="1307" t="s">
        <v>3336</v>
      </c>
      <c r="N27" s="1282"/>
      <c r="O27" s="1308">
        <f>+O5/O22</f>
        <v>1.0254397530127108</v>
      </c>
      <c r="P27" s="1282"/>
      <c r="Q27" s="1308"/>
      <c r="R27" s="1307" t="s">
        <v>3336</v>
      </c>
      <c r="S27" s="1282"/>
      <c r="T27" s="1308">
        <f>+T5/T22</f>
        <v>1</v>
      </c>
      <c r="U27" s="1282"/>
    </row>
    <row r="28" spans="1:21">
      <c r="A28" s="1282"/>
      <c r="B28" s="1282"/>
      <c r="C28" s="1282"/>
      <c r="D28" s="1282"/>
      <c r="E28" s="1282"/>
      <c r="F28" s="1282"/>
      <c r="G28" s="1282"/>
      <c r="H28" s="1282"/>
      <c r="I28" s="1282"/>
      <c r="J28" s="1282"/>
      <c r="K28" s="1282"/>
      <c r="L28" s="1282"/>
      <c r="M28" s="1282"/>
      <c r="N28" s="1282"/>
      <c r="O28" s="1282"/>
      <c r="P28" s="1282"/>
      <c r="Q28" s="1282"/>
      <c r="R28" s="1282"/>
      <c r="S28" s="1282"/>
      <c r="T28" s="1282"/>
      <c r="U28" s="1282"/>
    </row>
    <row r="29" spans="1:21">
      <c r="A29" s="1282"/>
      <c r="B29" s="1282"/>
      <c r="C29" s="1307" t="s">
        <v>3337</v>
      </c>
      <c r="D29" s="1282"/>
      <c r="E29" s="1308">
        <f>+E27-E25</f>
        <v>1.0938627296363181</v>
      </c>
      <c r="F29" s="1309"/>
      <c r="G29" s="1309"/>
      <c r="H29" s="1307" t="s">
        <v>3337</v>
      </c>
      <c r="I29" s="1282"/>
      <c r="J29" s="1308">
        <f>+J27-J25</f>
        <v>1.0199312919895971</v>
      </c>
      <c r="K29" s="1282"/>
      <c r="L29" s="1282"/>
      <c r="M29" s="1307" t="s">
        <v>3337</v>
      </c>
      <c r="N29" s="1282"/>
      <c r="O29" s="1308">
        <f>+O27-O25</f>
        <v>0.15836919645035152</v>
      </c>
      <c r="P29" s="1282"/>
      <c r="Q29" s="1309"/>
      <c r="R29" s="1307" t="s">
        <v>3337</v>
      </c>
      <c r="S29" s="1282"/>
      <c r="T29" s="1308">
        <f>+T27-T25</f>
        <v>0.12502902605784794</v>
      </c>
      <c r="U29" s="1282"/>
    </row>
    <row r="30" spans="1:21">
      <c r="A30" s="1282"/>
      <c r="B30" s="1282"/>
      <c r="C30" s="1282"/>
      <c r="D30" s="1282"/>
      <c r="E30" s="1282"/>
      <c r="F30" s="1282"/>
      <c r="G30" s="1282"/>
      <c r="H30" s="1282"/>
      <c r="I30" s="1282"/>
      <c r="J30" s="1282"/>
      <c r="K30" s="1282"/>
      <c r="L30" s="1282"/>
      <c r="M30" s="1282"/>
      <c r="N30" s="1282"/>
      <c r="O30" s="1282"/>
      <c r="P30" s="1282"/>
      <c r="Q30" s="1282"/>
      <c r="R30" s="1282"/>
      <c r="S30" s="1282"/>
      <c r="T30" s="1282"/>
      <c r="U30" s="1282"/>
    </row>
    <row r="31" spans="1:21">
      <c r="A31" s="1282"/>
      <c r="B31" s="1406" t="s">
        <v>3448</v>
      </c>
      <c r="C31" s="1407"/>
      <c r="D31" s="1408"/>
      <c r="E31" s="1282"/>
      <c r="F31" s="1282"/>
      <c r="G31" s="1406" t="s">
        <v>3448</v>
      </c>
      <c r="H31" s="1407"/>
      <c r="I31" s="1408"/>
      <c r="J31" s="1282"/>
      <c r="K31" s="1282"/>
      <c r="L31" s="1282"/>
      <c r="M31" s="1282"/>
      <c r="N31" s="1282"/>
      <c r="O31" s="1282"/>
      <c r="P31" s="1282"/>
      <c r="Q31" s="1282"/>
      <c r="R31" s="1282"/>
      <c r="S31" s="1282"/>
      <c r="T31" s="1282"/>
      <c r="U31" s="1282"/>
    </row>
    <row r="32" spans="1:21">
      <c r="A32" s="1282"/>
      <c r="B32" s="1400" t="s">
        <v>3447</v>
      </c>
      <c r="C32" s="1402">
        <f>+C17</f>
        <v>-149.64429348239992</v>
      </c>
      <c r="D32" s="1287">
        <f>+E32/C32</f>
        <v>952.11625855989234</v>
      </c>
      <c r="E32" s="1287">
        <f>+Print_AAD!N78</f>
        <v>-142478.7648253011</v>
      </c>
      <c r="F32" s="1282"/>
      <c r="G32" s="1399"/>
      <c r="H32" s="1295"/>
      <c r="I32" s="1287"/>
      <c r="J32" s="1287"/>
      <c r="K32" s="1282"/>
      <c r="L32" s="1282"/>
      <c r="M32" s="1282"/>
      <c r="N32" s="1282"/>
      <c r="O32" s="1282"/>
      <c r="P32" s="1282"/>
      <c r="Q32" s="1282"/>
      <c r="R32" s="1282"/>
      <c r="S32" s="1282"/>
      <c r="T32" s="1282"/>
      <c r="U32" s="1282"/>
    </row>
    <row r="33" spans="1:21">
      <c r="A33" s="1282"/>
      <c r="B33" s="1401" t="s">
        <v>3449</v>
      </c>
      <c r="C33" s="1402">
        <f>+C17</f>
        <v>-149.64429348239992</v>
      </c>
      <c r="D33" s="1287">
        <f>+E33/C33</f>
        <v>411.99944451460846</v>
      </c>
      <c r="E33" s="1287">
        <f>+Print_AAD!N82</f>
        <v>-61653.365789529809</v>
      </c>
      <c r="F33" s="1282"/>
      <c r="G33" s="1401" t="s">
        <v>3449</v>
      </c>
      <c r="H33" s="1402">
        <f>+H17</f>
        <v>-90.423380018318994</v>
      </c>
      <c r="I33" s="1287">
        <f>+J33/H33</f>
        <v>155.14449158554194</v>
      </c>
      <c r="J33" s="1287">
        <f>+Print_AAD!N158</f>
        <v>-14028.689320388352</v>
      </c>
      <c r="K33" s="1282"/>
      <c r="L33" s="1282"/>
      <c r="M33" s="1282"/>
      <c r="N33" s="1282"/>
      <c r="O33" s="1282"/>
      <c r="P33" s="1282"/>
      <c r="Q33" s="1282"/>
      <c r="R33" s="1282"/>
      <c r="S33" s="1282"/>
      <c r="T33" s="1282"/>
      <c r="U33" s="1282"/>
    </row>
    <row r="34" spans="1:21" ht="15" thickBot="1">
      <c r="B34" s="1282"/>
      <c r="C34" s="1282"/>
      <c r="D34" s="1282"/>
      <c r="E34" s="1292">
        <f>SUM(E32:E33)</f>
        <v>-204132.13061483091</v>
      </c>
      <c r="F34" s="1282"/>
      <c r="G34" s="1282"/>
      <c r="H34" s="1282"/>
      <c r="I34" s="1282"/>
      <c r="J34" s="1292">
        <f>SUM(J32:J33)</f>
        <v>-14028.689320388352</v>
      </c>
    </row>
    <row r="35" spans="1:21" ht="15" thickTop="1"/>
  </sheetData>
  <pageMargins left="0.23622047244094491" right="0.23622047244094491" top="0.47244094488188981" bottom="0.47244094488188981" header="0.31496062992125984" footer="0.31496062992125984"/>
  <pageSetup scale="59" fitToHeight="0" orientation="landscape" r:id="rId1"/>
  <headerFooter>
    <oddFooter>&amp;L&amp;9&amp;F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2DE76-ED60-44B0-BC06-05C8F1D53A8A}">
  <dimension ref="A2:N21"/>
  <sheetViews>
    <sheetView workbookViewId="0"/>
  </sheetViews>
  <sheetFormatPr baseColWidth="10" defaultColWidth="11" defaultRowHeight="14.4"/>
  <cols>
    <col min="1" max="1" width="19.8984375" style="1353" bestFit="1" customWidth="1"/>
    <col min="2" max="4" width="11" style="1353"/>
    <col min="5" max="5" width="2" style="1353" customWidth="1"/>
    <col min="6" max="8" width="11" style="1353"/>
    <col min="9" max="9" width="2" style="1353" customWidth="1"/>
    <col min="10" max="10" width="9.59765625" style="1353" customWidth="1"/>
    <col min="11" max="11" width="2" style="1353" customWidth="1"/>
    <col min="12" max="12" width="9.59765625" style="1353" customWidth="1"/>
    <col min="13" max="13" width="2" style="1353" customWidth="1"/>
    <col min="14" max="14" width="9.59765625" style="1353" customWidth="1"/>
    <col min="15" max="16384" width="11" style="1353"/>
  </cols>
  <sheetData>
    <row r="2" spans="1:14">
      <c r="A2" s="1348" t="s">
        <v>175</v>
      </c>
      <c r="B2" s="1350" t="s">
        <v>3424</v>
      </c>
      <c r="C2" s="1351"/>
      <c r="D2" s="1352"/>
      <c r="F2" s="1350" t="s">
        <v>3425</v>
      </c>
      <c r="G2" s="1351"/>
      <c r="H2" s="1352"/>
      <c r="J2" s="1354" t="s">
        <v>3321</v>
      </c>
      <c r="L2" s="1354" t="s">
        <v>3426</v>
      </c>
      <c r="N2" s="1354" t="s">
        <v>3427</v>
      </c>
    </row>
    <row r="3" spans="1:14">
      <c r="B3" s="1355" t="s">
        <v>157</v>
      </c>
      <c r="C3" s="1355" t="s">
        <v>176</v>
      </c>
      <c r="D3" s="1355" t="s">
        <v>85</v>
      </c>
      <c r="F3" s="1355" t="s">
        <v>157</v>
      </c>
      <c r="G3" s="1355" t="s">
        <v>176</v>
      </c>
      <c r="H3" s="1355" t="s">
        <v>85</v>
      </c>
      <c r="J3" s="1356"/>
      <c r="L3" s="1356"/>
      <c r="N3" s="1356"/>
    </row>
    <row r="4" spans="1:14">
      <c r="A4" s="1353" t="s">
        <v>177</v>
      </c>
      <c r="B4" s="1357">
        <f>+Print_AAD!J294</f>
        <v>328200.68</v>
      </c>
      <c r="C4" s="1349">
        <f>D4/B4</f>
        <v>0.35983069870543843</v>
      </c>
      <c r="D4" s="1357">
        <f>+Print_AAD!L294</f>
        <v>118096.68000000001</v>
      </c>
      <c r="F4" s="1357">
        <f>+Print_AAD!G294</f>
        <v>365459.57215021562</v>
      </c>
      <c r="G4" s="1349">
        <f>H4/F4</f>
        <v>0.35811007851031496</v>
      </c>
      <c r="H4" s="1357">
        <f>+Print_AAD!I294</f>
        <v>130874.75607505982</v>
      </c>
      <c r="I4" s="1358"/>
      <c r="J4" s="1359">
        <f t="shared" ref="J4:J11" si="0">+D4-H4</f>
        <v>-12778.076075059813</v>
      </c>
      <c r="L4" s="1359">
        <f t="shared" ref="L4:L9" si="1">(B4-F4)*G4</f>
        <v>-13342.784793121076</v>
      </c>
      <c r="N4" s="1359">
        <f t="shared" ref="N4:N9" si="2">B4*(C4-G4)</f>
        <v>564.70871806125842</v>
      </c>
    </row>
    <row r="5" spans="1:14">
      <c r="A5" s="1353" t="s">
        <v>178</v>
      </c>
      <c r="B5" s="1357">
        <f>+Print_AAD!J295</f>
        <v>293471.94</v>
      </c>
      <c r="C5" s="1349">
        <f t="shared" ref="C5:C9" si="3">D5/B5</f>
        <v>0.24842882764192034</v>
      </c>
      <c r="D5" s="1357">
        <f>+Print_AAD!L295</f>
        <v>72906.889999999985</v>
      </c>
      <c r="F5" s="1357">
        <f>+Print_AAD!G295</f>
        <v>246308.02401399906</v>
      </c>
      <c r="G5" s="1349">
        <f t="shared" ref="G5:G9" si="4">H5/F5</f>
        <v>0.2571723304036081</v>
      </c>
      <c r="H5" s="1357">
        <f>+Print_AAD!I295</f>
        <v>63343.608532787999</v>
      </c>
      <c r="I5" s="1358"/>
      <c r="J5" s="1359">
        <f t="shared" si="0"/>
        <v>9563.2814672119857</v>
      </c>
      <c r="L5" s="1359">
        <f t="shared" si="1"/>
        <v>12129.254185079848</v>
      </c>
      <c r="N5" s="1359">
        <f t="shared" si="2"/>
        <v>-2565.9727178678631</v>
      </c>
    </row>
    <row r="6" spans="1:14">
      <c r="A6" s="1353" t="s">
        <v>179</v>
      </c>
      <c r="B6" s="1357">
        <f>+Print_AAD!J296</f>
        <v>279622.88</v>
      </c>
      <c r="C6" s="1349">
        <f t="shared" si="3"/>
        <v>0.24307860644307788</v>
      </c>
      <c r="D6" s="1357">
        <f>+Print_AAD!L296</f>
        <v>67970.34</v>
      </c>
      <c r="F6" s="1357">
        <f>+Print_AAD!G296</f>
        <v>371605.2963648088</v>
      </c>
      <c r="G6" s="1349">
        <f t="shared" si="4"/>
        <v>0.24177651145507989</v>
      </c>
      <c r="H6" s="1357">
        <f>+Print_AAD!I296</f>
        <v>89845.432193314555</v>
      </c>
      <c r="I6" s="1358"/>
      <c r="J6" s="1359">
        <f t="shared" si="0"/>
        <v>-21875.092193314558</v>
      </c>
      <c r="L6" s="1359">
        <f t="shared" si="1"/>
        <v>-22239.187743892122</v>
      </c>
      <c r="N6" s="1359">
        <f t="shared" si="2"/>
        <v>364.09555057756415</v>
      </c>
    </row>
    <row r="7" spans="1:14">
      <c r="A7" s="1353" t="s">
        <v>180</v>
      </c>
      <c r="B7" s="1357">
        <f>+Print_AAD!J297</f>
        <v>200379.06</v>
      </c>
      <c r="C7" s="1349">
        <f t="shared" si="3"/>
        <v>0.31598541284703097</v>
      </c>
      <c r="D7" s="1357">
        <f>+Print_AAD!L297</f>
        <v>63316.859999999986</v>
      </c>
      <c r="F7" s="1357">
        <f>+Print_AAD!G297</f>
        <v>227051.44580857479</v>
      </c>
      <c r="G7" s="1349">
        <f t="shared" si="4"/>
        <v>0.32393223852119102</v>
      </c>
      <c r="H7" s="1357">
        <f>+Print_AAD!I297</f>
        <v>73549.283100244531</v>
      </c>
      <c r="I7" s="1358"/>
      <c r="J7" s="1359">
        <f t="shared" si="0"/>
        <v>-10232.423100244545</v>
      </c>
      <c r="L7" s="1359">
        <f t="shared" si="1"/>
        <v>-8640.0456416724792</v>
      </c>
      <c r="N7" s="1359">
        <f t="shared" si="2"/>
        <v>-1592.3774585720575</v>
      </c>
    </row>
    <row r="8" spans="1:14">
      <c r="A8" s="1353" t="s">
        <v>181</v>
      </c>
      <c r="B8" s="1357">
        <f>+Print_AAD!J298</f>
        <v>77124.13</v>
      </c>
      <c r="C8" s="1349">
        <f t="shared" si="3"/>
        <v>0.30791621247461726</v>
      </c>
      <c r="D8" s="1357">
        <f>+Print_AAD!L298</f>
        <v>23747.770000000004</v>
      </c>
      <c r="F8" s="1357">
        <f>+Print_AAD!G298</f>
        <v>76843.898630343232</v>
      </c>
      <c r="G8" s="1349">
        <f t="shared" si="4"/>
        <v>0.2811373070712001</v>
      </c>
      <c r="H8" s="1357">
        <f>+Print_AAD!I298</f>
        <v>21603.686725786978</v>
      </c>
      <c r="I8" s="1358"/>
      <c r="J8" s="1359">
        <f t="shared" si="0"/>
        <v>2144.083274213026</v>
      </c>
      <c r="L8" s="1359">
        <f t="shared" si="1"/>
        <v>78.783492622179068</v>
      </c>
      <c r="N8" s="1359">
        <f t="shared" si="2"/>
        <v>2065.299781590847</v>
      </c>
    </row>
    <row r="9" spans="1:14">
      <c r="A9" s="1353" t="s">
        <v>182</v>
      </c>
      <c r="B9" s="1357">
        <f>+Print_AAD!J299</f>
        <v>372981.02</v>
      </c>
      <c r="C9" s="1349">
        <f t="shared" si="3"/>
        <v>0.17322353292937004</v>
      </c>
      <c r="D9" s="1357">
        <f>+Print_AAD!L299</f>
        <v>64609.090000000026</v>
      </c>
      <c r="F9" s="1357">
        <f>+Print_AAD!G299</f>
        <v>239569.21920472838</v>
      </c>
      <c r="G9" s="1349">
        <f t="shared" si="4"/>
        <v>0.18194830719212418</v>
      </c>
      <c r="H9" s="1357">
        <f>+Print_AAD!I299</f>
        <v>43589.213889639257</v>
      </c>
      <c r="I9" s="1358"/>
      <c r="J9" s="1359">
        <f t="shared" si="0"/>
        <v>21019.876110360769</v>
      </c>
      <c r="L9" s="1359">
        <f t="shared" si="1"/>
        <v>24274.051314152563</v>
      </c>
      <c r="N9" s="1359">
        <f t="shared" si="2"/>
        <v>-3254.1752037917881</v>
      </c>
    </row>
    <row r="10" spans="1:14">
      <c r="A10" s="1353" t="s">
        <v>183</v>
      </c>
      <c r="B10" s="1357"/>
      <c r="C10" s="1349"/>
      <c r="D10" s="1357">
        <f>+Print_AAD!L301</f>
        <v>29675.409999999996</v>
      </c>
      <c r="F10" s="1357"/>
      <c r="G10" s="1349"/>
      <c r="H10" s="1357">
        <f>+Print_AAD!I301</f>
        <v>25303.228125738551</v>
      </c>
      <c r="I10" s="1358"/>
      <c r="J10" s="1359">
        <f t="shared" si="0"/>
        <v>4372.181874261445</v>
      </c>
      <c r="L10" s="1359">
        <f>(H10/(H4+H5+H6+H7+H8+H9)*(D4+D5+D6+D7+D8+D9))-D10</f>
        <v>-5099.8099848762868</v>
      </c>
      <c r="N10" s="1359">
        <f>+J10-L10</f>
        <v>9471.9918591377318</v>
      </c>
    </row>
    <row r="11" spans="1:14">
      <c r="A11" s="1353" t="s">
        <v>184</v>
      </c>
      <c r="B11" s="1357"/>
      <c r="C11" s="1349"/>
      <c r="D11" s="1357"/>
      <c r="F11" s="1357"/>
      <c r="G11" s="1349"/>
      <c r="H11" s="1357"/>
      <c r="I11" s="1358"/>
      <c r="J11" s="1359">
        <f t="shared" si="0"/>
        <v>0</v>
      </c>
      <c r="L11" s="1359">
        <f>(B11-F11)*G11</f>
        <v>0</v>
      </c>
      <c r="N11" s="1359">
        <f t="shared" ref="N11" si="5">+J11-L11</f>
        <v>0</v>
      </c>
    </row>
    <row r="12" spans="1:14">
      <c r="A12" s="1353" t="s">
        <v>185</v>
      </c>
      <c r="B12" s="1360">
        <f>SUM(B4:B11)</f>
        <v>1551779.71</v>
      </c>
      <c r="C12" s="1361">
        <f>+D12/B12</f>
        <v>0.28375357479058677</v>
      </c>
      <c r="D12" s="1360">
        <f>SUM(D4:D11)</f>
        <v>440323.04000000004</v>
      </c>
      <c r="F12" s="1360">
        <f>SUM(F4:F11)</f>
        <v>1526837.4561726698</v>
      </c>
      <c r="G12" s="1361">
        <f>+H12/F12</f>
        <v>0.29348848289709178</v>
      </c>
      <c r="H12" s="1360">
        <f>SUM(H4:H11)</f>
        <v>448109.2086425717</v>
      </c>
      <c r="J12" s="1360">
        <f>SUM(J4:J11)</f>
        <v>-7786.1686425716871</v>
      </c>
      <c r="L12" s="1360">
        <f>SUM(L4:L11)</f>
        <v>-12839.73917170737</v>
      </c>
      <c r="N12" s="1360">
        <f>SUM(N4:N11)</f>
        <v>5053.5705291356926</v>
      </c>
    </row>
    <row r="13" spans="1:14">
      <c r="B13" s="1359"/>
      <c r="C13" s="1362"/>
      <c r="D13" s="1359"/>
      <c r="F13" s="1359"/>
      <c r="G13" s="1362"/>
      <c r="H13" s="1359"/>
      <c r="J13" s="1359"/>
      <c r="L13" s="1359"/>
      <c r="N13" s="1359"/>
    </row>
    <row r="14" spans="1:14">
      <c r="A14" s="1353" t="s">
        <v>186</v>
      </c>
      <c r="B14" s="1357">
        <f>+Print_AAD!J306</f>
        <v>152211.88</v>
      </c>
      <c r="C14" s="1349">
        <f t="shared" ref="C14:C15" si="6">D14/B14</f>
        <v>0.17425203604344158</v>
      </c>
      <c r="D14" s="1357">
        <f>+Print_AAD!L306</f>
        <v>26523.230000000007</v>
      </c>
      <c r="F14" s="1357">
        <f>+Print_AAD!G306</f>
        <v>168636.80338860169</v>
      </c>
      <c r="G14" s="1349">
        <f t="shared" ref="G14:G15" si="7">H14/F14</f>
        <v>0.1816444838198383</v>
      </c>
      <c r="H14" s="1357">
        <f>+Print_AAD!I306</f>
        <v>30631.945104550112</v>
      </c>
      <c r="I14" s="1358"/>
      <c r="J14" s="1359">
        <f>+D14-H14</f>
        <v>-4108.715104550105</v>
      </c>
      <c r="L14" s="1359">
        <f>(B14-F14)*G14</f>
        <v>-2983.4967307029433</v>
      </c>
      <c r="N14" s="1359">
        <f>B14*(C14-G14)</f>
        <v>-1125.2183738471647</v>
      </c>
    </row>
    <row r="15" spans="1:14">
      <c r="A15" s="1353" t="s">
        <v>187</v>
      </c>
      <c r="B15" s="1357">
        <f>+Print_AAD!J307</f>
        <v>107808.52</v>
      </c>
      <c r="C15" s="1349">
        <f t="shared" si="6"/>
        <v>0.30848146324613313</v>
      </c>
      <c r="D15" s="1357">
        <f>+Print_AAD!L307</f>
        <v>33256.930000000008</v>
      </c>
      <c r="F15" s="1357">
        <f>+Print_AAD!G307</f>
        <v>84196.212736687623</v>
      </c>
      <c r="G15" s="1349">
        <f t="shared" si="7"/>
        <v>0.29130399895825637</v>
      </c>
      <c r="H15" s="1357">
        <f>+Print_AAD!I307</f>
        <v>24526.693467337183</v>
      </c>
      <c r="I15" s="1358"/>
      <c r="J15" s="1359">
        <f>+D15-H15</f>
        <v>8730.2365326628242</v>
      </c>
      <c r="L15" s="1359">
        <f>(B15-F15)*G15</f>
        <v>6878.3595304339797</v>
      </c>
      <c r="N15" s="1359">
        <f>B15*(C15-G15)</f>
        <v>1851.8770022288468</v>
      </c>
    </row>
    <row r="16" spans="1:14">
      <c r="A16" s="1353" t="s">
        <v>188</v>
      </c>
      <c r="B16" s="1363">
        <f>SUM(B14:B15)</f>
        <v>260020.40000000002</v>
      </c>
      <c r="C16" s="1364">
        <f>+D16/B16</f>
        <v>0.22990565355641332</v>
      </c>
      <c r="D16" s="1363">
        <f>SUM(D14:D15)</f>
        <v>59780.160000000018</v>
      </c>
      <c r="F16" s="1363">
        <f>SUM(F14:F15)</f>
        <v>252833.01612528932</v>
      </c>
      <c r="G16" s="1364">
        <f>+H16/F16</f>
        <v>0.21816232475174002</v>
      </c>
      <c r="H16" s="1363">
        <f>SUM(H14:H15)</f>
        <v>55158.638571887292</v>
      </c>
      <c r="J16" s="1363">
        <f>SUM(J14:J15)</f>
        <v>4621.5214281127191</v>
      </c>
      <c r="L16" s="1363">
        <f>SUM(L14:L15)</f>
        <v>3894.8627997310364</v>
      </c>
      <c r="N16" s="1363">
        <f>SUM(N14:N15)</f>
        <v>726.65862838168209</v>
      </c>
    </row>
    <row r="17" spans="1:14">
      <c r="B17" s="1359"/>
      <c r="C17" s="1362"/>
      <c r="D17" s="1359"/>
      <c r="F17" s="1359"/>
      <c r="G17" s="1362"/>
      <c r="H17" s="1359"/>
      <c r="J17" s="1359"/>
      <c r="L17" s="1359"/>
      <c r="N17" s="1359"/>
    </row>
    <row r="18" spans="1:14" ht="15" thickBot="1">
      <c r="A18" s="1353" t="s">
        <v>3428</v>
      </c>
      <c r="B18" s="1365">
        <f>+B12+B16</f>
        <v>1811800.1099999999</v>
      </c>
      <c r="C18" s="1366">
        <f>+D18/B18</f>
        <v>0.2760255931323462</v>
      </c>
      <c r="D18" s="1365">
        <f>+D12+D16</f>
        <v>500103.20000000007</v>
      </c>
      <c r="F18" s="1365">
        <f>+F12+F16</f>
        <v>1779670.472297959</v>
      </c>
      <c r="G18" s="1366">
        <f>+H18/F18</f>
        <v>0.28278709741395314</v>
      </c>
      <c r="H18" s="1365">
        <f>+H12+H16</f>
        <v>503267.84721445898</v>
      </c>
      <c r="J18" s="1365">
        <f>+J12+J16</f>
        <v>-3164.6472144589679</v>
      </c>
      <c r="L18" s="1365">
        <f>+L12+L16</f>
        <v>-8944.8763719763338</v>
      </c>
      <c r="N18" s="1365">
        <f>+N12+N16</f>
        <v>5780.2291575173749</v>
      </c>
    </row>
    <row r="19" spans="1:14" ht="15" thickTop="1"/>
    <row r="20" spans="1:14" ht="15" thickBot="1">
      <c r="D20" s="1367"/>
      <c r="E20" s="1368" t="s">
        <v>3429</v>
      </c>
      <c r="F20" s="1365">
        <f>+B18-F18</f>
        <v>32129.63770204084</v>
      </c>
      <c r="N20" s="1367">
        <f>+J18-L18-N18</f>
        <v>-9.0949470177292824E-12</v>
      </c>
    </row>
    <row r="21" spans="1:14" ht="15" thickTop="1"/>
  </sheetData>
  <pageMargins left="0.7" right="0.7" top="0.75" bottom="0.75" header="0.3" footer="0.3"/>
  <pageSetup orientation="portrait" r:id="rId1"/>
  <ignoredErrors>
    <ignoredError sqref="B4:D10 F4:H10 B14:D16 F14:H16" unlockedFormula="1"/>
  </ignoredError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outlinePr summaryBelow="0"/>
  </sheetPr>
  <dimension ref="A1:Z486"/>
  <sheetViews>
    <sheetView topLeftCell="I1" zoomScale="80" zoomScaleNormal="80" workbookViewId="0">
      <pane ySplit="1" topLeftCell="A389" activePane="bottomLeft" state="frozen"/>
      <selection pane="bottomLeft" activeCell="X410" sqref="X410"/>
    </sheetView>
  </sheetViews>
  <sheetFormatPr baseColWidth="10" defaultColWidth="12.59765625" defaultRowHeight="15" customHeight="1"/>
  <cols>
    <col min="1" max="1" width="37" style="509" customWidth="1"/>
    <col min="2" max="2" width="31.19921875" style="509" customWidth="1"/>
    <col min="3" max="3" width="14.59765625" style="509" customWidth="1"/>
    <col min="4" max="8" width="12.8984375" style="509" customWidth="1"/>
    <col min="9" max="11" width="12.8984375" style="1394" customWidth="1"/>
    <col min="12" max="12" width="12.8984375" customWidth="1"/>
    <col min="13" max="13" width="39.69921875" customWidth="1"/>
    <col min="14" max="14" width="14.8984375" customWidth="1"/>
    <col min="15" max="15" width="12.8984375" style="1086" customWidth="1"/>
    <col min="16"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style="564" bestFit="1" customWidth="1"/>
  </cols>
  <sheetData>
    <row r="1" spans="1:26" ht="30" customHeight="1">
      <c r="A1" s="1190" t="s">
        <v>265</v>
      </c>
      <c r="B1" s="1190" t="s">
        <v>266</v>
      </c>
      <c r="C1" s="1191" t="s">
        <v>3269</v>
      </c>
      <c r="D1" s="1191" t="s">
        <v>3270</v>
      </c>
      <c r="E1" s="1191" t="s">
        <v>3271</v>
      </c>
      <c r="F1" s="1190" t="s">
        <v>270</v>
      </c>
      <c r="G1" s="1190" t="s">
        <v>271</v>
      </c>
      <c r="H1" s="1190" t="s">
        <v>272</v>
      </c>
      <c r="I1" s="1387" t="s">
        <v>3272</v>
      </c>
      <c r="J1" s="1387" t="s">
        <v>3273</v>
      </c>
      <c r="K1" s="1387" t="s">
        <v>3274</v>
      </c>
      <c r="L1" s="148" t="s">
        <v>266</v>
      </c>
      <c r="M1" s="148" t="s">
        <v>265</v>
      </c>
      <c r="N1" s="148" t="s">
        <v>267</v>
      </c>
      <c r="O1" s="1083" t="s">
        <v>268</v>
      </c>
      <c r="P1" s="148" t="s">
        <v>269</v>
      </c>
      <c r="Q1" s="148" t="s">
        <v>270</v>
      </c>
      <c r="R1" s="148" t="s">
        <v>271</v>
      </c>
      <c r="S1" s="148" t="s">
        <v>272</v>
      </c>
      <c r="T1" s="149" t="s">
        <v>273</v>
      </c>
      <c r="U1" s="149" t="s">
        <v>274</v>
      </c>
      <c r="V1" s="149" t="s">
        <v>275</v>
      </c>
      <c r="W1" s="149" t="s">
        <v>276</v>
      </c>
      <c r="X1" s="149" t="s">
        <v>1914</v>
      </c>
      <c r="Z1" s="1386" t="s">
        <v>3276</v>
      </c>
    </row>
    <row r="2" spans="1:26" ht="15" customHeight="1">
      <c r="A2" s="1193" t="s">
        <v>2198</v>
      </c>
      <c r="B2" s="1194">
        <v>10</v>
      </c>
      <c r="C2" s="1195"/>
      <c r="D2" s="1195"/>
      <c r="E2" s="1195"/>
      <c r="F2" s="1193" t="s">
        <v>1</v>
      </c>
      <c r="G2" s="1193" t="s">
        <v>2200</v>
      </c>
      <c r="H2" s="1196"/>
      <c r="I2" s="1197">
        <v>116061</v>
      </c>
      <c r="J2" s="1197" t="s">
        <v>3278</v>
      </c>
      <c r="K2" s="1197">
        <v>116061</v>
      </c>
      <c r="L2" s="150">
        <f t="shared" ref="L2:L65" si="0">+B2</f>
        <v>10</v>
      </c>
      <c r="M2" s="151" t="str">
        <f t="shared" ref="M2:M65" si="1">+A2</f>
        <v>PROFIT/PERTES JANVIER</v>
      </c>
      <c r="N2" s="152">
        <f>+IF(OR($Q2=Parametres!$G$2,$Q2=Parametres!$G$3),I2,C2)</f>
        <v>116061</v>
      </c>
      <c r="O2" s="1084" t="str">
        <f>+IF(OR($Q2=Parametres!$G$2,$Q2=Parametres!$G$3),J2,D2)</f>
        <v xml:space="preserve">                                              -   </v>
      </c>
      <c r="P2" s="152">
        <f>+IF(OR($Q2=Parametres!$G$2,$Q2=Parametres!$G$3),K2,E2)</f>
        <v>116061</v>
      </c>
      <c r="Q2" s="151" t="str">
        <f t="shared" ref="Q2:Q65" si="2">+F2</f>
        <v>1-Mémo</v>
      </c>
      <c r="R2" s="150" t="str">
        <f t="shared" ref="R2:R65" si="3">+G2</f>
        <v>1</v>
      </c>
      <c r="S2" s="151">
        <f t="shared" ref="S2:S65" si="4">+H2</f>
        <v>0</v>
      </c>
      <c r="T2" s="153">
        <f>+VLOOKUP($L2,Data_Validation!$A:$D,1,0)</f>
        <v>10</v>
      </c>
      <c r="U2" s="153">
        <f>+VLOOKUP($L2,Data_Validation!$A:$D,3,0)</f>
        <v>0</v>
      </c>
      <c r="V2" s="153">
        <f>+VLOOKUP($L2,Data_Validation!$A:$D,4,0)</f>
        <v>0</v>
      </c>
      <c r="W2" s="153">
        <f>+VLOOKUP($L2,Data_Validation!$A:$E,5,0)</f>
        <v>0</v>
      </c>
      <c r="X2" s="153">
        <f>+VLOOKUP($L2,Data_Validation!$A:$F,6,0)</f>
        <v>0</v>
      </c>
      <c r="Z2" s="1384">
        <v>44721</v>
      </c>
    </row>
    <row r="3" spans="1:26" ht="15" customHeight="1">
      <c r="A3" s="1193" t="s">
        <v>2201</v>
      </c>
      <c r="B3" s="1194">
        <v>20</v>
      </c>
      <c r="C3" s="1196"/>
      <c r="D3" s="1196"/>
      <c r="E3" s="1196"/>
      <c r="F3" s="1193" t="s">
        <v>1</v>
      </c>
      <c r="G3" s="1193" t="s">
        <v>2200</v>
      </c>
      <c r="H3" s="1196"/>
      <c r="I3" s="1197">
        <v>81087.95</v>
      </c>
      <c r="J3" s="1197" t="s">
        <v>3278</v>
      </c>
      <c r="K3" s="1197">
        <v>81087.95</v>
      </c>
      <c r="L3" s="150">
        <f t="shared" si="0"/>
        <v>20</v>
      </c>
      <c r="M3" s="151" t="str">
        <f t="shared" si="1"/>
        <v>PROFIT/PERTES FEVRIER</v>
      </c>
      <c r="N3" s="152">
        <f>+IF(OR($Q3=Parametres!$G$2,$Q3=Parametres!$G$3),I3,C3)</f>
        <v>81087.95</v>
      </c>
      <c r="O3" s="1084" t="str">
        <f>+IF(OR($Q3=Parametres!$G$2,$Q3=Parametres!$G$3),J3,D3)</f>
        <v xml:space="preserve">                                              -   </v>
      </c>
      <c r="P3" s="152">
        <f>+IF(OR($Q3=Parametres!$G$2,$Q3=Parametres!$G$3),K3,E3)</f>
        <v>81087.95</v>
      </c>
      <c r="Q3" s="151" t="str">
        <f t="shared" si="2"/>
        <v>1-Mémo</v>
      </c>
      <c r="R3" s="150" t="str">
        <f t="shared" si="3"/>
        <v>1</v>
      </c>
      <c r="S3" s="151">
        <f t="shared" si="4"/>
        <v>0</v>
      </c>
      <c r="T3" s="153">
        <f>+VLOOKUP($L3,Data_Validation!$A:$D,1,0)</f>
        <v>20</v>
      </c>
      <c r="U3" s="153">
        <f>+VLOOKUP($L3,Data_Validation!$A:$D,3,0)</f>
        <v>0</v>
      </c>
      <c r="V3" s="153">
        <f>+VLOOKUP($L3,Data_Validation!$A:$D,4,0)</f>
        <v>0</v>
      </c>
      <c r="W3" s="153">
        <f>+VLOOKUP($L3,Data_Validation!$A:$E,5,0)</f>
        <v>0</v>
      </c>
      <c r="X3" s="153">
        <f>+VLOOKUP($L3,Data_Validation!$A:$F,6,0)</f>
        <v>0</v>
      </c>
      <c r="Z3" s="1385">
        <v>0.4375</v>
      </c>
    </row>
    <row r="4" spans="1:26" ht="15" customHeight="1">
      <c r="A4" s="1193" t="s">
        <v>2203</v>
      </c>
      <c r="B4" s="1194">
        <v>30</v>
      </c>
      <c r="C4" s="1195"/>
      <c r="D4" s="1195"/>
      <c r="E4" s="1195"/>
      <c r="F4" s="1193" t="s">
        <v>1</v>
      </c>
      <c r="G4" s="1193" t="s">
        <v>2200</v>
      </c>
      <c r="H4" s="1196"/>
      <c r="I4" s="1197">
        <v>198702.43</v>
      </c>
      <c r="J4" s="1197" t="s">
        <v>3278</v>
      </c>
      <c r="K4" s="1197">
        <v>198702.43</v>
      </c>
      <c r="L4" s="150">
        <f t="shared" si="0"/>
        <v>30</v>
      </c>
      <c r="M4" s="151" t="str">
        <f t="shared" si="1"/>
        <v>PROFIT/PERTES MARS</v>
      </c>
      <c r="N4" s="152">
        <f>+IF(OR($Q4=Parametres!$G$2,$Q4=Parametres!$G$3),I4,C4)</f>
        <v>198702.43</v>
      </c>
      <c r="O4" s="1084" t="str">
        <f>+IF(OR($Q4=Parametres!$G$2,$Q4=Parametres!$G$3),J4,D4)</f>
        <v xml:space="preserve">                                              -   </v>
      </c>
      <c r="P4" s="152">
        <f>+IF(OR($Q4=Parametres!$G$2,$Q4=Parametres!$G$3),K4,E4)</f>
        <v>198702.43</v>
      </c>
      <c r="Q4" s="151" t="str">
        <f t="shared" si="2"/>
        <v>1-Mémo</v>
      </c>
      <c r="R4" s="150" t="str">
        <f t="shared" si="3"/>
        <v>1</v>
      </c>
      <c r="S4" s="151">
        <f t="shared" si="4"/>
        <v>0</v>
      </c>
      <c r="T4" s="153">
        <f>+VLOOKUP($L4,Data_Validation!$A:$D,1,0)</f>
        <v>30</v>
      </c>
      <c r="U4" s="153">
        <f>+VLOOKUP($L4,Data_Validation!$A:$D,3,0)</f>
        <v>0</v>
      </c>
      <c r="V4" s="153">
        <f>+VLOOKUP($L4,Data_Validation!$A:$D,4,0)</f>
        <v>0</v>
      </c>
      <c r="W4" s="153">
        <f>+VLOOKUP($L4,Data_Validation!$A:$E,5,0)</f>
        <v>0</v>
      </c>
      <c r="X4" s="153">
        <f>+VLOOKUP($L4,Data_Validation!$A:$F,6,0)</f>
        <v>0</v>
      </c>
      <c r="Z4" s="1386" t="s">
        <v>3450</v>
      </c>
    </row>
    <row r="5" spans="1:26" ht="15.75" customHeight="1">
      <c r="A5" s="1193" t="s">
        <v>2205</v>
      </c>
      <c r="B5" s="1194">
        <v>40</v>
      </c>
      <c r="C5" s="1195"/>
      <c r="D5" s="1195"/>
      <c r="E5" s="1195"/>
      <c r="F5" s="1193" t="s">
        <v>1</v>
      </c>
      <c r="G5" s="1193" t="s">
        <v>2200</v>
      </c>
      <c r="H5" s="1196"/>
      <c r="I5" s="1197">
        <v>148007</v>
      </c>
      <c r="J5" s="1197" t="s">
        <v>3278</v>
      </c>
      <c r="K5" s="1197">
        <v>148007</v>
      </c>
      <c r="L5" s="150">
        <f t="shared" si="0"/>
        <v>40</v>
      </c>
      <c r="M5" s="151" t="str">
        <f t="shared" si="1"/>
        <v>PROFIT/PERTES AVRIL</v>
      </c>
      <c r="N5" s="152">
        <f>+IF(OR($Q5=Parametres!$G$2,$Q5=Parametres!$G$3),I5,C5)</f>
        <v>148007</v>
      </c>
      <c r="O5" s="1084" t="str">
        <f>+IF(OR($Q5=Parametres!$G$2,$Q5=Parametres!$G$3),J5,D5)</f>
        <v xml:space="preserve">                                              -   </v>
      </c>
      <c r="P5" s="152">
        <f>+IF(OR($Q5=Parametres!$G$2,$Q5=Parametres!$G$3),K5,E5)</f>
        <v>148007</v>
      </c>
      <c r="Q5" s="151" t="str">
        <f t="shared" si="2"/>
        <v>1-Mémo</v>
      </c>
      <c r="R5" s="150" t="str">
        <f t="shared" si="3"/>
        <v>1</v>
      </c>
      <c r="S5" s="151">
        <f t="shared" si="4"/>
        <v>0</v>
      </c>
      <c r="T5" s="153">
        <f>+VLOOKUP($L5,Data_Validation!$A:$D,1,0)</f>
        <v>40</v>
      </c>
      <c r="U5" s="153">
        <f>+VLOOKUP($L5,Data_Validation!$A:$D,3,0)</f>
        <v>0</v>
      </c>
      <c r="V5" s="153">
        <f>+VLOOKUP($L5,Data_Validation!$A:$D,4,0)</f>
        <v>0</v>
      </c>
      <c r="W5" s="153">
        <f>+VLOOKUP($L5,Data_Validation!$A:$E,5,0)</f>
        <v>0</v>
      </c>
      <c r="X5" s="153">
        <f>+VLOOKUP($L5,Data_Validation!$A:$F,6,0)</f>
        <v>0</v>
      </c>
      <c r="Z5" s="155">
        <v>220554</v>
      </c>
    </row>
    <row r="6" spans="1:26" ht="15.75" customHeight="1">
      <c r="A6" s="1193" t="s">
        <v>2221</v>
      </c>
      <c r="B6" s="1194">
        <v>229</v>
      </c>
      <c r="C6" s="1195"/>
      <c r="D6" s="1195"/>
      <c r="E6" s="1195"/>
      <c r="F6" s="1193" t="s">
        <v>1</v>
      </c>
      <c r="G6" s="1193" t="s">
        <v>2223</v>
      </c>
      <c r="H6" s="1196"/>
      <c r="I6" s="1197">
        <v>2.39</v>
      </c>
      <c r="J6" s="1197" t="s">
        <v>3278</v>
      </c>
      <c r="K6" s="1197">
        <v>2.39</v>
      </c>
      <c r="L6" s="150">
        <f t="shared" si="0"/>
        <v>229</v>
      </c>
      <c r="M6" s="151" t="str">
        <f t="shared" si="1"/>
        <v>CUMUL. VIS. CARR. VW</v>
      </c>
      <c r="N6" s="152">
        <f>+IF(OR($Q6=Parametres!$G$2,$Q6=Parametres!$G$3),I6,C6)</f>
        <v>2.39</v>
      </c>
      <c r="O6" s="1084" t="str">
        <f>+IF(OR($Q6=Parametres!$G$2,$Q6=Parametres!$G$3),J6,D6)</f>
        <v xml:space="preserve">                                              -   </v>
      </c>
      <c r="P6" s="152">
        <f>+IF(OR($Q6=Parametres!$G$2,$Q6=Parametres!$G$3),K6,E6)</f>
        <v>2.39</v>
      </c>
      <c r="Q6" s="151" t="str">
        <f t="shared" si="2"/>
        <v>1-Mémo</v>
      </c>
      <c r="R6" s="150" t="str">
        <f t="shared" si="3"/>
        <v>23</v>
      </c>
      <c r="S6" s="151">
        <f t="shared" si="4"/>
        <v>0</v>
      </c>
      <c r="T6" s="153">
        <f>+VLOOKUP($L6,Data_Validation!$A:$D,1,0)</f>
        <v>229</v>
      </c>
      <c r="U6" s="153">
        <f>+VLOOKUP($L6,Data_Validation!$A:$D,3,0)</f>
        <v>0</v>
      </c>
      <c r="V6" s="153">
        <f>+VLOOKUP($L6,Data_Validation!$A:$D,4,0)</f>
        <v>0</v>
      </c>
      <c r="W6" s="153">
        <f>+VLOOKUP($L6,Data_Validation!$A:$E,5,0)</f>
        <v>0</v>
      </c>
      <c r="X6" s="153">
        <f>+VLOOKUP($L6,Data_Validation!$A:$F,6,0)</f>
        <v>0</v>
      </c>
      <c r="Z6" s="1398" t="s">
        <v>3451</v>
      </c>
    </row>
    <row r="7" spans="1:26" ht="15" customHeight="1">
      <c r="A7" s="1193" t="s">
        <v>2224</v>
      </c>
      <c r="B7" s="1194">
        <v>230</v>
      </c>
      <c r="C7" s="1195"/>
      <c r="D7" s="1195"/>
      <c r="E7" s="1195"/>
      <c r="F7" s="1193" t="s">
        <v>1</v>
      </c>
      <c r="G7" s="1193" t="s">
        <v>2223</v>
      </c>
      <c r="H7" s="1196"/>
      <c r="I7" s="1197">
        <v>34.03</v>
      </c>
      <c r="J7" s="1197" t="s">
        <v>3278</v>
      </c>
      <c r="K7" s="1197">
        <v>34.03</v>
      </c>
      <c r="L7" s="150">
        <f t="shared" si="0"/>
        <v>230</v>
      </c>
      <c r="M7" s="151" t="str">
        <f t="shared" si="1"/>
        <v>CUMUL. VIS. VEH. SERV. VW</v>
      </c>
      <c r="N7" s="152">
        <f>+IF(OR($Q7=Parametres!$G$2,$Q7=Parametres!$G$3),I7,C7)</f>
        <v>34.03</v>
      </c>
      <c r="O7" s="1084" t="str">
        <f>+IF(OR($Q7=Parametres!$G$2,$Q7=Parametres!$G$3),J7,D7)</f>
        <v xml:space="preserve">                                              -   </v>
      </c>
      <c r="P7" s="152">
        <f>+IF(OR($Q7=Parametres!$G$2,$Q7=Parametres!$G$3),K7,E7)</f>
        <v>34.03</v>
      </c>
      <c r="Q7" s="151" t="str">
        <f t="shared" si="2"/>
        <v>1-Mémo</v>
      </c>
      <c r="R7" s="150" t="str">
        <f t="shared" si="3"/>
        <v>23</v>
      </c>
      <c r="S7" s="151">
        <f t="shared" si="4"/>
        <v>0</v>
      </c>
      <c r="T7" s="153">
        <f>+VLOOKUP($L7,Data_Validation!$A:$D,1,0)</f>
        <v>230</v>
      </c>
      <c r="U7" s="153">
        <f>+VLOOKUP($L7,Data_Validation!$A:$D,3,0)</f>
        <v>0</v>
      </c>
      <c r="V7" s="153">
        <f>+VLOOKUP($L7,Data_Validation!$A:$D,4,0)</f>
        <v>0</v>
      </c>
      <c r="W7" s="153" t="str">
        <f>+VLOOKUP($L7,Data_Validation!$A:$E,5,0)</f>
        <v>$</v>
      </c>
      <c r="X7" s="153">
        <f>+VLOOKUP($L7,Data_Validation!$A:$F,6,0)</f>
        <v>0</v>
      </c>
    </row>
    <row r="8" spans="1:26" ht="15" customHeight="1">
      <c r="A8" s="1193" t="s">
        <v>2226</v>
      </c>
      <c r="B8" s="1194">
        <v>234</v>
      </c>
      <c r="C8" s="1195"/>
      <c r="D8" s="1195"/>
      <c r="E8" s="1195"/>
      <c r="F8" s="1193" t="s">
        <v>1</v>
      </c>
      <c r="G8" s="1193" t="s">
        <v>2223</v>
      </c>
      <c r="H8" s="1196"/>
      <c r="I8" s="1197">
        <v>58.74</v>
      </c>
      <c r="J8" s="1197" t="s">
        <v>3278</v>
      </c>
      <c r="K8" s="1197">
        <v>58.74</v>
      </c>
      <c r="L8" s="150">
        <f t="shared" si="0"/>
        <v>234</v>
      </c>
      <c r="M8" s="151" t="str">
        <f t="shared" si="1"/>
        <v>TOTAL HRES PROD. SERVICE</v>
      </c>
      <c r="N8" s="152">
        <f>+IF(OR($Q8=Parametres!$G$2,$Q8=Parametres!$G$3),I8,C8)</f>
        <v>58.74</v>
      </c>
      <c r="O8" s="1084" t="str">
        <f>+IF(OR($Q8=Parametres!$G$2,$Q8=Parametres!$G$3),J8,D8)</f>
        <v xml:space="preserve">                                              -   </v>
      </c>
      <c r="P8" s="152">
        <f>+IF(OR($Q8=Parametres!$G$2,$Q8=Parametres!$G$3),K8,E8)</f>
        <v>58.74</v>
      </c>
      <c r="Q8" s="151" t="str">
        <f t="shared" si="2"/>
        <v>1-Mémo</v>
      </c>
      <c r="R8" s="150" t="str">
        <f t="shared" si="3"/>
        <v>23</v>
      </c>
      <c r="S8" s="151">
        <f t="shared" si="4"/>
        <v>0</v>
      </c>
      <c r="T8" s="153">
        <f>+VLOOKUP($L8,Data_Validation!$A:$D,1,0)</f>
        <v>234</v>
      </c>
      <c r="U8" s="153">
        <f>+VLOOKUP($L8,Data_Validation!$A:$D,3,0)</f>
        <v>0</v>
      </c>
      <c r="V8" s="153">
        <f>+VLOOKUP($L8,Data_Validation!$A:$D,4,0)</f>
        <v>0</v>
      </c>
      <c r="W8" s="153">
        <f>+VLOOKUP($L8,Data_Validation!$A:$E,5,0)</f>
        <v>0</v>
      </c>
      <c r="X8" s="153">
        <f>+VLOOKUP($L8,Data_Validation!$A:$F,6,0)</f>
        <v>0</v>
      </c>
    </row>
    <row r="9" spans="1:26" ht="15" customHeight="1">
      <c r="A9" s="1193" t="s">
        <v>2228</v>
      </c>
      <c r="B9" s="1194">
        <v>236</v>
      </c>
      <c r="C9" s="1195"/>
      <c r="D9" s="1195"/>
      <c r="E9" s="1195"/>
      <c r="F9" s="1193" t="s">
        <v>1</v>
      </c>
      <c r="G9" s="1193" t="s">
        <v>2223</v>
      </c>
      <c r="H9" s="1196"/>
      <c r="I9" s="1197">
        <v>56.71</v>
      </c>
      <c r="J9" s="1197" t="s">
        <v>3278</v>
      </c>
      <c r="K9" s="1197">
        <v>56.71</v>
      </c>
      <c r="L9" s="150">
        <f t="shared" si="0"/>
        <v>236</v>
      </c>
      <c r="M9" s="151" t="str">
        <f t="shared" si="1"/>
        <v>HEURES VENDU VW - SERVICE</v>
      </c>
      <c r="N9" s="152">
        <f>+IF(OR($Q9=Parametres!$G$2,$Q9=Parametres!$G$3),I9,C9)</f>
        <v>56.71</v>
      </c>
      <c r="O9" s="1082" t="str">
        <f>+IF(OR($Q9=Parametres!$G$2,$Q9=Parametres!$G$3),J9,D9)</f>
        <v xml:space="preserve">                                              -   </v>
      </c>
      <c r="P9" s="152">
        <f>+IF(OR($Q9=Parametres!$G$2,$Q9=Parametres!$G$3),K9,E9)</f>
        <v>56.71</v>
      </c>
      <c r="Q9" s="151" t="str">
        <f t="shared" si="2"/>
        <v>1-Mémo</v>
      </c>
      <c r="R9" s="150" t="str">
        <f t="shared" si="3"/>
        <v>23</v>
      </c>
      <c r="S9" s="151">
        <f t="shared" si="4"/>
        <v>0</v>
      </c>
      <c r="T9" s="153">
        <f>+VLOOKUP($L9,Data_Validation!$A:$D,1,0)</f>
        <v>236</v>
      </c>
      <c r="U9" s="153">
        <f>+VLOOKUP($L9,Data_Validation!$A:$D,3,0)</f>
        <v>0</v>
      </c>
      <c r="V9" s="153">
        <f>+VLOOKUP($L9,Data_Validation!$A:$D,4,0)</f>
        <v>0</v>
      </c>
      <c r="W9" s="153">
        <f>+VLOOKUP($L9,Data_Validation!$A:$E,5,0)</f>
        <v>0</v>
      </c>
      <c r="X9" s="153">
        <f>+VLOOKUP($L9,Data_Validation!$A:$F,6,0)</f>
        <v>0</v>
      </c>
    </row>
    <row r="10" spans="1:26" ht="15" customHeight="1">
      <c r="A10" s="1193" t="s">
        <v>2230</v>
      </c>
      <c r="B10" s="1194">
        <v>238</v>
      </c>
      <c r="C10" s="1195"/>
      <c r="D10" s="1195"/>
      <c r="E10" s="1195"/>
      <c r="F10" s="1193" t="s">
        <v>1</v>
      </c>
      <c r="G10" s="1193" t="s">
        <v>2223</v>
      </c>
      <c r="H10" s="1196"/>
      <c r="I10" s="1197">
        <v>65.88</v>
      </c>
      <c r="J10" s="1197" t="s">
        <v>3278</v>
      </c>
      <c r="K10" s="1197">
        <v>65.88</v>
      </c>
      <c r="L10" s="150">
        <f t="shared" si="0"/>
        <v>238</v>
      </c>
      <c r="M10" s="151" t="str">
        <f t="shared" si="1"/>
        <v>TOT. HEURES DISP. SERVICE</v>
      </c>
      <c r="N10" s="152">
        <f>+IF(OR($Q10=Parametres!$G$2,$Q10=Parametres!$G$3),I10,C10)</f>
        <v>65.88</v>
      </c>
      <c r="O10" s="1085" t="str">
        <f>+IF(OR($Q10=Parametres!$G$2,$Q10=Parametres!$G$3),J10,D10)</f>
        <v xml:space="preserve">                                              -   </v>
      </c>
      <c r="P10" s="152">
        <f>+IF(OR($Q10=Parametres!$G$2,$Q10=Parametres!$G$3),K10,E10)</f>
        <v>65.88</v>
      </c>
      <c r="Q10" s="151" t="str">
        <f t="shared" si="2"/>
        <v>1-Mémo</v>
      </c>
      <c r="R10" s="150" t="str">
        <f t="shared" si="3"/>
        <v>23</v>
      </c>
      <c r="S10" s="151">
        <f t="shared" si="4"/>
        <v>0</v>
      </c>
      <c r="T10" s="153">
        <f>+VLOOKUP($L10,Data_Validation!$A:$D,1,0)</f>
        <v>238</v>
      </c>
      <c r="U10" s="153">
        <f>+VLOOKUP($L10,Data_Validation!$A:$D,3,0)</f>
        <v>0</v>
      </c>
      <c r="V10" s="153">
        <f>+VLOOKUP($L10,Data_Validation!$A:$D,4,0)</f>
        <v>0</v>
      </c>
      <c r="W10" s="153">
        <f>+VLOOKUP($L10,Data_Validation!$A:$E,5,0)</f>
        <v>0</v>
      </c>
      <c r="X10" s="153">
        <f>+VLOOKUP($L10,Data_Validation!$A:$F,6,0)</f>
        <v>0</v>
      </c>
    </row>
    <row r="11" spans="1:26" ht="15" customHeight="1">
      <c r="A11" s="1193" t="s">
        <v>2232</v>
      </c>
      <c r="B11" s="1194">
        <v>243</v>
      </c>
      <c r="C11" s="1195"/>
      <c r="D11" s="1195"/>
      <c r="E11" s="1195"/>
      <c r="F11" s="1193" t="s">
        <v>1</v>
      </c>
      <c r="G11" s="1193" t="s">
        <v>2234</v>
      </c>
      <c r="H11" s="1196"/>
      <c r="I11" s="1197">
        <v>134.94999999999999</v>
      </c>
      <c r="J11" s="1197" t="s">
        <v>3278</v>
      </c>
      <c r="K11" s="1197">
        <v>134.94999999999999</v>
      </c>
      <c r="L11" s="150">
        <f t="shared" si="0"/>
        <v>243</v>
      </c>
      <c r="M11" s="151" t="str">
        <f t="shared" si="1"/>
        <v>TAUX M/O CLIENT VW</v>
      </c>
      <c r="N11" s="152">
        <f>+IF(OR($Q11=Parametres!$G$2,$Q11=Parametres!$G$3),I11,C11)</f>
        <v>134.94999999999999</v>
      </c>
      <c r="O11" s="1085" t="str">
        <f>+IF(OR($Q11=Parametres!$G$2,$Q11=Parametres!$G$3),J11,D11)</f>
        <v xml:space="preserve">                                              -   </v>
      </c>
      <c r="P11" s="152">
        <f>+IF(OR($Q11=Parametres!$G$2,$Q11=Parametres!$G$3),K11,E11)</f>
        <v>134.94999999999999</v>
      </c>
      <c r="Q11" s="151" t="str">
        <f t="shared" si="2"/>
        <v>1-Mémo</v>
      </c>
      <c r="R11" s="150" t="str">
        <f t="shared" si="3"/>
        <v>24</v>
      </c>
      <c r="S11" s="151">
        <f t="shared" si="4"/>
        <v>0</v>
      </c>
      <c r="T11" s="153">
        <f>+VLOOKUP($L11,Data_Validation!$A:$D,1,0)</f>
        <v>243</v>
      </c>
      <c r="U11" s="153">
        <f>+VLOOKUP($L11,Data_Validation!$A:$D,3,0)</f>
        <v>0</v>
      </c>
      <c r="V11" s="153">
        <f>+VLOOKUP($L11,Data_Validation!$A:$D,4,0)</f>
        <v>0</v>
      </c>
      <c r="W11" s="153">
        <f>+VLOOKUP($L11,Data_Validation!$A:$E,5,0)</f>
        <v>0</v>
      </c>
      <c r="X11" s="153">
        <f>+VLOOKUP($L11,Data_Validation!$A:$F,6,0)</f>
        <v>0</v>
      </c>
    </row>
    <row r="12" spans="1:26" ht="15" customHeight="1">
      <c r="A12" s="1193" t="s">
        <v>2235</v>
      </c>
      <c r="B12" s="1194">
        <v>244</v>
      </c>
      <c r="C12" s="1195"/>
      <c r="D12" s="1195"/>
      <c r="E12" s="1195"/>
      <c r="F12" s="1193" t="s">
        <v>1</v>
      </c>
      <c r="G12" s="1193" t="s">
        <v>2234</v>
      </c>
      <c r="H12" s="1196"/>
      <c r="I12" s="1197">
        <v>123.64</v>
      </c>
      <c r="J12" s="1197" t="s">
        <v>3278</v>
      </c>
      <c r="K12" s="1197">
        <v>123.64</v>
      </c>
      <c r="L12" s="150">
        <f t="shared" si="0"/>
        <v>244</v>
      </c>
      <c r="M12" s="151" t="str">
        <f t="shared" si="1"/>
        <v>TAUX M/O GARANTIE VW</v>
      </c>
      <c r="N12" s="152">
        <f>+IF(OR($Q12=Parametres!$G$2,$Q12=Parametres!$G$3),I12,C12)</f>
        <v>123.64</v>
      </c>
      <c r="O12" s="1084" t="str">
        <f>+IF(OR($Q12=Parametres!$G$2,$Q12=Parametres!$G$3),J12,D12)</f>
        <v xml:space="preserve">                                              -   </v>
      </c>
      <c r="P12" s="152">
        <f>+IF(OR($Q12=Parametres!$G$2,$Q12=Parametres!$G$3),K12,E12)</f>
        <v>123.64</v>
      </c>
      <c r="Q12" s="151" t="str">
        <f t="shared" si="2"/>
        <v>1-Mémo</v>
      </c>
      <c r="R12" s="150" t="str">
        <f t="shared" si="3"/>
        <v>24</v>
      </c>
      <c r="S12" s="151">
        <f t="shared" si="4"/>
        <v>0</v>
      </c>
      <c r="T12" s="153">
        <f>+VLOOKUP($L12,Data_Validation!$A:$D,1,0)</f>
        <v>244</v>
      </c>
      <c r="U12" s="153">
        <f>+VLOOKUP($L12,Data_Validation!$A:$D,3,0)</f>
        <v>0</v>
      </c>
      <c r="V12" s="153">
        <f>+VLOOKUP($L12,Data_Validation!$A:$D,4,0)</f>
        <v>0</v>
      </c>
      <c r="W12" s="153">
        <f>+VLOOKUP($L12,Data_Validation!$A:$E,5,0)</f>
        <v>0</v>
      </c>
      <c r="X12" s="153">
        <f>+VLOOKUP($L12,Data_Validation!$A:$F,6,0)</f>
        <v>0</v>
      </c>
    </row>
    <row r="13" spans="1:26" ht="15" customHeight="1">
      <c r="A13" s="1193" t="s">
        <v>2237</v>
      </c>
      <c r="B13" s="1194">
        <v>245</v>
      </c>
      <c r="C13" s="1195"/>
      <c r="D13" s="1195"/>
      <c r="E13" s="1195"/>
      <c r="F13" s="1193" t="s">
        <v>1</v>
      </c>
      <c r="G13" s="1193" t="s">
        <v>2234</v>
      </c>
      <c r="H13" s="1196"/>
      <c r="I13" s="1197">
        <v>134.94999999999999</v>
      </c>
      <c r="J13" s="1197" t="s">
        <v>3278</v>
      </c>
      <c r="K13" s="1197">
        <v>134.94999999999999</v>
      </c>
      <c r="L13" s="150">
        <f t="shared" si="0"/>
        <v>245</v>
      </c>
      <c r="M13" s="151" t="str">
        <f t="shared" si="1"/>
        <v>TAUX M/O INTERNE VW</v>
      </c>
      <c r="N13" s="152">
        <f>+IF(OR($Q13=Parametres!$G$2,$Q13=Parametres!$G$3),I13,C13)</f>
        <v>134.94999999999999</v>
      </c>
      <c r="O13" s="1084" t="str">
        <f>+IF(OR($Q13=Parametres!$G$2,$Q13=Parametres!$G$3),J13,D13)</f>
        <v xml:space="preserve">                                              -   </v>
      </c>
      <c r="P13" s="152">
        <f>+IF(OR($Q13=Parametres!$G$2,$Q13=Parametres!$G$3),K13,E13)</f>
        <v>134.94999999999999</v>
      </c>
      <c r="Q13" s="151" t="str">
        <f t="shared" si="2"/>
        <v>1-Mémo</v>
      </c>
      <c r="R13" s="150" t="str">
        <f t="shared" si="3"/>
        <v>24</v>
      </c>
      <c r="S13" s="151">
        <f t="shared" si="4"/>
        <v>0</v>
      </c>
      <c r="T13" s="153">
        <f>+VLOOKUP($L13,Data_Validation!$A:$D,1,0)</f>
        <v>245</v>
      </c>
      <c r="U13" s="153">
        <f>+VLOOKUP($L13,Data_Validation!$A:$D,3,0)</f>
        <v>0</v>
      </c>
      <c r="V13" s="153">
        <f>+VLOOKUP($L13,Data_Validation!$A:$D,4,0)</f>
        <v>0</v>
      </c>
      <c r="W13" s="153">
        <f>+VLOOKUP($L13,Data_Validation!$A:$E,5,0)</f>
        <v>0</v>
      </c>
      <c r="X13" s="153">
        <f>+VLOOKUP($L13,Data_Validation!$A:$F,6,0)</f>
        <v>0</v>
      </c>
    </row>
    <row r="14" spans="1:26" ht="15" customHeight="1">
      <c r="A14" s="1193" t="s">
        <v>2239</v>
      </c>
      <c r="B14" s="1194">
        <v>246</v>
      </c>
      <c r="C14" s="1195"/>
      <c r="D14" s="1195"/>
      <c r="E14" s="1195"/>
      <c r="F14" s="1193" t="s">
        <v>1</v>
      </c>
      <c r="G14" s="1193" t="s">
        <v>2234</v>
      </c>
      <c r="H14" s="1196"/>
      <c r="I14" s="1197">
        <v>65</v>
      </c>
      <c r="J14" s="1197" t="s">
        <v>3278</v>
      </c>
      <c r="K14" s="1197">
        <v>65</v>
      </c>
      <c r="L14" s="150">
        <f t="shared" si="0"/>
        <v>246</v>
      </c>
      <c r="M14" s="151" t="str">
        <f t="shared" si="1"/>
        <v>TAUX M/O CARR. VW</v>
      </c>
      <c r="N14" s="152">
        <f>+IF(OR($Q14=Parametres!$G$2,$Q14=Parametres!$G$3),I14,C14)</f>
        <v>65</v>
      </c>
      <c r="O14" s="1084" t="str">
        <f>+IF(OR($Q14=Parametres!$G$2,$Q14=Parametres!$G$3),J14,D14)</f>
        <v xml:space="preserve">                                              -   </v>
      </c>
      <c r="P14" s="152">
        <f>+IF(OR($Q14=Parametres!$G$2,$Q14=Parametres!$G$3),K14,E14)</f>
        <v>65</v>
      </c>
      <c r="Q14" s="151" t="str">
        <f t="shared" si="2"/>
        <v>1-Mémo</v>
      </c>
      <c r="R14" s="150" t="str">
        <f t="shared" si="3"/>
        <v>24</v>
      </c>
      <c r="S14" s="151">
        <f t="shared" si="4"/>
        <v>0</v>
      </c>
      <c r="T14" s="153">
        <f>+VLOOKUP($L14,Data_Validation!$A:$D,1,0)</f>
        <v>246</v>
      </c>
      <c r="U14" s="153">
        <f>+VLOOKUP($L14,Data_Validation!$A:$D,3,0)</f>
        <v>0</v>
      </c>
      <c r="V14" s="153">
        <f>+VLOOKUP($L14,Data_Validation!$A:$D,4,0)</f>
        <v>0</v>
      </c>
      <c r="W14" s="153">
        <f>+VLOOKUP($L14,Data_Validation!$A:$E,5,0)</f>
        <v>0</v>
      </c>
      <c r="X14" s="153">
        <f>+VLOOKUP($L14,Data_Validation!$A:$F,6,0)</f>
        <v>0</v>
      </c>
    </row>
    <row r="15" spans="1:26" ht="15" customHeight="1">
      <c r="A15" s="1193" t="s">
        <v>2241</v>
      </c>
      <c r="B15" s="1194">
        <v>255</v>
      </c>
      <c r="C15" s="1195"/>
      <c r="D15" s="1196"/>
      <c r="E15" s="1195"/>
      <c r="F15" s="1193" t="s">
        <v>1</v>
      </c>
      <c r="G15" s="1193" t="s">
        <v>2242</v>
      </c>
      <c r="H15" s="1196"/>
      <c r="I15" s="1197">
        <v>0.08</v>
      </c>
      <c r="J15" s="1197" t="s">
        <v>3278</v>
      </c>
      <c r="K15" s="1197">
        <v>0.08</v>
      </c>
      <c r="L15" s="150">
        <f t="shared" si="0"/>
        <v>255</v>
      </c>
      <c r="M15" s="151" t="str">
        <f t="shared" si="1"/>
        <v>BAIES TRAVAIL PRODUCTIVES - SERVICE VW</v>
      </c>
      <c r="N15" s="152">
        <f>+IF(OR($Q15=Parametres!$G$2,$Q15=Parametres!$G$3),I15,C15)</f>
        <v>0.08</v>
      </c>
      <c r="O15" s="1084" t="str">
        <f>+IF(OR($Q15=Parametres!$G$2,$Q15=Parametres!$G$3),J15,D15)</f>
        <v xml:space="preserve">                                              -   </v>
      </c>
      <c r="P15" s="152">
        <f>+IF(OR($Q15=Parametres!$G$2,$Q15=Parametres!$G$3),K15,E15)</f>
        <v>0.08</v>
      </c>
      <c r="Q15" s="151" t="str">
        <f t="shared" si="2"/>
        <v>1-Mémo</v>
      </c>
      <c r="R15" s="150" t="str">
        <f t="shared" si="3"/>
        <v>255</v>
      </c>
      <c r="S15" s="151">
        <f t="shared" si="4"/>
        <v>0</v>
      </c>
      <c r="T15" s="153">
        <f>+VLOOKUP($L15,Data_Validation!$A:$D,1,0)</f>
        <v>255</v>
      </c>
      <c r="U15" s="153">
        <f>+VLOOKUP($L15,Data_Validation!$A:$D,3,0)</f>
        <v>0</v>
      </c>
      <c r="V15" s="153">
        <f>+VLOOKUP($L15,Data_Validation!$A:$D,4,0)</f>
        <v>0</v>
      </c>
      <c r="W15" s="153">
        <f>+VLOOKUP($L15,Data_Validation!$A:$E,5,0)</f>
        <v>0</v>
      </c>
      <c r="X15" s="153">
        <f>+VLOOKUP($L15,Data_Validation!$A:$F,6,0)</f>
        <v>0</v>
      </c>
    </row>
    <row r="16" spans="1:26" ht="15" customHeight="1">
      <c r="A16" s="1193" t="s">
        <v>2243</v>
      </c>
      <c r="B16" s="1194">
        <v>257</v>
      </c>
      <c r="C16" s="1195"/>
      <c r="D16" s="1195"/>
      <c r="E16" s="1195"/>
      <c r="F16" s="1193" t="s">
        <v>1</v>
      </c>
      <c r="G16" s="1193" t="s">
        <v>2244</v>
      </c>
      <c r="H16" s="1196"/>
      <c r="I16" s="1197">
        <v>3058.08</v>
      </c>
      <c r="J16" s="1197" t="s">
        <v>3278</v>
      </c>
      <c r="K16" s="1197">
        <v>3058.08</v>
      </c>
      <c r="L16" s="150">
        <f t="shared" si="0"/>
        <v>257</v>
      </c>
      <c r="M16" s="151" t="str">
        <f t="shared" si="1"/>
        <v>HEURES VENDUES - SERVICE - CLIENT VW</v>
      </c>
      <c r="N16" s="152">
        <f>+IF(OR($Q16=Parametres!$G$2,$Q16=Parametres!$G$3),I16,C16)</f>
        <v>3058.08</v>
      </c>
      <c r="O16" s="1084" t="str">
        <f>+IF(OR($Q16=Parametres!$G$2,$Q16=Parametres!$G$3),J16,D16)</f>
        <v xml:space="preserve">                                              -   </v>
      </c>
      <c r="P16" s="152">
        <f>+IF(OR($Q16=Parametres!$G$2,$Q16=Parametres!$G$3),K16,E16)</f>
        <v>3058.08</v>
      </c>
      <c r="Q16" s="151" t="str">
        <f t="shared" si="2"/>
        <v>1-Mémo</v>
      </c>
      <c r="R16" s="150" t="str">
        <f t="shared" si="3"/>
        <v>257</v>
      </c>
      <c r="S16" s="151">
        <f t="shared" si="4"/>
        <v>0</v>
      </c>
      <c r="T16" s="153">
        <f>+VLOOKUP($L16,Data_Validation!$A:$D,1,0)</f>
        <v>257</v>
      </c>
      <c r="U16" s="153">
        <f>+VLOOKUP($L16,Data_Validation!$A:$D,3,0)</f>
        <v>0</v>
      </c>
      <c r="V16" s="153">
        <f>+VLOOKUP($L16,Data_Validation!$A:$D,4,0)</f>
        <v>0</v>
      </c>
      <c r="W16" s="153">
        <f>+VLOOKUP($L16,Data_Validation!$A:$E,5,0)</f>
        <v>0</v>
      </c>
      <c r="X16" s="153">
        <f>+VLOOKUP($L16,Data_Validation!$A:$F,6,0)</f>
        <v>0</v>
      </c>
    </row>
    <row r="17" spans="1:24" ht="15" customHeight="1">
      <c r="A17" s="1193" t="s">
        <v>2245</v>
      </c>
      <c r="B17" s="1194">
        <v>258</v>
      </c>
      <c r="C17" s="1195"/>
      <c r="D17" s="1195"/>
      <c r="E17" s="1195"/>
      <c r="F17" s="1193" t="s">
        <v>1</v>
      </c>
      <c r="G17" s="1193" t="s">
        <v>2244</v>
      </c>
      <c r="H17" s="1196"/>
      <c r="I17" s="1197">
        <v>1320.06</v>
      </c>
      <c r="J17" s="1197" t="s">
        <v>3278</v>
      </c>
      <c r="K17" s="1197">
        <v>1320.06</v>
      </c>
      <c r="L17" s="150">
        <f t="shared" si="0"/>
        <v>258</v>
      </c>
      <c r="M17" s="151" t="str">
        <f t="shared" si="1"/>
        <v>HEURES VENDUES - SERVICE - GARANTIE VW</v>
      </c>
      <c r="N17" s="152">
        <f>+IF(OR($Q17=Parametres!$G$2,$Q17=Parametres!$G$3),I17,C17)</f>
        <v>1320.06</v>
      </c>
      <c r="O17" s="1084" t="str">
        <f>+IF(OR($Q17=Parametres!$G$2,$Q17=Parametres!$G$3),J17,D17)</f>
        <v xml:space="preserve">                                              -   </v>
      </c>
      <c r="P17" s="152">
        <f>+IF(OR($Q17=Parametres!$G$2,$Q17=Parametres!$G$3),K17,E17)</f>
        <v>1320.06</v>
      </c>
      <c r="Q17" s="151" t="str">
        <f t="shared" si="2"/>
        <v>1-Mémo</v>
      </c>
      <c r="R17" s="150" t="str">
        <f t="shared" si="3"/>
        <v>257</v>
      </c>
      <c r="S17" s="151">
        <f t="shared" si="4"/>
        <v>0</v>
      </c>
      <c r="T17" s="153">
        <f>+VLOOKUP($L17,Data_Validation!$A:$D,1,0)</f>
        <v>258</v>
      </c>
      <c r="U17" s="153">
        <f>+VLOOKUP($L17,Data_Validation!$A:$D,3,0)</f>
        <v>0</v>
      </c>
      <c r="V17" s="153">
        <f>+VLOOKUP($L17,Data_Validation!$A:$D,4,0)</f>
        <v>0</v>
      </c>
      <c r="W17" s="153">
        <f>+VLOOKUP($L17,Data_Validation!$A:$E,5,0)</f>
        <v>0</v>
      </c>
      <c r="X17" s="153">
        <f>+VLOOKUP($L17,Data_Validation!$A:$F,6,0)</f>
        <v>0</v>
      </c>
    </row>
    <row r="18" spans="1:24" ht="15" customHeight="1">
      <c r="A18" s="1193" t="s">
        <v>2247</v>
      </c>
      <c r="B18" s="1194">
        <v>259</v>
      </c>
      <c r="C18" s="1195"/>
      <c r="D18" s="1195"/>
      <c r="E18" s="1195"/>
      <c r="F18" s="1193" t="s">
        <v>1</v>
      </c>
      <c r="G18" s="1193" t="s">
        <v>2244</v>
      </c>
      <c r="H18" s="1196"/>
      <c r="I18" s="1197">
        <v>1293.18</v>
      </c>
      <c r="J18" s="1197" t="s">
        <v>3278</v>
      </c>
      <c r="K18" s="1197">
        <v>1293.18</v>
      </c>
      <c r="L18" s="150">
        <f t="shared" si="0"/>
        <v>259</v>
      </c>
      <c r="M18" s="151" t="str">
        <f t="shared" si="1"/>
        <v>HEURES VENDUES - SERVICE - INTERNE VW</v>
      </c>
      <c r="N18" s="152">
        <f>+IF(OR($Q18=Parametres!$G$2,$Q18=Parametres!$G$3),I18,C18)</f>
        <v>1293.18</v>
      </c>
      <c r="O18" s="1084" t="str">
        <f>+IF(OR($Q18=Parametres!$G$2,$Q18=Parametres!$G$3),J18,D18)</f>
        <v xml:space="preserve">                                              -   </v>
      </c>
      <c r="P18" s="152">
        <f>+IF(OR($Q18=Parametres!$G$2,$Q18=Parametres!$G$3),K18,E18)</f>
        <v>1293.18</v>
      </c>
      <c r="Q18" s="151" t="str">
        <f t="shared" si="2"/>
        <v>1-Mémo</v>
      </c>
      <c r="R18" s="150" t="str">
        <f t="shared" si="3"/>
        <v>257</v>
      </c>
      <c r="S18" s="151">
        <f t="shared" si="4"/>
        <v>0</v>
      </c>
      <c r="T18" s="153">
        <f>+VLOOKUP($L18,Data_Validation!$A:$D,1,0)</f>
        <v>259</v>
      </c>
      <c r="U18" s="153">
        <f>+VLOOKUP($L18,Data_Validation!$A:$D,3,0)</f>
        <v>0</v>
      </c>
      <c r="V18" s="153">
        <f>+VLOOKUP($L18,Data_Validation!$A:$D,4,0)</f>
        <v>0</v>
      </c>
      <c r="W18" s="153">
        <f>+VLOOKUP($L18,Data_Validation!$A:$E,5,0)</f>
        <v>0</v>
      </c>
      <c r="X18" s="153">
        <f>+VLOOKUP($L18,Data_Validation!$A:$F,6,0)</f>
        <v>0</v>
      </c>
    </row>
    <row r="19" spans="1:24" ht="15" customHeight="1">
      <c r="A19" s="1193" t="s">
        <v>2249</v>
      </c>
      <c r="B19" s="1194">
        <v>300</v>
      </c>
      <c r="C19" s="1195"/>
      <c r="D19" s="1195"/>
      <c r="E19" s="1195"/>
      <c r="F19" s="1193" t="s">
        <v>1</v>
      </c>
      <c r="G19" s="1193" t="s">
        <v>2204</v>
      </c>
      <c r="H19" s="1196"/>
      <c r="I19" s="1197">
        <v>9716.18</v>
      </c>
      <c r="J19" s="1197" t="s">
        <v>3278</v>
      </c>
      <c r="K19" s="1197">
        <v>9716.18</v>
      </c>
      <c r="L19" s="150">
        <f t="shared" si="0"/>
        <v>300</v>
      </c>
      <c r="M19" s="151" t="str">
        <f t="shared" si="1"/>
        <v>REC VEH PASSE DU 30-60</v>
      </c>
      <c r="N19" s="152">
        <f>+IF(OR($Q19=Parametres!$G$2,$Q19=Parametres!$G$3),I19,C19)</f>
        <v>9716.18</v>
      </c>
      <c r="O19" s="1082" t="str">
        <f>+IF(OR($Q19=Parametres!$G$2,$Q19=Parametres!$G$3),J19,D19)</f>
        <v xml:space="preserve">                                              -   </v>
      </c>
      <c r="P19" s="152">
        <f>+IF(OR($Q19=Parametres!$G$2,$Q19=Parametres!$G$3),K19,E19)</f>
        <v>9716.18</v>
      </c>
      <c r="Q19" s="151" t="str">
        <f t="shared" si="2"/>
        <v>1-Mémo</v>
      </c>
      <c r="R19" s="150" t="str">
        <f t="shared" si="3"/>
        <v>30</v>
      </c>
      <c r="S19" s="151">
        <f t="shared" si="4"/>
        <v>0</v>
      </c>
      <c r="T19" s="153">
        <f>+VLOOKUP($L19,Data_Validation!$A:$D,1,0)</f>
        <v>300</v>
      </c>
      <c r="U19" s="153">
        <f>+VLOOKUP($L19,Data_Validation!$A:$D,3,0)</f>
        <v>0</v>
      </c>
      <c r="V19" s="153">
        <f>+VLOOKUP($L19,Data_Validation!$A:$D,4,0)</f>
        <v>0</v>
      </c>
      <c r="W19" s="153">
        <f>+VLOOKUP($L19,Data_Validation!$A:$E,5,0)</f>
        <v>0</v>
      </c>
      <c r="X19" s="153">
        <f>+VLOOKUP($L19,Data_Validation!$A:$F,6,0)</f>
        <v>0</v>
      </c>
    </row>
    <row r="20" spans="1:24" ht="15" customHeight="1">
      <c r="A20" s="1193" t="s">
        <v>2251</v>
      </c>
      <c r="B20" s="1194">
        <v>301</v>
      </c>
      <c r="C20" s="1195"/>
      <c r="D20" s="1195"/>
      <c r="E20" s="1195"/>
      <c r="F20" s="1193" t="s">
        <v>1</v>
      </c>
      <c r="G20" s="1193" t="s">
        <v>2204</v>
      </c>
      <c r="H20" s="1196"/>
      <c r="I20" s="1197">
        <v>60961.53</v>
      </c>
      <c r="J20" s="1197" t="s">
        <v>3278</v>
      </c>
      <c r="K20" s="1197">
        <v>60961.53</v>
      </c>
      <c r="L20" s="150">
        <f t="shared" si="0"/>
        <v>301</v>
      </c>
      <c r="M20" s="151" t="str">
        <f t="shared" si="1"/>
        <v>CLIENT S P ET A PASSE DU 30-60</v>
      </c>
      <c r="N20" s="152">
        <f>+IF(OR($Q20=Parametres!$G$2,$Q20=Parametres!$G$3),I20,C20)</f>
        <v>60961.53</v>
      </c>
      <c r="O20" s="1084" t="str">
        <f>+IF(OR($Q20=Parametres!$G$2,$Q20=Parametres!$G$3),J20,D20)</f>
        <v xml:space="preserve">                                              -   </v>
      </c>
      <c r="P20" s="152">
        <f>+IF(OR($Q20=Parametres!$G$2,$Q20=Parametres!$G$3),K20,E20)</f>
        <v>60961.53</v>
      </c>
      <c r="Q20" s="151" t="str">
        <f t="shared" si="2"/>
        <v>1-Mémo</v>
      </c>
      <c r="R20" s="150" t="str">
        <f t="shared" si="3"/>
        <v>30</v>
      </c>
      <c r="S20" s="151">
        <f t="shared" si="4"/>
        <v>0</v>
      </c>
      <c r="T20" s="153">
        <f>+VLOOKUP($L20,Data_Validation!$A:$D,1,0)</f>
        <v>301</v>
      </c>
      <c r="U20" s="153">
        <f>+VLOOKUP($L20,Data_Validation!$A:$D,3,0)</f>
        <v>0</v>
      </c>
      <c r="V20" s="153">
        <f>+VLOOKUP($L20,Data_Validation!$A:$D,4,0)</f>
        <v>0</v>
      </c>
      <c r="W20" s="153">
        <f>+VLOOKUP($L20,Data_Validation!$A:$E,5,0)</f>
        <v>0</v>
      </c>
      <c r="X20" s="153">
        <f>+VLOOKUP($L20,Data_Validation!$A:$F,6,0)</f>
        <v>0</v>
      </c>
    </row>
    <row r="21" spans="1:24" ht="15" customHeight="1">
      <c r="A21" s="1193" t="s">
        <v>2253</v>
      </c>
      <c r="B21" s="1194">
        <v>302</v>
      </c>
      <c r="C21" s="1195"/>
      <c r="D21" s="1195"/>
      <c r="E21" s="1195"/>
      <c r="F21" s="1193" t="s">
        <v>1</v>
      </c>
      <c r="G21" s="1193" t="s">
        <v>2204</v>
      </c>
      <c r="H21" s="1196"/>
      <c r="I21" s="1197">
        <v>74148.83</v>
      </c>
      <c r="J21" s="1197" t="s">
        <v>3278</v>
      </c>
      <c r="K21" s="1197">
        <v>74148.83</v>
      </c>
      <c r="L21" s="150">
        <f t="shared" si="0"/>
        <v>302</v>
      </c>
      <c r="M21" s="151" t="str">
        <f t="shared" si="1"/>
        <v>RECLAM GARANTIE VW PASSE DU 30-60</v>
      </c>
      <c r="N21" s="152">
        <f>+IF(OR($Q21=Parametres!$G$2,$Q21=Parametres!$G$3),I21,C21)</f>
        <v>74148.83</v>
      </c>
      <c r="O21" s="1084" t="str">
        <f>+IF(OR($Q21=Parametres!$G$2,$Q21=Parametres!$G$3),J21,D21)</f>
        <v xml:space="preserve">                                              -   </v>
      </c>
      <c r="P21" s="152">
        <f>+IF(OR($Q21=Parametres!$G$2,$Q21=Parametres!$G$3),K21,E21)</f>
        <v>74148.83</v>
      </c>
      <c r="Q21" s="151" t="str">
        <f t="shared" si="2"/>
        <v>1-Mémo</v>
      </c>
      <c r="R21" s="150" t="str">
        <f t="shared" si="3"/>
        <v>30</v>
      </c>
      <c r="S21" s="151">
        <f t="shared" si="4"/>
        <v>0</v>
      </c>
      <c r="T21" s="153">
        <f>+VLOOKUP($L21,Data_Validation!$A:$D,1,0)</f>
        <v>302</v>
      </c>
      <c r="U21" s="153">
        <f>+VLOOKUP($L21,Data_Validation!$A:$D,3,0)</f>
        <v>0</v>
      </c>
      <c r="V21" s="153">
        <f>+VLOOKUP($L21,Data_Validation!$A:$D,4,0)</f>
        <v>0</v>
      </c>
      <c r="W21" s="153">
        <f>+VLOOKUP($L21,Data_Validation!$A:$E,5,0)</f>
        <v>0</v>
      </c>
      <c r="X21" s="153">
        <f>+VLOOKUP($L21,Data_Validation!$A:$F,6,0)</f>
        <v>0</v>
      </c>
    </row>
    <row r="22" spans="1:24" ht="15" customHeight="1">
      <c r="A22" s="1193" t="s">
        <v>2257</v>
      </c>
      <c r="B22" s="1194">
        <v>311</v>
      </c>
      <c r="C22" s="1195"/>
      <c r="D22" s="1195"/>
      <c r="E22" s="1195"/>
      <c r="F22" s="1193" t="s">
        <v>1</v>
      </c>
      <c r="G22" s="1193" t="s">
        <v>2259</v>
      </c>
      <c r="H22" s="1196"/>
      <c r="I22" s="1197">
        <v>11080.91</v>
      </c>
      <c r="J22" s="1197" t="s">
        <v>3278</v>
      </c>
      <c r="K22" s="1197">
        <v>11080.91</v>
      </c>
      <c r="L22" s="150">
        <f t="shared" si="0"/>
        <v>311</v>
      </c>
      <c r="M22" s="151" t="str">
        <f t="shared" si="1"/>
        <v>CLIENT VEH PLUS DE 60</v>
      </c>
      <c r="N22" s="152">
        <f>+IF(OR($Q22=Parametres!$G$2,$Q22=Parametres!$G$3),I22,C22)</f>
        <v>11080.91</v>
      </c>
      <c r="O22" s="1084" t="str">
        <f>+IF(OR($Q22=Parametres!$G$2,$Q22=Parametres!$G$3),J22,D22)</f>
        <v xml:space="preserve">                                              -   </v>
      </c>
      <c r="P22" s="152">
        <f>+IF(OR($Q22=Parametres!$G$2,$Q22=Parametres!$G$3),K22,E22)</f>
        <v>11080.91</v>
      </c>
      <c r="Q22" s="151" t="str">
        <f t="shared" si="2"/>
        <v>1-Mémo</v>
      </c>
      <c r="R22" s="150" t="str">
        <f t="shared" si="3"/>
        <v>31</v>
      </c>
      <c r="S22" s="151">
        <f t="shared" si="4"/>
        <v>0</v>
      </c>
      <c r="T22" s="153">
        <f>+VLOOKUP($L22,Data_Validation!$A:$D,1,0)</f>
        <v>311</v>
      </c>
      <c r="U22" s="153">
        <f>+VLOOKUP($L22,Data_Validation!$A:$D,3,0)</f>
        <v>0</v>
      </c>
      <c r="V22" s="153">
        <f>+VLOOKUP($L22,Data_Validation!$A:$D,4,0)</f>
        <v>0</v>
      </c>
      <c r="W22" s="153">
        <f>+VLOOKUP($L22,Data_Validation!$A:$E,5,0)</f>
        <v>0</v>
      </c>
      <c r="X22" s="153">
        <f>+VLOOKUP($L22,Data_Validation!$A:$F,6,0)</f>
        <v>0</v>
      </c>
    </row>
    <row r="23" spans="1:24" ht="15" customHeight="1">
      <c r="A23" s="1193" t="s">
        <v>2260</v>
      </c>
      <c r="B23" s="1194">
        <v>312</v>
      </c>
      <c r="C23" s="1196"/>
      <c r="D23" s="1196"/>
      <c r="E23" s="1196"/>
      <c r="F23" s="1193" t="s">
        <v>1</v>
      </c>
      <c r="G23" s="1193" t="s">
        <v>2259</v>
      </c>
      <c r="H23" s="1196"/>
      <c r="I23" s="1197">
        <v>11966.58</v>
      </c>
      <c r="J23" s="1197" t="s">
        <v>3278</v>
      </c>
      <c r="K23" s="1197">
        <v>11966.58</v>
      </c>
      <c r="L23" s="150">
        <f t="shared" si="0"/>
        <v>312</v>
      </c>
      <c r="M23" s="151" t="str">
        <f t="shared" si="1"/>
        <v>CLIENT S P ET A PLUS DE 60</v>
      </c>
      <c r="N23" s="152">
        <f>+IF(OR($Q23=Parametres!$G$2,$Q23=Parametres!$G$3),I23,C23)</f>
        <v>11966.58</v>
      </c>
      <c r="O23" s="1084" t="str">
        <f>+IF(OR($Q23=Parametres!$G$2,$Q23=Parametres!$G$3),J23,D23)</f>
        <v xml:space="preserve">                                              -   </v>
      </c>
      <c r="P23" s="152">
        <f>+IF(OR($Q23=Parametres!$G$2,$Q23=Parametres!$G$3),K23,E23)</f>
        <v>11966.58</v>
      </c>
      <c r="Q23" s="151" t="str">
        <f t="shared" si="2"/>
        <v>1-Mémo</v>
      </c>
      <c r="R23" s="150" t="str">
        <f t="shared" si="3"/>
        <v>31</v>
      </c>
      <c r="S23" s="151">
        <f t="shared" si="4"/>
        <v>0</v>
      </c>
      <c r="T23" s="153">
        <f>+VLOOKUP($L23,Data_Validation!$A:$D,1,0)</f>
        <v>312</v>
      </c>
      <c r="U23" s="153">
        <f>+VLOOKUP($L23,Data_Validation!$A:$D,3,0)</f>
        <v>0</v>
      </c>
      <c r="V23" s="153">
        <f>+VLOOKUP($L23,Data_Validation!$A:$D,4,0)</f>
        <v>0</v>
      </c>
      <c r="W23" s="153">
        <f>+VLOOKUP($L23,Data_Validation!$A:$E,5,0)</f>
        <v>0</v>
      </c>
      <c r="X23" s="153">
        <f>+VLOOKUP($L23,Data_Validation!$A:$F,6,0)</f>
        <v>0</v>
      </c>
    </row>
    <row r="24" spans="1:24" ht="15" customHeight="1">
      <c r="A24" s="1193" t="s">
        <v>2262</v>
      </c>
      <c r="B24" s="1194">
        <v>313</v>
      </c>
      <c r="C24" s="1195"/>
      <c r="D24" s="1196"/>
      <c r="E24" s="1195"/>
      <c r="F24" s="1193" t="s">
        <v>1</v>
      </c>
      <c r="G24" s="1193" t="s">
        <v>2259</v>
      </c>
      <c r="H24" s="1196"/>
      <c r="I24" s="1197">
        <v>124132.83</v>
      </c>
      <c r="J24" s="1197" t="s">
        <v>3278</v>
      </c>
      <c r="K24" s="1197">
        <v>124132.83</v>
      </c>
      <c r="L24" s="150">
        <f t="shared" si="0"/>
        <v>313</v>
      </c>
      <c r="M24" s="151" t="str">
        <f t="shared" si="1"/>
        <v>RECLAMATIONS DE GARATIE VW PLUS DE 60</v>
      </c>
      <c r="N24" s="152">
        <f>+IF(OR($Q24=Parametres!$G$2,$Q24=Parametres!$G$3),I24,C24)</f>
        <v>124132.83</v>
      </c>
      <c r="O24" s="1084" t="str">
        <f>+IF(OR($Q24=Parametres!$G$2,$Q24=Parametres!$G$3),J24,D24)</f>
        <v xml:space="preserve">                                              -   </v>
      </c>
      <c r="P24" s="152">
        <f>+IF(OR($Q24=Parametres!$G$2,$Q24=Parametres!$G$3),K24,E24)</f>
        <v>124132.83</v>
      </c>
      <c r="Q24" s="151" t="str">
        <f t="shared" si="2"/>
        <v>1-Mémo</v>
      </c>
      <c r="R24" s="150" t="str">
        <f t="shared" si="3"/>
        <v>31</v>
      </c>
      <c r="S24" s="151">
        <f t="shared" si="4"/>
        <v>0</v>
      </c>
      <c r="T24" s="153">
        <f>+VLOOKUP($L24,Data_Validation!$A:$D,1,0)</f>
        <v>313</v>
      </c>
      <c r="U24" s="153">
        <f>+VLOOKUP($L24,Data_Validation!$A:$D,3,0)</f>
        <v>0</v>
      </c>
      <c r="V24" s="153">
        <f>+VLOOKUP($L24,Data_Validation!$A:$D,4,0)</f>
        <v>0</v>
      </c>
      <c r="W24" s="153">
        <f>+VLOOKUP($L24,Data_Validation!$A:$E,5,0)</f>
        <v>0</v>
      </c>
      <c r="X24" s="153">
        <f>+VLOOKUP($L24,Data_Validation!$A:$F,6,0)</f>
        <v>0</v>
      </c>
    </row>
    <row r="25" spans="1:24" ht="15" customHeight="1">
      <c r="A25" s="1193" t="s">
        <v>2266</v>
      </c>
      <c r="B25" s="1194">
        <v>350</v>
      </c>
      <c r="C25" s="1195"/>
      <c r="D25" s="1195"/>
      <c r="E25" s="1195"/>
      <c r="F25" s="1193" t="s">
        <v>1</v>
      </c>
      <c r="G25" s="1193" t="s">
        <v>3251</v>
      </c>
      <c r="H25" s="1196"/>
      <c r="I25" s="1197">
        <v>0.63</v>
      </c>
      <c r="J25" s="1197" t="s">
        <v>3278</v>
      </c>
      <c r="K25" s="1197">
        <v>0.63</v>
      </c>
      <c r="L25" s="150">
        <f t="shared" si="0"/>
        <v>350</v>
      </c>
      <c r="M25" s="151" t="str">
        <f t="shared" si="1"/>
        <v>UNITES USAGES +30JRS</v>
      </c>
      <c r="N25" s="152">
        <f>+IF(OR($Q25=Parametres!$G$2,$Q25=Parametres!$G$3),I25,C25)</f>
        <v>0.63</v>
      </c>
      <c r="O25" s="1084" t="str">
        <f>+IF(OR($Q25=Parametres!$G$2,$Q25=Parametres!$G$3),J25,D25)</f>
        <v xml:space="preserve">                                              -   </v>
      </c>
      <c r="P25" s="152">
        <f>+IF(OR($Q25=Parametres!$G$2,$Q25=Parametres!$G$3),K25,E25)</f>
        <v>0.63</v>
      </c>
      <c r="Q25" s="151" t="str">
        <f t="shared" si="2"/>
        <v>1-Mémo</v>
      </c>
      <c r="R25" s="150" t="str">
        <f t="shared" si="3"/>
        <v>35</v>
      </c>
      <c r="S25" s="151">
        <f t="shared" si="4"/>
        <v>0</v>
      </c>
      <c r="T25" s="153">
        <f>+VLOOKUP($L25,Data_Validation!$A:$D,1,0)</f>
        <v>350</v>
      </c>
      <c r="U25" s="153">
        <f>+VLOOKUP($L25,Data_Validation!$A:$D,3,0)</f>
        <v>0</v>
      </c>
      <c r="V25" s="153">
        <f>+VLOOKUP($L25,Data_Validation!$A:$D,4,0)</f>
        <v>0</v>
      </c>
      <c r="W25" s="153">
        <f>+VLOOKUP($L25,Data_Validation!$A:$E,5,0)</f>
        <v>0</v>
      </c>
      <c r="X25" s="153">
        <f>+VLOOKUP($L25,Data_Validation!$A:$F,6,0)</f>
        <v>0</v>
      </c>
    </row>
    <row r="26" spans="1:24" ht="15.75" customHeight="1">
      <c r="A26" s="1193" t="s">
        <v>2268</v>
      </c>
      <c r="B26" s="1194">
        <v>360</v>
      </c>
      <c r="C26" s="1195"/>
      <c r="D26" s="1195"/>
      <c r="E26" s="1195"/>
      <c r="F26" s="1193" t="s">
        <v>1</v>
      </c>
      <c r="G26" s="1193" t="s">
        <v>3252</v>
      </c>
      <c r="H26" s="1196"/>
      <c r="I26" s="1197">
        <v>1450792.82</v>
      </c>
      <c r="J26" s="1197" t="s">
        <v>3278</v>
      </c>
      <c r="K26" s="1197">
        <v>1450792.82</v>
      </c>
      <c r="L26" s="150">
        <f t="shared" si="0"/>
        <v>360</v>
      </c>
      <c r="M26" s="151" t="str">
        <f t="shared" si="1"/>
        <v>OCCASION VW + 60 JRS</v>
      </c>
      <c r="N26" s="152">
        <f>+IF(OR($Q26=Parametres!$G$2,$Q26=Parametres!$G$3),I26,C26)</f>
        <v>1450792.82</v>
      </c>
      <c r="O26" s="1084" t="str">
        <f>+IF(OR($Q26=Parametres!$G$2,$Q26=Parametres!$G$3),J26,D26)</f>
        <v xml:space="preserve">                                              -   </v>
      </c>
      <c r="P26" s="152">
        <f>+IF(OR($Q26=Parametres!$G$2,$Q26=Parametres!$G$3),K26,E26)</f>
        <v>1450792.82</v>
      </c>
      <c r="Q26" s="151" t="str">
        <f t="shared" si="2"/>
        <v>1-Mémo</v>
      </c>
      <c r="R26" s="150" t="str">
        <f t="shared" si="3"/>
        <v>36</v>
      </c>
      <c r="S26" s="151">
        <f t="shared" si="4"/>
        <v>0</v>
      </c>
      <c r="T26" s="153">
        <f>+VLOOKUP($L26,Data_Validation!$A:$D,1,0)</f>
        <v>360</v>
      </c>
      <c r="U26" s="153">
        <f>+VLOOKUP($L26,Data_Validation!$A:$D,3,0)</f>
        <v>0</v>
      </c>
      <c r="V26" s="153">
        <f>+VLOOKUP($L26,Data_Validation!$A:$D,4,0)</f>
        <v>0</v>
      </c>
      <c r="W26" s="153">
        <f>+VLOOKUP($L26,Data_Validation!$A:$E,5,0)</f>
        <v>0</v>
      </c>
      <c r="X26" s="153">
        <f>+VLOOKUP($L26,Data_Validation!$A:$F,6,0)</f>
        <v>0</v>
      </c>
    </row>
    <row r="27" spans="1:24" ht="15" customHeight="1">
      <c r="A27" s="1193" t="s">
        <v>2270</v>
      </c>
      <c r="B27" s="1194">
        <v>370</v>
      </c>
      <c r="C27" s="1195"/>
      <c r="D27" s="1195"/>
      <c r="E27" s="1195"/>
      <c r="F27" s="1193" t="s">
        <v>1</v>
      </c>
      <c r="G27" s="1193" t="s">
        <v>2881</v>
      </c>
      <c r="H27" s="1196"/>
      <c r="I27" s="1197">
        <v>425000</v>
      </c>
      <c r="J27" s="1197" t="s">
        <v>3278</v>
      </c>
      <c r="K27" s="1197">
        <v>425000</v>
      </c>
      <c r="L27" s="150">
        <f t="shared" si="0"/>
        <v>370</v>
      </c>
      <c r="M27" s="151" t="str">
        <f t="shared" si="1"/>
        <v>AVOIR DU PROP. MIM. REQUIS</v>
      </c>
      <c r="N27" s="152">
        <f>+IF(OR($Q27=Parametres!$G$2,$Q27=Parametres!$G$3),I27,C27)</f>
        <v>425000</v>
      </c>
      <c r="O27" s="1084" t="str">
        <f>+IF(OR($Q27=Parametres!$G$2,$Q27=Parametres!$G$3),J27,D27)</f>
        <v xml:space="preserve">                                              -   </v>
      </c>
      <c r="P27" s="152">
        <f>+IF(OR($Q27=Parametres!$G$2,$Q27=Parametres!$G$3),K27,E27)</f>
        <v>425000</v>
      </c>
      <c r="Q27" s="151" t="str">
        <f t="shared" si="2"/>
        <v>1-Mémo</v>
      </c>
      <c r="R27" s="150" t="str">
        <f t="shared" si="3"/>
        <v>37</v>
      </c>
      <c r="S27" s="151">
        <f t="shared" si="4"/>
        <v>0</v>
      </c>
      <c r="T27" s="153">
        <f>+VLOOKUP($L27,Data_Validation!$A:$D,1,0)</f>
        <v>370</v>
      </c>
      <c r="U27" s="153">
        <f>+VLOOKUP($L27,Data_Validation!$A:$D,3,0)</f>
        <v>0</v>
      </c>
      <c r="V27" s="153">
        <f>+VLOOKUP($L27,Data_Validation!$A:$D,4,0)</f>
        <v>0</v>
      </c>
      <c r="W27" s="153">
        <f>+VLOOKUP($L27,Data_Validation!$A:$E,5,0)</f>
        <v>0</v>
      </c>
      <c r="X27" s="153">
        <f>+VLOOKUP($L27,Data_Validation!$A:$F,6,0)</f>
        <v>0</v>
      </c>
    </row>
    <row r="28" spans="1:24" ht="15" customHeight="1">
      <c r="A28" s="1193" t="s">
        <v>2272</v>
      </c>
      <c r="B28" s="1194">
        <v>372</v>
      </c>
      <c r="C28" s="1195"/>
      <c r="D28" s="1195"/>
      <c r="E28" s="1195"/>
      <c r="F28" s="1193" t="s">
        <v>1</v>
      </c>
      <c r="G28" s="1193" t="s">
        <v>2881</v>
      </c>
      <c r="H28" s="1196"/>
      <c r="I28" s="1197">
        <v>737500</v>
      </c>
      <c r="J28" s="1197" t="s">
        <v>3278</v>
      </c>
      <c r="K28" s="1197">
        <v>737500</v>
      </c>
      <c r="L28" s="150">
        <f t="shared" si="0"/>
        <v>372</v>
      </c>
      <c r="M28" s="151" t="str">
        <f t="shared" si="1"/>
        <v>FONDS DE ROULEMENT/MIN. REQUIS</v>
      </c>
      <c r="N28" s="152">
        <f>+IF(OR($Q28=Parametres!$G$2,$Q28=Parametres!$G$3),I28,C28)</f>
        <v>737500</v>
      </c>
      <c r="O28" s="1084" t="str">
        <f>+IF(OR($Q28=Parametres!$G$2,$Q28=Parametres!$G$3),J28,D28)</f>
        <v xml:space="preserve">                                              -   </v>
      </c>
      <c r="P28" s="152">
        <f>+IF(OR($Q28=Parametres!$G$2,$Q28=Parametres!$G$3),K28,E28)</f>
        <v>737500</v>
      </c>
      <c r="Q28" s="151" t="str">
        <f t="shared" si="2"/>
        <v>1-Mémo</v>
      </c>
      <c r="R28" s="150" t="str">
        <f t="shared" si="3"/>
        <v>37</v>
      </c>
      <c r="S28" s="151">
        <f t="shared" si="4"/>
        <v>0</v>
      </c>
      <c r="T28" s="153">
        <f>+VLOOKUP($L28,Data_Validation!$A:$D,1,0)</f>
        <v>372</v>
      </c>
      <c r="U28" s="153">
        <f>+VLOOKUP($L28,Data_Validation!$A:$D,3,0)</f>
        <v>0</v>
      </c>
      <c r="V28" s="153">
        <f>+VLOOKUP($L28,Data_Validation!$A:$D,4,0)</f>
        <v>0</v>
      </c>
      <c r="W28" s="153">
        <f>+VLOOKUP($L28,Data_Validation!$A:$E,5,0)</f>
        <v>0</v>
      </c>
      <c r="X28" s="153">
        <f>+VLOOKUP($L28,Data_Validation!$A:$F,6,0)</f>
        <v>0</v>
      </c>
    </row>
    <row r="29" spans="1:24" ht="15" customHeight="1">
      <c r="A29" s="1193" t="s">
        <v>2274</v>
      </c>
      <c r="B29" s="1194">
        <v>401</v>
      </c>
      <c r="C29" s="1195"/>
      <c r="D29" s="1195"/>
      <c r="E29" s="1195"/>
      <c r="F29" s="1193" t="s">
        <v>1</v>
      </c>
      <c r="G29" s="1193" t="s">
        <v>2206</v>
      </c>
      <c r="H29" s="1196"/>
      <c r="I29" s="1197">
        <v>0.47</v>
      </c>
      <c r="J29" s="1197" t="s">
        <v>3278</v>
      </c>
      <c r="K29" s="1197">
        <v>0.47</v>
      </c>
      <c r="L29" s="150">
        <f t="shared" si="0"/>
        <v>401</v>
      </c>
      <c r="M29" s="151" t="str">
        <f t="shared" si="1"/>
        <v>UNITES NEUVES VENDUES JANVIER</v>
      </c>
      <c r="N29" s="152">
        <f>+IF(OR($Q29=Parametres!$G$2,$Q29=Parametres!$G$3),I29,C29)</f>
        <v>0.47</v>
      </c>
      <c r="O29" s="1084" t="str">
        <f>+IF(OR($Q29=Parametres!$G$2,$Q29=Parametres!$G$3),J29,D29)</f>
        <v xml:space="preserve">                                              -   </v>
      </c>
      <c r="P29" s="152">
        <f>+IF(OR($Q29=Parametres!$G$2,$Q29=Parametres!$G$3),K29,E29)</f>
        <v>0.47</v>
      </c>
      <c r="Q29" s="151" t="str">
        <f t="shared" si="2"/>
        <v>1-Mémo</v>
      </c>
      <c r="R29" s="150" t="str">
        <f t="shared" si="3"/>
        <v>40</v>
      </c>
      <c r="S29" s="151">
        <f t="shared" si="4"/>
        <v>0</v>
      </c>
      <c r="T29" s="153">
        <f>+VLOOKUP($L29,Data_Validation!$A:$D,1,0)</f>
        <v>401</v>
      </c>
      <c r="U29" s="153">
        <f>+VLOOKUP($L29,Data_Validation!$A:$D,3,0)</f>
        <v>0</v>
      </c>
      <c r="V29" s="153">
        <f>+VLOOKUP($L29,Data_Validation!$A:$D,4,0)</f>
        <v>0</v>
      </c>
      <c r="W29" s="153">
        <f>+VLOOKUP($L29,Data_Validation!$A:$E,5,0)</f>
        <v>0</v>
      </c>
      <c r="X29" s="153">
        <f>+VLOOKUP($L29,Data_Validation!$A:$F,6,0)</f>
        <v>0</v>
      </c>
    </row>
    <row r="30" spans="1:24" ht="15" customHeight="1">
      <c r="A30" s="1193" t="s">
        <v>2276</v>
      </c>
      <c r="B30" s="1194">
        <v>402</v>
      </c>
      <c r="C30" s="1195"/>
      <c r="D30" s="1195"/>
      <c r="E30" s="1195"/>
      <c r="F30" s="1193" t="s">
        <v>1</v>
      </c>
      <c r="G30" s="1193" t="s">
        <v>2206</v>
      </c>
      <c r="H30" s="1196"/>
      <c r="I30" s="1197">
        <v>0.26</v>
      </c>
      <c r="J30" s="1197" t="s">
        <v>3278</v>
      </c>
      <c r="K30" s="1197">
        <v>0.26</v>
      </c>
      <c r="L30" s="150">
        <f t="shared" si="0"/>
        <v>402</v>
      </c>
      <c r="M30" s="151" t="str">
        <f t="shared" si="1"/>
        <v>UNITES NEUVES VENDUES FEVRIER</v>
      </c>
      <c r="N30" s="152">
        <f>+IF(OR($Q30=Parametres!$G$2,$Q30=Parametres!$G$3),I30,C30)</f>
        <v>0.26</v>
      </c>
      <c r="O30" s="1082" t="str">
        <f>+IF(OR($Q30=Parametres!$G$2,$Q30=Parametres!$G$3),J30,D30)</f>
        <v xml:space="preserve">                                              -   </v>
      </c>
      <c r="P30" s="152">
        <f>+IF(OR($Q30=Parametres!$G$2,$Q30=Parametres!$G$3),K30,E30)</f>
        <v>0.26</v>
      </c>
      <c r="Q30" s="151" t="str">
        <f t="shared" si="2"/>
        <v>1-Mémo</v>
      </c>
      <c r="R30" s="150" t="str">
        <f t="shared" si="3"/>
        <v>40</v>
      </c>
      <c r="S30" s="151">
        <f t="shared" si="4"/>
        <v>0</v>
      </c>
      <c r="T30" s="153">
        <f>+VLOOKUP($L30,Data_Validation!$A:$D,1,0)</f>
        <v>402</v>
      </c>
      <c r="U30" s="153">
        <f>+VLOOKUP($L30,Data_Validation!$A:$D,3,0)</f>
        <v>0</v>
      </c>
      <c r="V30" s="153">
        <f>+VLOOKUP($L30,Data_Validation!$A:$D,4,0)</f>
        <v>0</v>
      </c>
      <c r="W30" s="153">
        <f>+VLOOKUP($L30,Data_Validation!$A:$E,5,0)</f>
        <v>0</v>
      </c>
      <c r="X30" s="153">
        <f>+VLOOKUP($L30,Data_Validation!$A:$F,6,0)</f>
        <v>0</v>
      </c>
    </row>
    <row r="31" spans="1:24" ht="15" customHeight="1">
      <c r="A31" s="1193" t="s">
        <v>2278</v>
      </c>
      <c r="B31" s="1194">
        <v>403</v>
      </c>
      <c r="C31" s="1195"/>
      <c r="D31" s="1195"/>
      <c r="E31" s="1195"/>
      <c r="F31" s="1193" t="s">
        <v>1</v>
      </c>
      <c r="G31" s="1193" t="s">
        <v>2206</v>
      </c>
      <c r="H31" s="1196"/>
      <c r="I31" s="1197">
        <v>0.28999999999999998</v>
      </c>
      <c r="J31" s="1197" t="s">
        <v>3278</v>
      </c>
      <c r="K31" s="1197">
        <v>0.28999999999999998</v>
      </c>
      <c r="L31" s="150">
        <f t="shared" si="0"/>
        <v>403</v>
      </c>
      <c r="M31" s="151" t="str">
        <f t="shared" si="1"/>
        <v>UNITES NEUVES VENDUES MARS</v>
      </c>
      <c r="N31" s="152">
        <f>+IF(OR($Q31=Parametres!$G$2,$Q31=Parametres!$G$3),I31,C31)</f>
        <v>0.28999999999999998</v>
      </c>
      <c r="O31" s="1084" t="str">
        <f>+IF(OR($Q31=Parametres!$G$2,$Q31=Parametres!$G$3),J31,D31)</f>
        <v xml:space="preserve">                                              -   </v>
      </c>
      <c r="P31" s="152">
        <f>+IF(OR($Q31=Parametres!$G$2,$Q31=Parametres!$G$3),K31,E31)</f>
        <v>0.28999999999999998</v>
      </c>
      <c r="Q31" s="151" t="str">
        <f t="shared" si="2"/>
        <v>1-Mémo</v>
      </c>
      <c r="R31" s="150" t="str">
        <f t="shared" si="3"/>
        <v>40</v>
      </c>
      <c r="S31" s="151">
        <f t="shared" si="4"/>
        <v>0</v>
      </c>
      <c r="T31" s="153">
        <f>+VLOOKUP($L31,Data_Validation!$A:$D,1,0)</f>
        <v>403</v>
      </c>
      <c r="U31" s="153">
        <f>+VLOOKUP($L31,Data_Validation!$A:$D,3,0)</f>
        <v>0</v>
      </c>
      <c r="V31" s="153">
        <f>+VLOOKUP($L31,Data_Validation!$A:$D,4,0)</f>
        <v>0</v>
      </c>
      <c r="W31" s="153">
        <f>+VLOOKUP($L31,Data_Validation!$A:$E,5,0)</f>
        <v>0</v>
      </c>
      <c r="X31" s="153">
        <f>+VLOOKUP($L31,Data_Validation!$A:$F,6,0)</f>
        <v>0</v>
      </c>
    </row>
    <row r="32" spans="1:24" ht="15" customHeight="1">
      <c r="A32" s="1193" t="s">
        <v>2280</v>
      </c>
      <c r="B32" s="1194">
        <v>404</v>
      </c>
      <c r="C32" s="1195"/>
      <c r="D32" s="1195"/>
      <c r="E32" s="1195"/>
      <c r="F32" s="1193" t="s">
        <v>1</v>
      </c>
      <c r="G32" s="1193" t="s">
        <v>2206</v>
      </c>
      <c r="H32" s="1196"/>
      <c r="I32" s="1197">
        <v>0.33</v>
      </c>
      <c r="J32" s="1197" t="s">
        <v>3278</v>
      </c>
      <c r="K32" s="1197">
        <v>0.33</v>
      </c>
      <c r="L32" s="150">
        <f t="shared" si="0"/>
        <v>404</v>
      </c>
      <c r="M32" s="151" t="str">
        <f t="shared" si="1"/>
        <v>UNITES NEUVES VENDUES AVRIL</v>
      </c>
      <c r="N32" s="152">
        <f>+IF(OR($Q32=Parametres!$G$2,$Q32=Parametres!$G$3),I32,C32)</f>
        <v>0.33</v>
      </c>
      <c r="O32" s="1085" t="str">
        <f>+IF(OR($Q32=Parametres!$G$2,$Q32=Parametres!$G$3),J32,D32)</f>
        <v xml:space="preserve">                                              -   </v>
      </c>
      <c r="P32" s="152">
        <f>+IF(OR($Q32=Parametres!$G$2,$Q32=Parametres!$G$3),K32,E32)</f>
        <v>0.33</v>
      </c>
      <c r="Q32" s="151" t="str">
        <f t="shared" si="2"/>
        <v>1-Mémo</v>
      </c>
      <c r="R32" s="150" t="str">
        <f t="shared" si="3"/>
        <v>40</v>
      </c>
      <c r="S32" s="151">
        <f t="shared" si="4"/>
        <v>0</v>
      </c>
      <c r="T32" s="153">
        <f>+VLOOKUP($L32,Data_Validation!$A:$D,1,0)</f>
        <v>404</v>
      </c>
      <c r="U32" s="153">
        <f>+VLOOKUP($L32,Data_Validation!$A:$D,3,0)</f>
        <v>0</v>
      </c>
      <c r="V32" s="153">
        <f>+VLOOKUP($L32,Data_Validation!$A:$D,4,0)</f>
        <v>0</v>
      </c>
      <c r="W32" s="153">
        <f>+VLOOKUP($L32,Data_Validation!$A:$E,5,0)</f>
        <v>0</v>
      </c>
      <c r="X32" s="153">
        <f>+VLOOKUP($L32,Data_Validation!$A:$F,6,0)</f>
        <v>0</v>
      </c>
    </row>
    <row r="33" spans="1:24" ht="15" customHeight="1">
      <c r="A33" s="1193" t="s">
        <v>2295</v>
      </c>
      <c r="B33" s="1194">
        <v>421</v>
      </c>
      <c r="C33" s="1195"/>
      <c r="D33" s="1195"/>
      <c r="E33" s="1195"/>
      <c r="F33" s="1193" t="s">
        <v>1</v>
      </c>
      <c r="G33" s="1193" t="s">
        <v>2297</v>
      </c>
      <c r="H33" s="1196"/>
      <c r="I33" s="1197">
        <v>0.18</v>
      </c>
      <c r="J33" s="1197" t="s">
        <v>3278</v>
      </c>
      <c r="K33" s="1197">
        <v>0.18</v>
      </c>
      <c r="L33" s="150">
        <f t="shared" si="0"/>
        <v>421</v>
      </c>
      <c r="M33" s="151" t="str">
        <f t="shared" si="1"/>
        <v>UNITES USAGES DET./ JANV.</v>
      </c>
      <c r="N33" s="152">
        <f>+IF(OR($Q33=Parametres!$G$2,$Q33=Parametres!$G$3),I33,C33)</f>
        <v>0.18</v>
      </c>
      <c r="O33" s="1084" t="str">
        <f>+IF(OR($Q33=Parametres!$G$2,$Q33=Parametres!$G$3),J33,D33)</f>
        <v xml:space="preserve">                                              -   </v>
      </c>
      <c r="P33" s="152">
        <f>+IF(OR($Q33=Parametres!$G$2,$Q33=Parametres!$G$3),K33,E33)</f>
        <v>0.18</v>
      </c>
      <c r="Q33" s="151" t="str">
        <f t="shared" si="2"/>
        <v>1-Mémo</v>
      </c>
      <c r="R33" s="150" t="str">
        <f t="shared" si="3"/>
        <v>42</v>
      </c>
      <c r="S33" s="151">
        <f t="shared" si="4"/>
        <v>0</v>
      </c>
      <c r="T33" s="153">
        <f>+VLOOKUP($L33,Data_Validation!$A:$D,1,0)</f>
        <v>421</v>
      </c>
      <c r="U33" s="153">
        <f>+VLOOKUP($L33,Data_Validation!$A:$D,3,0)</f>
        <v>0</v>
      </c>
      <c r="V33" s="153">
        <f>+VLOOKUP($L33,Data_Validation!$A:$D,4,0)</f>
        <v>0</v>
      </c>
      <c r="W33" s="153">
        <f>+VLOOKUP($L33,Data_Validation!$A:$E,5,0)</f>
        <v>0</v>
      </c>
      <c r="X33" s="153">
        <f>+VLOOKUP($L33,Data_Validation!$A:$F,6,0)</f>
        <v>0</v>
      </c>
    </row>
    <row r="34" spans="1:24" ht="15.75" customHeight="1">
      <c r="A34" s="1193" t="s">
        <v>2298</v>
      </c>
      <c r="B34" s="1194">
        <v>422</v>
      </c>
      <c r="C34" s="1195"/>
      <c r="D34" s="1196"/>
      <c r="E34" s="1195"/>
      <c r="F34" s="1193" t="s">
        <v>1</v>
      </c>
      <c r="G34" s="1193" t="s">
        <v>2297</v>
      </c>
      <c r="H34" s="1196"/>
      <c r="I34" s="1197">
        <v>0.34</v>
      </c>
      <c r="J34" s="1197" t="s">
        <v>3278</v>
      </c>
      <c r="K34" s="1197">
        <v>0.34</v>
      </c>
      <c r="L34" s="150">
        <f t="shared" si="0"/>
        <v>422</v>
      </c>
      <c r="M34" s="151" t="str">
        <f t="shared" si="1"/>
        <v>UNITES USAGES DET./ FEVR.</v>
      </c>
      <c r="N34" s="152">
        <f>+IF(OR($Q34=Parametres!$G$2,$Q34=Parametres!$G$3),I34,C34)</f>
        <v>0.34</v>
      </c>
      <c r="O34" s="1084" t="str">
        <f>+IF(OR($Q34=Parametres!$G$2,$Q34=Parametres!$G$3),J34,D34)</f>
        <v xml:space="preserve">                                              -   </v>
      </c>
      <c r="P34" s="152">
        <f>+IF(OR($Q34=Parametres!$G$2,$Q34=Parametres!$G$3),K34,E34)</f>
        <v>0.34</v>
      </c>
      <c r="Q34" s="151" t="str">
        <f t="shared" si="2"/>
        <v>1-Mémo</v>
      </c>
      <c r="R34" s="150" t="str">
        <f t="shared" si="3"/>
        <v>42</v>
      </c>
      <c r="S34" s="151">
        <f t="shared" si="4"/>
        <v>0</v>
      </c>
      <c r="T34" s="153">
        <f>+VLOOKUP($L34,Data_Validation!$A:$D,1,0)</f>
        <v>422</v>
      </c>
      <c r="U34" s="153">
        <f>+VLOOKUP($L34,Data_Validation!$A:$D,3,0)</f>
        <v>0</v>
      </c>
      <c r="V34" s="153">
        <f>+VLOOKUP($L34,Data_Validation!$A:$D,4,0)</f>
        <v>0</v>
      </c>
      <c r="W34" s="153">
        <f>+VLOOKUP($L34,Data_Validation!$A:$E,5,0)</f>
        <v>0</v>
      </c>
      <c r="X34" s="153">
        <f>+VLOOKUP($L34,Data_Validation!$A:$F,6,0)</f>
        <v>0</v>
      </c>
    </row>
    <row r="35" spans="1:24" ht="15" customHeight="1">
      <c r="A35" s="1193" t="s">
        <v>2300</v>
      </c>
      <c r="B35" s="1194">
        <v>423</v>
      </c>
      <c r="C35" s="1195"/>
      <c r="D35" s="1196"/>
      <c r="E35" s="1195"/>
      <c r="F35" s="1193" t="s">
        <v>1</v>
      </c>
      <c r="G35" s="1193" t="s">
        <v>2297</v>
      </c>
      <c r="H35" s="1196"/>
      <c r="I35" s="1197">
        <v>0.42</v>
      </c>
      <c r="J35" s="1197" t="s">
        <v>3278</v>
      </c>
      <c r="K35" s="1197">
        <v>0.42</v>
      </c>
      <c r="L35" s="150">
        <f t="shared" si="0"/>
        <v>423</v>
      </c>
      <c r="M35" s="151" t="str">
        <f t="shared" si="1"/>
        <v>UNITES USAGES DET./ MARS</v>
      </c>
      <c r="N35" s="152">
        <f>+IF(OR($Q35=Parametres!$G$2,$Q35=Parametres!$G$3),I35,C35)</f>
        <v>0.42</v>
      </c>
      <c r="O35" s="1084" t="str">
        <f>+IF(OR($Q35=Parametres!$G$2,$Q35=Parametres!$G$3),J35,D35)</f>
        <v xml:space="preserve">                                              -   </v>
      </c>
      <c r="P35" s="152">
        <f>+IF(OR($Q35=Parametres!$G$2,$Q35=Parametres!$G$3),K35,E35)</f>
        <v>0.42</v>
      </c>
      <c r="Q35" s="151" t="str">
        <f t="shared" si="2"/>
        <v>1-Mémo</v>
      </c>
      <c r="R35" s="150" t="str">
        <f t="shared" si="3"/>
        <v>42</v>
      </c>
      <c r="S35" s="151">
        <f t="shared" si="4"/>
        <v>0</v>
      </c>
      <c r="T35" s="153">
        <f>+VLOOKUP($L35,Data_Validation!$A:$D,1,0)</f>
        <v>423</v>
      </c>
      <c r="U35" s="153">
        <f>+VLOOKUP($L35,Data_Validation!$A:$D,3,0)</f>
        <v>0</v>
      </c>
      <c r="V35" s="153">
        <f>+VLOOKUP($L35,Data_Validation!$A:$D,4,0)</f>
        <v>0</v>
      </c>
      <c r="W35" s="153">
        <f>+VLOOKUP($L35,Data_Validation!$A:$E,5,0)</f>
        <v>0</v>
      </c>
      <c r="X35" s="153">
        <f>+VLOOKUP($L35,Data_Validation!$A:$F,6,0)</f>
        <v>0</v>
      </c>
    </row>
    <row r="36" spans="1:24" ht="15" customHeight="1">
      <c r="A36" s="1193" t="s">
        <v>2302</v>
      </c>
      <c r="B36" s="1194">
        <v>424</v>
      </c>
      <c r="C36" s="1195"/>
      <c r="D36" s="1195"/>
      <c r="E36" s="1195"/>
      <c r="F36" s="1193" t="s">
        <v>1</v>
      </c>
      <c r="G36" s="1193" t="s">
        <v>2297</v>
      </c>
      <c r="H36" s="1196"/>
      <c r="I36" s="1197">
        <v>0.31</v>
      </c>
      <c r="J36" s="1197" t="s">
        <v>3278</v>
      </c>
      <c r="K36" s="1197">
        <v>0.31</v>
      </c>
      <c r="L36" s="150">
        <f t="shared" si="0"/>
        <v>424</v>
      </c>
      <c r="M36" s="151" t="str">
        <f t="shared" si="1"/>
        <v>UNITES USAGES DET./ AVRIL</v>
      </c>
      <c r="N36" s="152">
        <f>+IF(OR($Q36=Parametres!$G$2,$Q36=Parametres!$G$3),I36,C36)</f>
        <v>0.31</v>
      </c>
      <c r="O36" s="1084" t="str">
        <f>+IF(OR($Q36=Parametres!$G$2,$Q36=Parametres!$G$3),J36,D36)</f>
        <v xml:space="preserve">                                              -   </v>
      </c>
      <c r="P36" s="152">
        <f>+IF(OR($Q36=Parametres!$G$2,$Q36=Parametres!$G$3),K36,E36)</f>
        <v>0.31</v>
      </c>
      <c r="Q36" s="151" t="str">
        <f t="shared" si="2"/>
        <v>1-Mémo</v>
      </c>
      <c r="R36" s="150" t="str">
        <f t="shared" si="3"/>
        <v>42</v>
      </c>
      <c r="S36" s="151">
        <f t="shared" si="4"/>
        <v>0</v>
      </c>
      <c r="T36" s="153">
        <f>+VLOOKUP($L36,Data_Validation!$A:$D,1,0)</f>
        <v>424</v>
      </c>
      <c r="U36" s="153">
        <f>+VLOOKUP($L36,Data_Validation!$A:$D,3,0)</f>
        <v>0</v>
      </c>
      <c r="V36" s="153">
        <f>+VLOOKUP($L36,Data_Validation!$A:$D,4,0)</f>
        <v>0</v>
      </c>
      <c r="W36" s="153">
        <f>+VLOOKUP($L36,Data_Validation!$A:$E,5,0)</f>
        <v>0</v>
      </c>
      <c r="X36" s="153">
        <f>+VLOOKUP($L36,Data_Validation!$A:$F,6,0)</f>
        <v>0</v>
      </c>
    </row>
    <row r="37" spans="1:24" ht="15" customHeight="1">
      <c r="A37" s="1193" t="s">
        <v>2318</v>
      </c>
      <c r="B37" s="1194">
        <v>500</v>
      </c>
      <c r="C37" s="1195"/>
      <c r="D37" s="1195"/>
      <c r="E37" s="1195"/>
      <c r="F37" s="1193" t="s">
        <v>1</v>
      </c>
      <c r="G37" s="1193" t="s">
        <v>2208</v>
      </c>
      <c r="H37" s="1196"/>
      <c r="I37" s="1197">
        <v>1</v>
      </c>
      <c r="J37" s="1197" t="s">
        <v>3278</v>
      </c>
      <c r="K37" s="1197">
        <v>1</v>
      </c>
      <c r="L37" s="150">
        <f t="shared" si="0"/>
        <v>500</v>
      </c>
      <c r="M37" s="151" t="str">
        <f t="shared" si="1"/>
        <v>PROPRIETAIRES</v>
      </c>
      <c r="N37" s="152">
        <f>+IF(OR($Q37=Parametres!$G$2,$Q37=Parametres!$G$3),I37,C37)</f>
        <v>1</v>
      </c>
      <c r="O37" s="1084" t="str">
        <f>+IF(OR($Q37=Parametres!$G$2,$Q37=Parametres!$G$3),J37,D37)</f>
        <v xml:space="preserve">                                              -   </v>
      </c>
      <c r="P37" s="152">
        <f>+IF(OR($Q37=Parametres!$G$2,$Q37=Parametres!$G$3),K37,E37)</f>
        <v>1</v>
      </c>
      <c r="Q37" s="151" t="str">
        <f t="shared" si="2"/>
        <v>1-Mémo</v>
      </c>
      <c r="R37" s="150" t="str">
        <f t="shared" si="3"/>
        <v>50</v>
      </c>
      <c r="S37" s="151">
        <f t="shared" si="4"/>
        <v>0</v>
      </c>
      <c r="T37" s="153">
        <f>+VLOOKUP($L37,Data_Validation!$A:$D,1,0)</f>
        <v>500</v>
      </c>
      <c r="U37" s="153">
        <f>+VLOOKUP($L37,Data_Validation!$A:$D,3,0)</f>
        <v>0</v>
      </c>
      <c r="V37" s="153">
        <f>+VLOOKUP($L37,Data_Validation!$A:$D,4,0)</f>
        <v>0</v>
      </c>
      <c r="W37" s="153" t="str">
        <f>+VLOOKUP($L37,Data_Validation!$A:$E,5,0)</f>
        <v>$</v>
      </c>
      <c r="X37" s="153">
        <f>+VLOOKUP($L37,Data_Validation!$A:$F,6,0)</f>
        <v>0</v>
      </c>
    </row>
    <row r="38" spans="1:24" ht="15" customHeight="1">
      <c r="A38" s="1193" t="s">
        <v>2320</v>
      </c>
      <c r="B38" s="1194">
        <v>511</v>
      </c>
      <c r="C38" s="1195"/>
      <c r="D38" s="1195"/>
      <c r="E38" s="1195"/>
      <c r="F38" s="1193" t="s">
        <v>1</v>
      </c>
      <c r="G38" s="1193" t="s">
        <v>2208</v>
      </c>
      <c r="H38" s="1196"/>
      <c r="I38" s="1197">
        <v>0.5</v>
      </c>
      <c r="J38" s="1197" t="s">
        <v>3278</v>
      </c>
      <c r="K38" s="1197">
        <v>0.5</v>
      </c>
      <c r="L38" s="150">
        <f t="shared" si="0"/>
        <v>511</v>
      </c>
      <c r="M38" s="151" t="str">
        <f t="shared" si="1"/>
        <v>DIR. GENERAL NEUFS</v>
      </c>
      <c r="N38" s="152">
        <f>+IF(OR($Q38=Parametres!$G$2,$Q38=Parametres!$G$3),I38,C38)</f>
        <v>0.5</v>
      </c>
      <c r="O38" s="1084" t="str">
        <f>+IF(OR($Q38=Parametres!$G$2,$Q38=Parametres!$G$3),J38,D38)</f>
        <v xml:space="preserve">                                              -   </v>
      </c>
      <c r="P38" s="152">
        <f>+IF(OR($Q38=Parametres!$G$2,$Q38=Parametres!$G$3),K38,E38)</f>
        <v>0.5</v>
      </c>
      <c r="Q38" s="151" t="str">
        <f t="shared" si="2"/>
        <v>1-Mémo</v>
      </c>
      <c r="R38" s="150" t="str">
        <f t="shared" si="3"/>
        <v>50</v>
      </c>
      <c r="S38" s="151">
        <f t="shared" si="4"/>
        <v>0</v>
      </c>
      <c r="T38" s="153">
        <f>+VLOOKUP($L38,Data_Validation!$A:$D,1,0)</f>
        <v>511</v>
      </c>
      <c r="U38" s="153">
        <f>+VLOOKUP($L38,Data_Validation!$A:$D,3,0)</f>
        <v>0</v>
      </c>
      <c r="V38" s="153">
        <f>+VLOOKUP($L38,Data_Validation!$A:$D,4,0)</f>
        <v>0</v>
      </c>
      <c r="W38" s="153" t="str">
        <f>+VLOOKUP($L38,Data_Validation!$A:$E,5,0)</f>
        <v>$</v>
      </c>
      <c r="X38" s="153">
        <f>+VLOOKUP($L38,Data_Validation!$A:$F,6,0)</f>
        <v>0</v>
      </c>
    </row>
    <row r="39" spans="1:24" ht="15" customHeight="1">
      <c r="A39" s="1193" t="s">
        <v>2321</v>
      </c>
      <c r="B39" s="1194">
        <v>512</v>
      </c>
      <c r="C39" s="1195"/>
      <c r="D39" s="1195"/>
      <c r="E39" s="1195"/>
      <c r="F39" s="1193" t="s">
        <v>1</v>
      </c>
      <c r="G39" s="1193" t="s">
        <v>2208</v>
      </c>
      <c r="H39" s="1196"/>
      <c r="I39" s="1197">
        <v>0.5</v>
      </c>
      <c r="J39" s="1197" t="s">
        <v>3278</v>
      </c>
      <c r="K39" s="1197">
        <v>0.5</v>
      </c>
      <c r="L39" s="150">
        <f t="shared" si="0"/>
        <v>512</v>
      </c>
      <c r="M39" s="151" t="str">
        <f t="shared" si="1"/>
        <v>DIR. GENERAL USAGES</v>
      </c>
      <c r="N39" s="152">
        <f>+IF(OR($Q39=Parametres!$G$2,$Q39=Parametres!$G$3),I39,C39)</f>
        <v>0.5</v>
      </c>
      <c r="O39" s="1082" t="str">
        <f>+IF(OR($Q39=Parametres!$G$2,$Q39=Parametres!$G$3),J39,D39)</f>
        <v xml:space="preserve">                                              -   </v>
      </c>
      <c r="P39" s="152">
        <f>+IF(OR($Q39=Parametres!$G$2,$Q39=Parametres!$G$3),K39,E39)</f>
        <v>0.5</v>
      </c>
      <c r="Q39" s="151" t="str">
        <f t="shared" si="2"/>
        <v>1-Mémo</v>
      </c>
      <c r="R39" s="150" t="str">
        <f t="shared" si="3"/>
        <v>50</v>
      </c>
      <c r="S39" s="151">
        <f t="shared" si="4"/>
        <v>0</v>
      </c>
      <c r="T39" s="153">
        <f>+VLOOKUP($L39,Data_Validation!$A:$D,1,0)</f>
        <v>512</v>
      </c>
      <c r="U39" s="153">
        <f>+VLOOKUP($L39,Data_Validation!$A:$D,3,0)</f>
        <v>0</v>
      </c>
      <c r="V39" s="153">
        <f>+VLOOKUP($L39,Data_Validation!$A:$D,4,0)</f>
        <v>0</v>
      </c>
      <c r="W39" s="153" t="str">
        <f>+VLOOKUP($L39,Data_Validation!$A:$E,5,0)</f>
        <v>$</v>
      </c>
      <c r="X39" s="153">
        <f>+VLOOKUP($L39,Data_Validation!$A:$F,6,0)</f>
        <v>0</v>
      </c>
    </row>
    <row r="40" spans="1:24" ht="15.75" customHeight="1">
      <c r="A40" s="1193" t="s">
        <v>2322</v>
      </c>
      <c r="B40" s="1194">
        <v>514</v>
      </c>
      <c r="C40" s="1195"/>
      <c r="D40" s="1195"/>
      <c r="E40" s="1195"/>
      <c r="F40" s="1193" t="s">
        <v>1</v>
      </c>
      <c r="G40" s="1193" t="s">
        <v>2208</v>
      </c>
      <c r="H40" s="1196"/>
      <c r="I40" s="1197">
        <v>0.5</v>
      </c>
      <c r="J40" s="1197" t="s">
        <v>3278</v>
      </c>
      <c r="K40" s="1197">
        <v>0.5</v>
      </c>
      <c r="L40" s="150">
        <f t="shared" si="0"/>
        <v>514</v>
      </c>
      <c r="M40" s="151" t="str">
        <f t="shared" si="1"/>
        <v>DIR. GENERAL SERVICE</v>
      </c>
      <c r="N40" s="152">
        <f>+IF(OR($Q40=Parametres!$G$2,$Q40=Parametres!$G$3),I40,C40)</f>
        <v>0.5</v>
      </c>
      <c r="O40" s="1084" t="str">
        <f>+IF(OR($Q40=Parametres!$G$2,$Q40=Parametres!$G$3),J40,D40)</f>
        <v xml:space="preserve">                                              -   </v>
      </c>
      <c r="P40" s="152">
        <f>+IF(OR($Q40=Parametres!$G$2,$Q40=Parametres!$G$3),K40,E40)</f>
        <v>0.5</v>
      </c>
      <c r="Q40" s="151" t="str">
        <f t="shared" si="2"/>
        <v>1-Mémo</v>
      </c>
      <c r="R40" s="150" t="str">
        <f t="shared" si="3"/>
        <v>50</v>
      </c>
      <c r="S40" s="151">
        <f t="shared" si="4"/>
        <v>0</v>
      </c>
      <c r="T40" s="153">
        <f>+VLOOKUP($L40,Data_Validation!$A:$D,1,0)</f>
        <v>514</v>
      </c>
      <c r="U40" s="153">
        <f>+VLOOKUP($L40,Data_Validation!$A:$D,3,0)</f>
        <v>0</v>
      </c>
      <c r="V40" s="153">
        <f>+VLOOKUP($L40,Data_Validation!$A:$D,4,0)</f>
        <v>0</v>
      </c>
      <c r="W40" s="153" t="str">
        <f>+VLOOKUP($L40,Data_Validation!$A:$E,5,0)</f>
        <v>$</v>
      </c>
      <c r="X40" s="153">
        <f>+VLOOKUP($L40,Data_Validation!$A:$F,6,0)</f>
        <v>0</v>
      </c>
    </row>
    <row r="41" spans="1:24" ht="15" customHeight="1">
      <c r="A41" s="1193" t="s">
        <v>2326</v>
      </c>
      <c r="B41" s="1194">
        <v>517</v>
      </c>
      <c r="C41" s="1195"/>
      <c r="D41" s="1195"/>
      <c r="E41" s="1195"/>
      <c r="F41" s="1193" t="s">
        <v>1</v>
      </c>
      <c r="G41" s="1193" t="s">
        <v>2208</v>
      </c>
      <c r="H41" s="1196"/>
      <c r="I41" s="1197">
        <v>0.5</v>
      </c>
      <c r="J41" s="1197" t="s">
        <v>3278</v>
      </c>
      <c r="K41" s="1197">
        <v>0.5</v>
      </c>
      <c r="L41" s="150">
        <f t="shared" si="0"/>
        <v>517</v>
      </c>
      <c r="M41" s="151" t="str">
        <f t="shared" si="1"/>
        <v>DIR. GENERAL PIECES</v>
      </c>
      <c r="N41" s="152">
        <f>+IF(OR($Q41=Parametres!$G$2,$Q41=Parametres!$G$3),I41,C41)</f>
        <v>0.5</v>
      </c>
      <c r="O41" s="1082" t="str">
        <f>+IF(OR($Q41=Parametres!$G$2,$Q41=Parametres!$G$3),J41,D41)</f>
        <v xml:space="preserve">                                              -   </v>
      </c>
      <c r="P41" s="152">
        <f>+IF(OR($Q41=Parametres!$G$2,$Q41=Parametres!$G$3),K41,E41)</f>
        <v>0.5</v>
      </c>
      <c r="Q41" s="151" t="str">
        <f t="shared" si="2"/>
        <v>1-Mémo</v>
      </c>
      <c r="R41" s="150" t="str">
        <f t="shared" si="3"/>
        <v>50</v>
      </c>
      <c r="S41" s="151">
        <f t="shared" si="4"/>
        <v>0</v>
      </c>
      <c r="T41" s="153">
        <f>+VLOOKUP($L41,Data_Validation!$A:$D,1,0)</f>
        <v>517</v>
      </c>
      <c r="U41" s="153">
        <f>+VLOOKUP($L41,Data_Validation!$A:$D,3,0)</f>
        <v>0</v>
      </c>
      <c r="V41" s="153">
        <f>+VLOOKUP($L41,Data_Validation!$A:$D,4,0)</f>
        <v>0</v>
      </c>
      <c r="W41" s="153" t="str">
        <f>+VLOOKUP($L41,Data_Validation!$A:$E,5,0)</f>
        <v>$</v>
      </c>
      <c r="X41" s="153">
        <f>+VLOOKUP($L41,Data_Validation!$A:$F,6,0)</f>
        <v>0</v>
      </c>
    </row>
    <row r="42" spans="1:24" ht="15" customHeight="1">
      <c r="A42" s="1193" t="s">
        <v>2328</v>
      </c>
      <c r="B42" s="1194">
        <v>521</v>
      </c>
      <c r="C42" s="1195"/>
      <c r="D42" s="1195"/>
      <c r="E42" s="1195"/>
      <c r="F42" s="1193" t="s">
        <v>1</v>
      </c>
      <c r="G42" s="1193" t="s">
        <v>2208</v>
      </c>
      <c r="H42" s="1196"/>
      <c r="I42" s="1197">
        <v>0.5</v>
      </c>
      <c r="J42" s="1197" t="s">
        <v>3278</v>
      </c>
      <c r="K42" s="1197">
        <v>0.5</v>
      </c>
      <c r="L42" s="150">
        <f t="shared" si="0"/>
        <v>521</v>
      </c>
      <c r="M42" s="151" t="str">
        <f t="shared" si="1"/>
        <v>DIR. SERVICE NEUFS</v>
      </c>
      <c r="N42" s="152">
        <f>+IF(OR($Q42=Parametres!$G$2,$Q42=Parametres!$G$3),I42,C42)</f>
        <v>0.5</v>
      </c>
      <c r="O42" s="1084" t="str">
        <f>+IF(OR($Q42=Parametres!$G$2,$Q42=Parametres!$G$3),J42,D42)</f>
        <v xml:space="preserve">                                              -   </v>
      </c>
      <c r="P42" s="152">
        <f>+IF(OR($Q42=Parametres!$G$2,$Q42=Parametres!$G$3),K42,E42)</f>
        <v>0.5</v>
      </c>
      <c r="Q42" s="151" t="str">
        <f t="shared" si="2"/>
        <v>1-Mémo</v>
      </c>
      <c r="R42" s="150" t="str">
        <f t="shared" si="3"/>
        <v>50</v>
      </c>
      <c r="S42" s="151">
        <f t="shared" si="4"/>
        <v>0</v>
      </c>
      <c r="T42" s="153">
        <f>+VLOOKUP($L42,Data_Validation!$A:$D,1,0)</f>
        <v>521</v>
      </c>
      <c r="U42" s="153">
        <f>+VLOOKUP($L42,Data_Validation!$A:$D,3,0)</f>
        <v>0</v>
      </c>
      <c r="V42" s="153">
        <f>+VLOOKUP($L42,Data_Validation!$A:$D,4,0)</f>
        <v>0</v>
      </c>
      <c r="W42" s="153" t="str">
        <f>+VLOOKUP($L42,Data_Validation!$A:$E,5,0)</f>
        <v>$</v>
      </c>
      <c r="X42" s="153">
        <f>+VLOOKUP($L42,Data_Validation!$A:$F,6,0)</f>
        <v>0</v>
      </c>
    </row>
    <row r="43" spans="1:24" ht="15" customHeight="1">
      <c r="A43" s="1193" t="s">
        <v>2330</v>
      </c>
      <c r="B43" s="1194">
        <v>522</v>
      </c>
      <c r="C43" s="1195"/>
      <c r="D43" s="1196"/>
      <c r="E43" s="1195"/>
      <c r="F43" s="1193" t="s">
        <v>1</v>
      </c>
      <c r="G43" s="1193" t="s">
        <v>2208</v>
      </c>
      <c r="H43" s="1196"/>
      <c r="I43" s="1197">
        <v>0.5</v>
      </c>
      <c r="J43" s="1197" t="s">
        <v>3278</v>
      </c>
      <c r="K43" s="1197">
        <v>0.5</v>
      </c>
      <c r="L43" s="150">
        <f t="shared" si="0"/>
        <v>522</v>
      </c>
      <c r="M43" s="151" t="str">
        <f t="shared" si="1"/>
        <v>DIR. SERVICE USAGES</v>
      </c>
      <c r="N43" s="152">
        <f>+IF(OR($Q43=Parametres!$G$2,$Q43=Parametres!$G$3),I43,C43)</f>
        <v>0.5</v>
      </c>
      <c r="O43" s="1084" t="str">
        <f>+IF(OR($Q43=Parametres!$G$2,$Q43=Parametres!$G$3),J43,D43)</f>
        <v xml:space="preserve">                                              -   </v>
      </c>
      <c r="P43" s="152">
        <f>+IF(OR($Q43=Parametres!$G$2,$Q43=Parametres!$G$3),K43,E43)</f>
        <v>0.5</v>
      </c>
      <c r="Q43" s="151" t="str">
        <f t="shared" si="2"/>
        <v>1-Mémo</v>
      </c>
      <c r="R43" s="150" t="str">
        <f t="shared" si="3"/>
        <v>50</v>
      </c>
      <c r="S43" s="151">
        <f t="shared" si="4"/>
        <v>0</v>
      </c>
      <c r="T43" s="153">
        <f>+VLOOKUP($L43,Data_Validation!$A:$D,1,0)</f>
        <v>522</v>
      </c>
      <c r="U43" s="153">
        <f>+VLOOKUP($L43,Data_Validation!$A:$D,3,0)</f>
        <v>0</v>
      </c>
      <c r="V43" s="153">
        <f>+VLOOKUP($L43,Data_Validation!$A:$D,4,0)</f>
        <v>0</v>
      </c>
      <c r="W43" s="153" t="str">
        <f>+VLOOKUP($L43,Data_Validation!$A:$E,5,0)</f>
        <v>$</v>
      </c>
      <c r="X43" s="153">
        <f>+VLOOKUP($L43,Data_Validation!$A:$F,6,0)</f>
        <v>0</v>
      </c>
    </row>
    <row r="44" spans="1:24" ht="15.75" customHeight="1">
      <c r="A44" s="1193" t="s">
        <v>2332</v>
      </c>
      <c r="B44" s="1194">
        <v>524</v>
      </c>
      <c r="C44" s="1195"/>
      <c r="D44" s="1195"/>
      <c r="E44" s="1195"/>
      <c r="F44" s="1193" t="s">
        <v>1</v>
      </c>
      <c r="G44" s="1193" t="s">
        <v>2208</v>
      </c>
      <c r="H44" s="1196"/>
      <c r="I44" s="1197">
        <v>1</v>
      </c>
      <c r="J44" s="1197" t="s">
        <v>3278</v>
      </c>
      <c r="K44" s="1197">
        <v>1</v>
      </c>
      <c r="L44" s="150">
        <f t="shared" si="0"/>
        <v>524</v>
      </c>
      <c r="M44" s="151" t="str">
        <f t="shared" si="1"/>
        <v>DIR. SERVICE SERVICE</v>
      </c>
      <c r="N44" s="152">
        <f>+IF(OR($Q44=Parametres!$G$2,$Q44=Parametres!$G$3),I44,C44)</f>
        <v>1</v>
      </c>
      <c r="O44" s="1084" t="str">
        <f>+IF(OR($Q44=Parametres!$G$2,$Q44=Parametres!$G$3),J44,D44)</f>
        <v xml:space="preserve">                                              -   </v>
      </c>
      <c r="P44" s="152">
        <f>+IF(OR($Q44=Parametres!$G$2,$Q44=Parametres!$G$3),K44,E44)</f>
        <v>1</v>
      </c>
      <c r="Q44" s="151" t="str">
        <f t="shared" si="2"/>
        <v>1-Mémo</v>
      </c>
      <c r="R44" s="150" t="str">
        <f t="shared" si="3"/>
        <v>50</v>
      </c>
      <c r="S44" s="151">
        <f t="shared" si="4"/>
        <v>0</v>
      </c>
      <c r="T44" s="153">
        <f>+VLOOKUP($L44,Data_Validation!$A:$D,1,0)</f>
        <v>524</v>
      </c>
      <c r="U44" s="153">
        <f>+VLOOKUP($L44,Data_Validation!$A:$D,3,0)</f>
        <v>0</v>
      </c>
      <c r="V44" s="153">
        <f>+VLOOKUP($L44,Data_Validation!$A:$D,4,0)</f>
        <v>0</v>
      </c>
      <c r="W44" s="153" t="str">
        <f>+VLOOKUP($L44,Data_Validation!$A:$E,5,0)</f>
        <v>$</v>
      </c>
      <c r="X44" s="153">
        <f>+VLOOKUP($L44,Data_Validation!$A:$F,6,0)</f>
        <v>0</v>
      </c>
    </row>
    <row r="45" spans="1:24" ht="15" customHeight="1">
      <c r="A45" s="1193" t="s">
        <v>2334</v>
      </c>
      <c r="B45" s="1194">
        <v>527</v>
      </c>
      <c r="C45" s="1195"/>
      <c r="D45" s="1195"/>
      <c r="E45" s="1195"/>
      <c r="F45" s="1193" t="s">
        <v>1</v>
      </c>
      <c r="G45" s="1193" t="s">
        <v>2208</v>
      </c>
      <c r="H45" s="1196"/>
      <c r="I45" s="1197">
        <v>1</v>
      </c>
      <c r="J45" s="1197" t="s">
        <v>3278</v>
      </c>
      <c r="K45" s="1197">
        <v>1</v>
      </c>
      <c r="L45" s="150">
        <f t="shared" si="0"/>
        <v>527</v>
      </c>
      <c r="M45" s="151" t="str">
        <f t="shared" si="1"/>
        <v>DIR. SERVICE PIECES</v>
      </c>
      <c r="N45" s="152">
        <f>+IF(OR($Q45=Parametres!$G$2,$Q45=Parametres!$G$3),I45,C45)</f>
        <v>1</v>
      </c>
      <c r="O45" s="1084" t="str">
        <f>+IF(OR($Q45=Parametres!$G$2,$Q45=Parametres!$G$3),J45,D45)</f>
        <v xml:space="preserve">                                              -   </v>
      </c>
      <c r="P45" s="152">
        <f>+IF(OR($Q45=Parametres!$G$2,$Q45=Parametres!$G$3),K45,E45)</f>
        <v>1</v>
      </c>
      <c r="Q45" s="151" t="str">
        <f t="shared" si="2"/>
        <v>1-Mémo</v>
      </c>
      <c r="R45" s="150" t="str">
        <f t="shared" si="3"/>
        <v>50</v>
      </c>
      <c r="S45" s="151">
        <f t="shared" si="4"/>
        <v>0</v>
      </c>
      <c r="T45" s="153">
        <f>+VLOOKUP($L45,Data_Validation!$A:$D,1,0)</f>
        <v>527</v>
      </c>
      <c r="U45" s="153">
        <f>+VLOOKUP($L45,Data_Validation!$A:$D,3,0)</f>
        <v>0</v>
      </c>
      <c r="V45" s="153">
        <f>+VLOOKUP($L45,Data_Validation!$A:$D,4,0)</f>
        <v>0</v>
      </c>
      <c r="W45" s="153" t="str">
        <f>+VLOOKUP($L45,Data_Validation!$A:$E,5,0)</f>
        <v>$</v>
      </c>
      <c r="X45" s="153">
        <f>+VLOOKUP($L45,Data_Validation!$A:$F,6,0)</f>
        <v>0</v>
      </c>
    </row>
    <row r="46" spans="1:24" ht="15" customHeight="1">
      <c r="A46" s="1193" t="s">
        <v>2336</v>
      </c>
      <c r="B46" s="1194">
        <v>541</v>
      </c>
      <c r="C46" s="1195"/>
      <c r="D46" s="1195"/>
      <c r="E46" s="1195"/>
      <c r="F46" s="1193" t="s">
        <v>1</v>
      </c>
      <c r="G46" s="1193" t="s">
        <v>2338</v>
      </c>
      <c r="H46" s="1196"/>
      <c r="I46" s="1197">
        <v>6</v>
      </c>
      <c r="J46" s="1197" t="s">
        <v>3278</v>
      </c>
      <c r="K46" s="1197">
        <v>6</v>
      </c>
      <c r="L46" s="150">
        <f t="shared" si="0"/>
        <v>541</v>
      </c>
      <c r="M46" s="151" t="str">
        <f t="shared" si="1"/>
        <v>VW REP. DES VENTES - NEUF</v>
      </c>
      <c r="N46" s="152">
        <f>+IF(OR($Q46=Parametres!$G$2,$Q46=Parametres!$G$3),I46,C46)</f>
        <v>6</v>
      </c>
      <c r="O46" s="1084" t="str">
        <f>+IF(OR($Q46=Parametres!$G$2,$Q46=Parametres!$G$3),J46,D46)</f>
        <v xml:space="preserve">                                              -   </v>
      </c>
      <c r="P46" s="152">
        <f>+IF(OR($Q46=Parametres!$G$2,$Q46=Parametres!$G$3),K46,E46)</f>
        <v>6</v>
      </c>
      <c r="Q46" s="151" t="str">
        <f t="shared" si="2"/>
        <v>1-Mémo</v>
      </c>
      <c r="R46" s="150" t="str">
        <f t="shared" si="3"/>
        <v>54</v>
      </c>
      <c r="S46" s="151">
        <f t="shared" si="4"/>
        <v>0</v>
      </c>
      <c r="T46" s="153">
        <f>+VLOOKUP($L46,Data_Validation!$A:$D,1,0)</f>
        <v>541</v>
      </c>
      <c r="U46" s="153">
        <f>+VLOOKUP($L46,Data_Validation!$A:$D,3,0)</f>
        <v>0</v>
      </c>
      <c r="V46" s="153">
        <f>+VLOOKUP($L46,Data_Validation!$A:$D,4,0)</f>
        <v>0</v>
      </c>
      <c r="W46" s="153" t="str">
        <f>+VLOOKUP($L46,Data_Validation!$A:$E,5,0)</f>
        <v>$</v>
      </c>
      <c r="X46" s="153">
        <f>+VLOOKUP($L46,Data_Validation!$A:$F,6,0)</f>
        <v>0</v>
      </c>
    </row>
    <row r="47" spans="1:24" ht="15" customHeight="1">
      <c r="A47" s="1193" t="s">
        <v>2339</v>
      </c>
      <c r="B47" s="1194">
        <v>542</v>
      </c>
      <c r="C47" s="1195"/>
      <c r="D47" s="1195"/>
      <c r="E47" s="1195"/>
      <c r="F47" s="1193" t="s">
        <v>1</v>
      </c>
      <c r="G47" s="1193" t="s">
        <v>2208</v>
      </c>
      <c r="H47" s="1196"/>
      <c r="I47" s="1197">
        <v>3</v>
      </c>
      <c r="J47" s="1197" t="s">
        <v>3278</v>
      </c>
      <c r="K47" s="1197">
        <v>3</v>
      </c>
      <c r="L47" s="150">
        <f t="shared" si="0"/>
        <v>542</v>
      </c>
      <c r="M47" s="151" t="str">
        <f t="shared" si="1"/>
        <v>VW REP. DES VENTES - OCC.</v>
      </c>
      <c r="N47" s="152">
        <f>+IF(OR($Q47=Parametres!$G$2,$Q47=Parametres!$G$3),I47,C47)</f>
        <v>3</v>
      </c>
      <c r="O47" s="1084" t="str">
        <f>+IF(OR($Q47=Parametres!$G$2,$Q47=Parametres!$G$3),J47,D47)</f>
        <v xml:space="preserve">                                              -   </v>
      </c>
      <c r="P47" s="152">
        <f>+IF(OR($Q47=Parametres!$G$2,$Q47=Parametres!$G$3),K47,E47)</f>
        <v>3</v>
      </c>
      <c r="Q47" s="151" t="str">
        <f t="shared" si="2"/>
        <v>1-Mémo</v>
      </c>
      <c r="R47" s="150" t="str">
        <f t="shared" si="3"/>
        <v>50</v>
      </c>
      <c r="S47" s="151">
        <f t="shared" si="4"/>
        <v>0</v>
      </c>
      <c r="T47" s="153">
        <f>+VLOOKUP($L47,Data_Validation!$A:$D,1,0)</f>
        <v>542</v>
      </c>
      <c r="U47" s="153">
        <f>+VLOOKUP($L47,Data_Validation!$A:$D,3,0)</f>
        <v>0</v>
      </c>
      <c r="V47" s="153">
        <f>+VLOOKUP($L47,Data_Validation!$A:$D,4,0)</f>
        <v>0</v>
      </c>
      <c r="W47" s="153" t="str">
        <f>+VLOOKUP($L47,Data_Validation!$A:$E,5,0)</f>
        <v>$</v>
      </c>
      <c r="X47" s="153">
        <f>+VLOOKUP($L47,Data_Validation!$A:$F,6,0)</f>
        <v>0</v>
      </c>
    </row>
    <row r="48" spans="1:24" ht="15.75" customHeight="1">
      <c r="A48" s="1193" t="s">
        <v>2341</v>
      </c>
      <c r="B48" s="1194">
        <v>551</v>
      </c>
      <c r="C48" s="1195"/>
      <c r="D48" s="1196"/>
      <c r="E48" s="1195"/>
      <c r="F48" s="1193" t="s">
        <v>1</v>
      </c>
      <c r="G48" s="1193" t="s">
        <v>2208</v>
      </c>
      <c r="H48" s="1196"/>
      <c r="I48" s="1197">
        <v>1.5</v>
      </c>
      <c r="J48" s="1197" t="s">
        <v>3278</v>
      </c>
      <c r="K48" s="1197">
        <v>1.5</v>
      </c>
      <c r="L48" s="150">
        <f t="shared" si="0"/>
        <v>551</v>
      </c>
      <c r="M48" s="151" t="str">
        <f t="shared" si="1"/>
        <v>DIR. COMMERCIAL NEUFS</v>
      </c>
      <c r="N48" s="152">
        <f>+IF(OR($Q48=Parametres!$G$2,$Q48=Parametres!$G$3),I48,C48)</f>
        <v>1.5</v>
      </c>
      <c r="O48" s="1084" t="str">
        <f>+IF(OR($Q48=Parametres!$G$2,$Q48=Parametres!$G$3),J48,D48)</f>
        <v xml:space="preserve">                                              -   </v>
      </c>
      <c r="P48" s="152">
        <f>+IF(OR($Q48=Parametres!$G$2,$Q48=Parametres!$G$3),K48,E48)</f>
        <v>1.5</v>
      </c>
      <c r="Q48" s="151" t="str">
        <f t="shared" si="2"/>
        <v>1-Mémo</v>
      </c>
      <c r="R48" s="150" t="str">
        <f t="shared" si="3"/>
        <v>50</v>
      </c>
      <c r="S48" s="151">
        <f t="shared" si="4"/>
        <v>0</v>
      </c>
      <c r="T48" s="153">
        <f>+VLOOKUP($L48,Data_Validation!$A:$D,1,0)</f>
        <v>551</v>
      </c>
      <c r="U48" s="153">
        <f>+VLOOKUP($L48,Data_Validation!$A:$D,3,0)</f>
        <v>0</v>
      </c>
      <c r="V48" s="153">
        <f>+VLOOKUP($L48,Data_Validation!$A:$D,4,0)</f>
        <v>0</v>
      </c>
      <c r="W48" s="153" t="str">
        <f>+VLOOKUP($L48,Data_Validation!$A:$E,5,0)</f>
        <v>$</v>
      </c>
      <c r="X48" s="153">
        <f>+VLOOKUP($L48,Data_Validation!$A:$F,6,0)</f>
        <v>0</v>
      </c>
    </row>
    <row r="49" spans="1:24" ht="15" customHeight="1">
      <c r="A49" s="1193" t="s">
        <v>2343</v>
      </c>
      <c r="B49" s="1194">
        <v>552</v>
      </c>
      <c r="C49" s="1195"/>
      <c r="D49" s="1196"/>
      <c r="E49" s="1195"/>
      <c r="F49" s="1193" t="s">
        <v>1</v>
      </c>
      <c r="G49" s="1193" t="s">
        <v>2208</v>
      </c>
      <c r="H49" s="1196"/>
      <c r="I49" s="1197">
        <v>1.5</v>
      </c>
      <c r="J49" s="1197" t="s">
        <v>3278</v>
      </c>
      <c r="K49" s="1197">
        <v>1.5</v>
      </c>
      <c r="L49" s="150">
        <f t="shared" si="0"/>
        <v>552</v>
      </c>
      <c r="M49" s="151" t="str">
        <f t="shared" si="1"/>
        <v>DIR. COMMERCIAL USAGES</v>
      </c>
      <c r="N49" s="152">
        <f>+IF(OR($Q49=Parametres!$G$2,$Q49=Parametres!$G$3),I49,C49)</f>
        <v>1.5</v>
      </c>
      <c r="O49" s="1082" t="str">
        <f>+IF(OR($Q49=Parametres!$G$2,$Q49=Parametres!$G$3),J49,D49)</f>
        <v xml:space="preserve">                                              -   </v>
      </c>
      <c r="P49" s="152">
        <f>+IF(OR($Q49=Parametres!$G$2,$Q49=Parametres!$G$3),K49,E49)</f>
        <v>1.5</v>
      </c>
      <c r="Q49" s="151" t="str">
        <f t="shared" si="2"/>
        <v>1-Mémo</v>
      </c>
      <c r="R49" s="150" t="str">
        <f t="shared" si="3"/>
        <v>50</v>
      </c>
      <c r="S49" s="151">
        <f t="shared" si="4"/>
        <v>0</v>
      </c>
      <c r="T49" s="153">
        <f>+VLOOKUP($L49,Data_Validation!$A:$D,1,0)</f>
        <v>552</v>
      </c>
      <c r="U49" s="153">
        <f>+VLOOKUP($L49,Data_Validation!$A:$D,3,0)</f>
        <v>0</v>
      </c>
      <c r="V49" s="153">
        <f>+VLOOKUP($L49,Data_Validation!$A:$D,4,0)</f>
        <v>0</v>
      </c>
      <c r="W49" s="153" t="str">
        <f>+VLOOKUP($L49,Data_Validation!$A:$E,5,0)</f>
        <v>$</v>
      </c>
      <c r="X49" s="153">
        <f>+VLOOKUP($L49,Data_Validation!$A:$F,6,0)</f>
        <v>0</v>
      </c>
    </row>
    <row r="50" spans="1:24" ht="15" customHeight="1">
      <c r="A50" s="1193" t="s">
        <v>2855</v>
      </c>
      <c r="B50" s="1194">
        <v>564</v>
      </c>
      <c r="C50" s="1195"/>
      <c r="D50" s="1196"/>
      <c r="E50" s="1195"/>
      <c r="F50" s="1193" t="s">
        <v>1</v>
      </c>
      <c r="G50" s="1193" t="s">
        <v>2208</v>
      </c>
      <c r="H50" s="1196"/>
      <c r="I50" s="1197">
        <v>1</v>
      </c>
      <c r="J50" s="1197" t="s">
        <v>3278</v>
      </c>
      <c r="K50" s="1197">
        <v>1</v>
      </c>
      <c r="L50" s="150">
        <f t="shared" si="0"/>
        <v>564</v>
      </c>
      <c r="M50" s="151" t="str">
        <f t="shared" si="1"/>
        <v>CONTREMAITRE SERVICE</v>
      </c>
      <c r="N50" s="152">
        <f>+IF(OR($Q50=Parametres!$G$2,$Q50=Parametres!$G$3),I50,C50)</f>
        <v>1</v>
      </c>
      <c r="O50" s="1084" t="str">
        <f>+IF(OR($Q50=Parametres!$G$2,$Q50=Parametres!$G$3),J50,D50)</f>
        <v xml:space="preserve">                                              -   </v>
      </c>
      <c r="P50" s="152">
        <f>+IF(OR($Q50=Parametres!$G$2,$Q50=Parametres!$G$3),K50,E50)</f>
        <v>1</v>
      </c>
      <c r="Q50" s="151" t="str">
        <f t="shared" si="2"/>
        <v>1-Mémo</v>
      </c>
      <c r="R50" s="150" t="str">
        <f t="shared" si="3"/>
        <v>50</v>
      </c>
      <c r="S50" s="151">
        <f t="shared" si="4"/>
        <v>0</v>
      </c>
      <c r="T50" s="153">
        <f>+VLOOKUP($L50,Data_Validation!$A:$D,1,0)</f>
        <v>564</v>
      </c>
      <c r="U50" s="153">
        <f>+VLOOKUP($L50,Data_Validation!$A:$D,3,0)</f>
        <v>0</v>
      </c>
      <c r="V50" s="153">
        <f>+VLOOKUP($L50,Data_Validation!$A:$D,4,0)</f>
        <v>0</v>
      </c>
      <c r="W50" s="153" t="str">
        <f>+VLOOKUP($L50,Data_Validation!$A:$E,5,0)</f>
        <v>$</v>
      </c>
      <c r="X50" s="153">
        <f>+VLOOKUP($L50,Data_Validation!$A:$F,6,0)</f>
        <v>0</v>
      </c>
    </row>
    <row r="51" spans="1:24" ht="15" customHeight="1">
      <c r="A51" s="1193" t="s">
        <v>2345</v>
      </c>
      <c r="B51" s="1194">
        <v>614</v>
      </c>
      <c r="C51" s="1195"/>
      <c r="D51" s="1195"/>
      <c r="E51" s="1195"/>
      <c r="F51" s="1193" t="s">
        <v>1</v>
      </c>
      <c r="G51" s="1193" t="s">
        <v>2347</v>
      </c>
      <c r="H51" s="1196"/>
      <c r="I51" s="1197">
        <v>5</v>
      </c>
      <c r="J51" s="1197" t="s">
        <v>3278</v>
      </c>
      <c r="K51" s="1197">
        <v>5</v>
      </c>
      <c r="L51" s="150">
        <f t="shared" si="0"/>
        <v>614</v>
      </c>
      <c r="M51" s="151" t="str">
        <f t="shared" si="1"/>
        <v>VW CONSEILLERS SERVICE -SERVICE</v>
      </c>
      <c r="N51" s="152">
        <f>+IF(OR($Q51=Parametres!$G$2,$Q51=Parametres!$G$3),I51,C51)</f>
        <v>5</v>
      </c>
      <c r="O51" s="1084" t="str">
        <f>+IF(OR($Q51=Parametres!$G$2,$Q51=Parametres!$G$3),J51,D51)</f>
        <v xml:space="preserve">                                              -   </v>
      </c>
      <c r="P51" s="152">
        <f>+IF(OR($Q51=Parametres!$G$2,$Q51=Parametres!$G$3),K51,E51)</f>
        <v>5</v>
      </c>
      <c r="Q51" s="151" t="str">
        <f t="shared" si="2"/>
        <v>1-Mémo</v>
      </c>
      <c r="R51" s="150" t="str">
        <f t="shared" si="3"/>
        <v>61</v>
      </c>
      <c r="S51" s="151">
        <f t="shared" si="4"/>
        <v>0</v>
      </c>
      <c r="T51" s="153">
        <f>+VLOOKUP($L51,Data_Validation!$A:$D,1,0)</f>
        <v>614</v>
      </c>
      <c r="U51" s="153">
        <f>+VLOOKUP($L51,Data_Validation!$A:$D,3,0)</f>
        <v>0</v>
      </c>
      <c r="V51" s="153">
        <f>+VLOOKUP($L51,Data_Validation!$A:$D,4,0)</f>
        <v>0</v>
      </c>
      <c r="W51" s="153" t="str">
        <f>+VLOOKUP($L51,Data_Validation!$A:$E,5,0)</f>
        <v>$</v>
      </c>
      <c r="X51" s="153">
        <f>+VLOOKUP($L51,Data_Validation!$A:$F,6,0)</f>
        <v>0</v>
      </c>
    </row>
    <row r="52" spans="1:24" ht="15.75" customHeight="1">
      <c r="A52" s="1193" t="s">
        <v>2348</v>
      </c>
      <c r="B52" s="1194">
        <v>615</v>
      </c>
      <c r="C52" s="1195"/>
      <c r="D52" s="1196"/>
      <c r="E52" s="1195"/>
      <c r="F52" s="1193" t="s">
        <v>1</v>
      </c>
      <c r="G52" s="1193" t="s">
        <v>2347</v>
      </c>
      <c r="H52" s="1196"/>
      <c r="I52" s="1197">
        <v>1</v>
      </c>
      <c r="J52" s="1197" t="s">
        <v>3278</v>
      </c>
      <c r="K52" s="1197">
        <v>1</v>
      </c>
      <c r="L52" s="150">
        <f t="shared" si="0"/>
        <v>615</v>
      </c>
      <c r="M52" s="151" t="str">
        <f t="shared" si="1"/>
        <v>VW CONSEILLERS SERVICE - PIEC. &amp; CARR.&lt;</v>
      </c>
      <c r="N52" s="152">
        <f>+IF(OR($Q52=Parametres!$G$2,$Q52=Parametres!$G$3),I52,C52)</f>
        <v>1</v>
      </c>
      <c r="O52" s="1084" t="str">
        <f>+IF(OR($Q52=Parametres!$G$2,$Q52=Parametres!$G$3),J52,D52)</f>
        <v xml:space="preserve">                                              -   </v>
      </c>
      <c r="P52" s="152">
        <f>+IF(OR($Q52=Parametres!$G$2,$Q52=Parametres!$G$3),K52,E52)</f>
        <v>1</v>
      </c>
      <c r="Q52" s="151" t="str">
        <f t="shared" si="2"/>
        <v>1-Mémo</v>
      </c>
      <c r="R52" s="150" t="str">
        <f t="shared" si="3"/>
        <v>61</v>
      </c>
      <c r="S52" s="151">
        <f t="shared" si="4"/>
        <v>0</v>
      </c>
      <c r="T52" s="153">
        <f>+VLOOKUP($L52,Data_Validation!$A:$D,1,0)</f>
        <v>615</v>
      </c>
      <c r="U52" s="153">
        <f>+VLOOKUP($L52,Data_Validation!$A:$D,3,0)</f>
        <v>0</v>
      </c>
      <c r="V52" s="153">
        <f>+VLOOKUP($L52,Data_Validation!$A:$D,4,0)</f>
        <v>0</v>
      </c>
      <c r="W52" s="153" t="str">
        <f>+VLOOKUP($L52,Data_Validation!$A:$E,5,0)</f>
        <v>$</v>
      </c>
      <c r="X52" s="153">
        <f>+VLOOKUP($L52,Data_Validation!$A:$F,6,0)</f>
        <v>0</v>
      </c>
    </row>
    <row r="53" spans="1:24" ht="15" customHeight="1">
      <c r="A53" s="1193" t="s">
        <v>2350</v>
      </c>
      <c r="B53" s="1194">
        <v>621</v>
      </c>
      <c r="C53" s="1195"/>
      <c r="D53" s="1196"/>
      <c r="E53" s="1195"/>
      <c r="F53" s="1193" t="s">
        <v>1</v>
      </c>
      <c r="G53" s="1193" t="s">
        <v>2208</v>
      </c>
      <c r="H53" s="1196"/>
      <c r="I53" s="1197">
        <v>1</v>
      </c>
      <c r="J53" s="1197" t="s">
        <v>3278</v>
      </c>
      <c r="K53" s="1197">
        <v>1</v>
      </c>
      <c r="L53" s="150">
        <f t="shared" si="0"/>
        <v>621</v>
      </c>
      <c r="M53" s="151" t="str">
        <f t="shared" si="1"/>
        <v>LAVEURS NEUFS</v>
      </c>
      <c r="N53" s="152">
        <f>+IF(OR($Q53=Parametres!$G$2,$Q53=Parametres!$G$3),I53,C53)</f>
        <v>1</v>
      </c>
      <c r="O53" s="1084" t="str">
        <f>+IF(OR($Q53=Parametres!$G$2,$Q53=Parametres!$G$3),J53,D53)</f>
        <v xml:space="preserve">                                              -   </v>
      </c>
      <c r="P53" s="152">
        <f>+IF(OR($Q53=Parametres!$G$2,$Q53=Parametres!$G$3),K53,E53)</f>
        <v>1</v>
      </c>
      <c r="Q53" s="151" t="str">
        <f t="shared" si="2"/>
        <v>1-Mémo</v>
      </c>
      <c r="R53" s="150" t="str">
        <f t="shared" si="3"/>
        <v>50</v>
      </c>
      <c r="S53" s="151">
        <f t="shared" si="4"/>
        <v>0</v>
      </c>
      <c r="T53" s="153">
        <f>+VLOOKUP($L53,Data_Validation!$A:$D,1,0)</f>
        <v>621</v>
      </c>
      <c r="U53" s="153">
        <f>+VLOOKUP($L53,Data_Validation!$A:$D,3,0)</f>
        <v>0</v>
      </c>
      <c r="V53" s="153">
        <f>+VLOOKUP($L53,Data_Validation!$A:$D,4,0)</f>
        <v>0</v>
      </c>
      <c r="W53" s="153" t="str">
        <f>+VLOOKUP($L53,Data_Validation!$A:$E,5,0)</f>
        <v>$</v>
      </c>
      <c r="X53" s="153">
        <f>+VLOOKUP($L53,Data_Validation!$A:$F,6,0)</f>
        <v>0</v>
      </c>
    </row>
    <row r="54" spans="1:24" ht="15" customHeight="1">
      <c r="A54" s="1193" t="s">
        <v>2352</v>
      </c>
      <c r="B54" s="1194">
        <v>622</v>
      </c>
      <c r="C54" s="1195"/>
      <c r="D54" s="1196"/>
      <c r="E54" s="1195"/>
      <c r="F54" s="1193" t="s">
        <v>1</v>
      </c>
      <c r="G54" s="1193" t="s">
        <v>2208</v>
      </c>
      <c r="H54" s="1196"/>
      <c r="I54" s="1197">
        <v>1</v>
      </c>
      <c r="J54" s="1197" t="s">
        <v>3278</v>
      </c>
      <c r="K54" s="1197">
        <v>1</v>
      </c>
      <c r="L54" s="150">
        <f t="shared" si="0"/>
        <v>622</v>
      </c>
      <c r="M54" s="151" t="str">
        <f t="shared" si="1"/>
        <v>LAVEURS USAGES</v>
      </c>
      <c r="N54" s="152">
        <f>+IF(OR($Q54=Parametres!$G$2,$Q54=Parametres!$G$3),I54,C54)</f>
        <v>1</v>
      </c>
      <c r="O54" s="1084" t="str">
        <f>+IF(OR($Q54=Parametres!$G$2,$Q54=Parametres!$G$3),J54,D54)</f>
        <v xml:space="preserve">                                              -   </v>
      </c>
      <c r="P54" s="152">
        <f>+IF(OR($Q54=Parametres!$G$2,$Q54=Parametres!$G$3),K54,E54)</f>
        <v>1</v>
      </c>
      <c r="Q54" s="151" t="str">
        <f t="shared" si="2"/>
        <v>1-Mémo</v>
      </c>
      <c r="R54" s="150" t="str">
        <f t="shared" si="3"/>
        <v>50</v>
      </c>
      <c r="S54" s="151">
        <f t="shared" si="4"/>
        <v>0</v>
      </c>
      <c r="T54" s="153">
        <f>+VLOOKUP($L54,Data_Validation!$A:$D,1,0)</f>
        <v>622</v>
      </c>
      <c r="U54" s="153">
        <f>+VLOOKUP($L54,Data_Validation!$A:$D,3,0)</f>
        <v>0</v>
      </c>
      <c r="V54" s="153">
        <f>+VLOOKUP($L54,Data_Validation!$A:$D,4,0)</f>
        <v>0</v>
      </c>
      <c r="W54" s="153" t="str">
        <f>+VLOOKUP($L54,Data_Validation!$A:$E,5,0)</f>
        <v>$</v>
      </c>
      <c r="X54" s="153">
        <f>+VLOOKUP($L54,Data_Validation!$A:$F,6,0)</f>
        <v>0</v>
      </c>
    </row>
    <row r="55" spans="1:24" ht="15" customHeight="1">
      <c r="A55" s="1193" t="s">
        <v>2354</v>
      </c>
      <c r="B55" s="1194">
        <v>624</v>
      </c>
      <c r="C55" s="1195"/>
      <c r="D55" s="1196"/>
      <c r="E55" s="1195"/>
      <c r="F55" s="1193" t="s">
        <v>1</v>
      </c>
      <c r="G55" s="1193" t="s">
        <v>2208</v>
      </c>
      <c r="H55" s="1196"/>
      <c r="I55" s="1197">
        <v>7</v>
      </c>
      <c r="J55" s="1197" t="s">
        <v>3278</v>
      </c>
      <c r="K55" s="1197">
        <v>7</v>
      </c>
      <c r="L55" s="150">
        <f t="shared" si="0"/>
        <v>624</v>
      </c>
      <c r="M55" s="151" t="str">
        <f t="shared" si="1"/>
        <v>LAVEURS SERVICE</v>
      </c>
      <c r="N55" s="152">
        <f>+IF(OR($Q55=Parametres!$G$2,$Q55=Parametres!$G$3),I55,C55)</f>
        <v>7</v>
      </c>
      <c r="O55" s="1084" t="str">
        <f>+IF(OR($Q55=Parametres!$G$2,$Q55=Parametres!$G$3),J55,D55)</f>
        <v xml:space="preserve">                                              -   </v>
      </c>
      <c r="P55" s="152">
        <f>+IF(OR($Q55=Parametres!$G$2,$Q55=Parametres!$G$3),K55,E55)</f>
        <v>7</v>
      </c>
      <c r="Q55" s="151" t="str">
        <f t="shared" si="2"/>
        <v>1-Mémo</v>
      </c>
      <c r="R55" s="150" t="str">
        <f t="shared" si="3"/>
        <v>50</v>
      </c>
      <c r="S55" s="151">
        <f t="shared" si="4"/>
        <v>0</v>
      </c>
      <c r="T55" s="153">
        <f>+VLOOKUP($L55,Data_Validation!$A:$D,1,0)</f>
        <v>624</v>
      </c>
      <c r="U55" s="153">
        <f>+VLOOKUP($L55,Data_Validation!$A:$D,3,0)</f>
        <v>0</v>
      </c>
      <c r="V55" s="153">
        <f>+VLOOKUP($L55,Data_Validation!$A:$D,4,0)</f>
        <v>0</v>
      </c>
      <c r="W55" s="153" t="str">
        <f>+VLOOKUP($L55,Data_Validation!$A:$E,5,0)</f>
        <v>$</v>
      </c>
      <c r="X55" s="153">
        <f>+VLOOKUP($L55,Data_Validation!$A:$F,6,0)</f>
        <v>0</v>
      </c>
    </row>
    <row r="56" spans="1:24" ht="15.75" customHeight="1">
      <c r="A56" s="1193" t="s">
        <v>2356</v>
      </c>
      <c r="B56" s="1194">
        <v>644</v>
      </c>
      <c r="C56" s="1195"/>
      <c r="D56" s="1195"/>
      <c r="E56" s="1195"/>
      <c r="F56" s="1193" t="s">
        <v>1</v>
      </c>
      <c r="G56" s="1193" t="s">
        <v>2358</v>
      </c>
      <c r="H56" s="1196"/>
      <c r="I56" s="1197">
        <v>12</v>
      </c>
      <c r="J56" s="1197" t="s">
        <v>3278</v>
      </c>
      <c r="K56" s="1197">
        <v>12</v>
      </c>
      <c r="L56" s="150">
        <f t="shared" si="0"/>
        <v>644</v>
      </c>
      <c r="M56" s="151" t="str">
        <f t="shared" si="1"/>
        <v>VW TECHNICIENS - SERVICE</v>
      </c>
      <c r="N56" s="152">
        <f>+IF(OR($Q56=Parametres!$G$2,$Q56=Parametres!$G$3),I56,C56)</f>
        <v>12</v>
      </c>
      <c r="O56" s="1084" t="str">
        <f>+IF(OR($Q56=Parametres!$G$2,$Q56=Parametres!$G$3),J56,D56)</f>
        <v xml:space="preserve">                                              -   </v>
      </c>
      <c r="P56" s="152">
        <f>+IF(OR($Q56=Parametres!$G$2,$Q56=Parametres!$G$3),K56,E56)</f>
        <v>12</v>
      </c>
      <c r="Q56" s="151" t="str">
        <f t="shared" si="2"/>
        <v>1-Mémo</v>
      </c>
      <c r="R56" s="150" t="str">
        <f t="shared" si="3"/>
        <v>64</v>
      </c>
      <c r="S56" s="151">
        <f t="shared" si="4"/>
        <v>0</v>
      </c>
      <c r="T56" s="153">
        <f>+VLOOKUP($L56,Data_Validation!$A:$D,1,0)</f>
        <v>644</v>
      </c>
      <c r="U56" s="153">
        <f>+VLOOKUP($L56,Data_Validation!$A:$D,3,0)</f>
        <v>0</v>
      </c>
      <c r="V56" s="153">
        <f>+VLOOKUP($L56,Data_Validation!$A:$D,4,0)</f>
        <v>0</v>
      </c>
      <c r="W56" s="153" t="str">
        <f>+VLOOKUP($L56,Data_Validation!$A:$E,5,0)</f>
        <v>$</v>
      </c>
      <c r="X56" s="153">
        <f>+VLOOKUP($L56,Data_Validation!$A:$F,6,0)</f>
        <v>0</v>
      </c>
    </row>
    <row r="57" spans="1:24" ht="15" customHeight="1">
      <c r="A57" s="1198" t="s">
        <v>2359</v>
      </c>
      <c r="B57" s="1194">
        <v>651</v>
      </c>
      <c r="C57" s="1195"/>
      <c r="D57" s="1195"/>
      <c r="E57" s="1195"/>
      <c r="F57" s="1193" t="s">
        <v>1</v>
      </c>
      <c r="G57" s="1193" t="s">
        <v>2208</v>
      </c>
      <c r="H57" s="1196"/>
      <c r="I57" s="1197">
        <v>0.2</v>
      </c>
      <c r="J57" s="1197" t="s">
        <v>3278</v>
      </c>
      <c r="K57" s="1197">
        <v>0.2</v>
      </c>
      <c r="L57" s="150">
        <f t="shared" si="0"/>
        <v>651</v>
      </c>
      <c r="M57" s="151" t="str">
        <f t="shared" si="1"/>
        <v>DIR. ADMINIS. NEUFS</v>
      </c>
      <c r="N57" s="152">
        <f>+IF(OR($Q57=Parametres!$G$2,$Q57=Parametres!$G$3),I57,C57)</f>
        <v>0.2</v>
      </c>
      <c r="O57" s="1084" t="str">
        <f>+IF(OR($Q57=Parametres!$G$2,$Q57=Parametres!$G$3),J57,D57)</f>
        <v xml:space="preserve">                                              -   </v>
      </c>
      <c r="P57" s="152">
        <f>+IF(OR($Q57=Parametres!$G$2,$Q57=Parametres!$G$3),K57,E57)</f>
        <v>0.2</v>
      </c>
      <c r="Q57" s="151" t="str">
        <f t="shared" si="2"/>
        <v>1-Mémo</v>
      </c>
      <c r="R57" s="150" t="str">
        <f t="shared" si="3"/>
        <v>50</v>
      </c>
      <c r="S57" s="151">
        <f t="shared" si="4"/>
        <v>0</v>
      </c>
      <c r="T57" s="153">
        <f>+VLOOKUP($L57,Data_Validation!$A:$D,1,0)</f>
        <v>651</v>
      </c>
      <c r="U57" s="153">
        <f>+VLOOKUP($L57,Data_Validation!$A:$D,3,0)</f>
        <v>0</v>
      </c>
      <c r="V57" s="153">
        <f>+VLOOKUP($L57,Data_Validation!$A:$D,4,0)</f>
        <v>0</v>
      </c>
      <c r="W57" s="153" t="str">
        <f>+VLOOKUP($L57,Data_Validation!$A:$E,5,0)</f>
        <v>$</v>
      </c>
      <c r="X57" s="153">
        <f>+VLOOKUP($L57,Data_Validation!$A:$F,6,0)</f>
        <v>0</v>
      </c>
    </row>
    <row r="58" spans="1:24" ht="15" customHeight="1">
      <c r="A58" s="1193" t="s">
        <v>2361</v>
      </c>
      <c r="B58" s="1194">
        <v>652</v>
      </c>
      <c r="C58" s="1195"/>
      <c r="D58" s="1195"/>
      <c r="E58" s="1195"/>
      <c r="F58" s="1193" t="s">
        <v>1</v>
      </c>
      <c r="G58" s="1193" t="s">
        <v>2208</v>
      </c>
      <c r="H58" s="1196"/>
      <c r="I58" s="1197">
        <v>0.2</v>
      </c>
      <c r="J58" s="1197" t="s">
        <v>3278</v>
      </c>
      <c r="K58" s="1197">
        <v>0.2</v>
      </c>
      <c r="L58" s="150">
        <f t="shared" si="0"/>
        <v>652</v>
      </c>
      <c r="M58" s="151" t="str">
        <f t="shared" si="1"/>
        <v>DIR. ADMINIS. USAGES</v>
      </c>
      <c r="N58" s="152">
        <f>+IF(OR($Q58=Parametres!$G$2,$Q58=Parametres!$G$3),I58,C58)</f>
        <v>0.2</v>
      </c>
      <c r="O58" s="1084" t="str">
        <f>+IF(OR($Q58=Parametres!$G$2,$Q58=Parametres!$G$3),J58,D58)</f>
        <v xml:space="preserve">                                              -   </v>
      </c>
      <c r="P58" s="152">
        <f>+IF(OR($Q58=Parametres!$G$2,$Q58=Parametres!$G$3),K58,E58)</f>
        <v>0.2</v>
      </c>
      <c r="Q58" s="151" t="str">
        <f t="shared" si="2"/>
        <v>1-Mémo</v>
      </c>
      <c r="R58" s="150" t="str">
        <f t="shared" si="3"/>
        <v>50</v>
      </c>
      <c r="S58" s="151">
        <f t="shared" si="4"/>
        <v>0</v>
      </c>
      <c r="T58" s="153">
        <f>+VLOOKUP($L58,Data_Validation!$A:$D,1,0)</f>
        <v>652</v>
      </c>
      <c r="U58" s="153">
        <f>+VLOOKUP($L58,Data_Validation!$A:$D,3,0)</f>
        <v>0</v>
      </c>
      <c r="V58" s="153">
        <f>+VLOOKUP($L58,Data_Validation!$A:$D,4,0)</f>
        <v>0</v>
      </c>
      <c r="W58" s="153" t="str">
        <f>+VLOOKUP($L58,Data_Validation!$A:$E,5,0)</f>
        <v>$</v>
      </c>
      <c r="X58" s="153">
        <f>+VLOOKUP($L58,Data_Validation!$A:$F,6,0)</f>
        <v>0</v>
      </c>
    </row>
    <row r="59" spans="1:24" ht="15" customHeight="1">
      <c r="A59" s="1193" t="s">
        <v>2363</v>
      </c>
      <c r="B59" s="1194">
        <v>654</v>
      </c>
      <c r="C59" s="1195"/>
      <c r="D59" s="1195"/>
      <c r="E59" s="1195"/>
      <c r="F59" s="1193" t="s">
        <v>1</v>
      </c>
      <c r="G59" s="1193" t="s">
        <v>2208</v>
      </c>
      <c r="H59" s="1196"/>
      <c r="I59" s="1197">
        <v>0.2</v>
      </c>
      <c r="J59" s="1197" t="s">
        <v>3278</v>
      </c>
      <c r="K59" s="1197">
        <v>0.2</v>
      </c>
      <c r="L59" s="150">
        <f t="shared" si="0"/>
        <v>654</v>
      </c>
      <c r="M59" s="151" t="str">
        <f t="shared" si="1"/>
        <v>DIR. ADMINIS. SERVICE</v>
      </c>
      <c r="N59" s="152">
        <f>+IF(OR($Q59=Parametres!$G$2,$Q59=Parametres!$G$3),I59,C59)</f>
        <v>0.2</v>
      </c>
      <c r="O59" s="1082" t="str">
        <f>+IF(OR($Q59=Parametres!$G$2,$Q59=Parametres!$G$3),J59,D59)</f>
        <v xml:space="preserve">                                              -   </v>
      </c>
      <c r="P59" s="152">
        <f>+IF(OR($Q59=Parametres!$G$2,$Q59=Parametres!$G$3),K59,E59)</f>
        <v>0.2</v>
      </c>
      <c r="Q59" s="151" t="str">
        <f t="shared" si="2"/>
        <v>1-Mémo</v>
      </c>
      <c r="R59" s="150" t="str">
        <f t="shared" si="3"/>
        <v>50</v>
      </c>
      <c r="S59" s="151">
        <f t="shared" si="4"/>
        <v>0</v>
      </c>
      <c r="T59" s="153">
        <f>+VLOOKUP($L59,Data_Validation!$A:$D,1,0)</f>
        <v>654</v>
      </c>
      <c r="U59" s="153">
        <f>+VLOOKUP($L59,Data_Validation!$A:$D,3,0)</f>
        <v>0</v>
      </c>
      <c r="V59" s="153">
        <f>+VLOOKUP($L59,Data_Validation!$A:$D,4,0)</f>
        <v>0</v>
      </c>
      <c r="W59" s="153" t="str">
        <f>+VLOOKUP($L59,Data_Validation!$A:$E,5,0)</f>
        <v>$</v>
      </c>
      <c r="X59" s="153">
        <f>+VLOOKUP($L59,Data_Validation!$A:$F,6,0)</f>
        <v>0</v>
      </c>
    </row>
    <row r="60" spans="1:24" ht="15" customHeight="1">
      <c r="A60" s="1193" t="s">
        <v>2365</v>
      </c>
      <c r="B60" s="1194">
        <v>655</v>
      </c>
      <c r="C60" s="1195"/>
      <c r="D60" s="1195"/>
      <c r="E60" s="1195"/>
      <c r="F60" s="1193" t="s">
        <v>1</v>
      </c>
      <c r="G60" s="1193" t="s">
        <v>2208</v>
      </c>
      <c r="H60" s="1196"/>
      <c r="I60" s="1197">
        <v>0.2</v>
      </c>
      <c r="J60" s="1197" t="s">
        <v>3278</v>
      </c>
      <c r="K60" s="1197">
        <v>0.2</v>
      </c>
      <c r="L60" s="150">
        <f t="shared" si="0"/>
        <v>655</v>
      </c>
      <c r="M60" s="151" t="str">
        <f t="shared" si="1"/>
        <v>DIR. ADMINIS. CARROSS.</v>
      </c>
      <c r="N60" s="152">
        <f>+IF(OR($Q60=Parametres!$G$2,$Q60=Parametres!$G$3),I60,C60)</f>
        <v>0.2</v>
      </c>
      <c r="O60" s="1084" t="str">
        <f>+IF(OR($Q60=Parametres!$G$2,$Q60=Parametres!$G$3),J60,D60)</f>
        <v xml:space="preserve">                                              -   </v>
      </c>
      <c r="P60" s="152">
        <f>+IF(OR($Q60=Parametres!$G$2,$Q60=Parametres!$G$3),K60,E60)</f>
        <v>0.2</v>
      </c>
      <c r="Q60" s="151" t="str">
        <f t="shared" si="2"/>
        <v>1-Mémo</v>
      </c>
      <c r="R60" s="150" t="str">
        <f t="shared" si="3"/>
        <v>50</v>
      </c>
      <c r="S60" s="151">
        <f t="shared" si="4"/>
        <v>0</v>
      </c>
      <c r="T60" s="153">
        <f>+VLOOKUP($L60,Data_Validation!$A:$D,1,0)</f>
        <v>655</v>
      </c>
      <c r="U60" s="153">
        <f>+VLOOKUP($L60,Data_Validation!$A:$D,3,0)</f>
        <v>0</v>
      </c>
      <c r="V60" s="153">
        <f>+VLOOKUP($L60,Data_Validation!$A:$D,4,0)</f>
        <v>0</v>
      </c>
      <c r="W60" s="153" t="str">
        <f>+VLOOKUP($L60,Data_Validation!$A:$E,5,0)</f>
        <v>$</v>
      </c>
      <c r="X60" s="153">
        <f>+VLOOKUP($L60,Data_Validation!$A:$F,6,0)</f>
        <v>0</v>
      </c>
    </row>
    <row r="61" spans="1:24" ht="15" customHeight="1">
      <c r="A61" s="1193" t="s">
        <v>2367</v>
      </c>
      <c r="B61" s="1194">
        <v>657</v>
      </c>
      <c r="C61" s="1195"/>
      <c r="D61" s="1195"/>
      <c r="E61" s="1195"/>
      <c r="F61" s="1193" t="s">
        <v>1</v>
      </c>
      <c r="G61" s="1193" t="s">
        <v>2208</v>
      </c>
      <c r="H61" s="1196"/>
      <c r="I61" s="1197">
        <v>0.2</v>
      </c>
      <c r="J61" s="1197" t="s">
        <v>3278</v>
      </c>
      <c r="K61" s="1197">
        <v>0.2</v>
      </c>
      <c r="L61" s="150">
        <f t="shared" si="0"/>
        <v>657</v>
      </c>
      <c r="M61" s="151" t="str">
        <f t="shared" si="1"/>
        <v>DIR. ADMINIS. PIECES</v>
      </c>
      <c r="N61" s="152">
        <f>+IF(OR($Q61=Parametres!$G$2,$Q61=Parametres!$G$3),I61,C61)</f>
        <v>0.2</v>
      </c>
      <c r="O61" s="1084" t="str">
        <f>+IF(OR($Q61=Parametres!$G$2,$Q61=Parametres!$G$3),J61,D61)</f>
        <v xml:space="preserve">                                              -   </v>
      </c>
      <c r="P61" s="152">
        <f>+IF(OR($Q61=Parametres!$G$2,$Q61=Parametres!$G$3),K61,E61)</f>
        <v>0.2</v>
      </c>
      <c r="Q61" s="151" t="str">
        <f t="shared" si="2"/>
        <v>1-Mémo</v>
      </c>
      <c r="R61" s="150" t="str">
        <f t="shared" si="3"/>
        <v>50</v>
      </c>
      <c r="S61" s="151">
        <f t="shared" si="4"/>
        <v>0</v>
      </c>
      <c r="T61" s="153">
        <f>+VLOOKUP($L61,Data_Validation!$A:$D,1,0)</f>
        <v>657</v>
      </c>
      <c r="U61" s="153">
        <f>+VLOOKUP($L61,Data_Validation!$A:$D,3,0)</f>
        <v>0</v>
      </c>
      <c r="V61" s="153">
        <f>+VLOOKUP($L61,Data_Validation!$A:$D,4,0)</f>
        <v>0</v>
      </c>
      <c r="W61" s="153" t="str">
        <f>+VLOOKUP($L61,Data_Validation!$A:$E,5,0)</f>
        <v>$</v>
      </c>
      <c r="X61" s="153">
        <f>+VLOOKUP($L61,Data_Validation!$A:$F,6,0)</f>
        <v>0</v>
      </c>
    </row>
    <row r="62" spans="1:24" ht="15" customHeight="1">
      <c r="A62" s="1193" t="s">
        <v>2369</v>
      </c>
      <c r="B62" s="1194">
        <v>661</v>
      </c>
      <c r="C62" s="1195"/>
      <c r="D62" s="1195"/>
      <c r="E62" s="1195"/>
      <c r="F62" s="1193" t="s">
        <v>1</v>
      </c>
      <c r="G62" s="1193" t="s">
        <v>2208</v>
      </c>
      <c r="H62" s="1196"/>
      <c r="I62" s="1197">
        <v>1</v>
      </c>
      <c r="J62" s="1197" t="s">
        <v>3278</v>
      </c>
      <c r="K62" s="1197">
        <v>1</v>
      </c>
      <c r="L62" s="150">
        <f t="shared" si="0"/>
        <v>661</v>
      </c>
      <c r="M62" s="151" t="str">
        <f t="shared" si="1"/>
        <v>PERSONELS CLER. NEUFS</v>
      </c>
      <c r="N62" s="152">
        <f>+IF(OR($Q62=Parametres!$G$2,$Q62=Parametres!$G$3),I62,C62)</f>
        <v>1</v>
      </c>
      <c r="O62" s="1084" t="str">
        <f>+IF(OR($Q62=Parametres!$G$2,$Q62=Parametres!$G$3),J62,D62)</f>
        <v xml:space="preserve">                                              -   </v>
      </c>
      <c r="P62" s="152">
        <f>+IF(OR($Q62=Parametres!$G$2,$Q62=Parametres!$G$3),K62,E62)</f>
        <v>1</v>
      </c>
      <c r="Q62" s="151" t="str">
        <f t="shared" si="2"/>
        <v>1-Mémo</v>
      </c>
      <c r="R62" s="150" t="str">
        <f t="shared" si="3"/>
        <v>50</v>
      </c>
      <c r="S62" s="151">
        <f t="shared" si="4"/>
        <v>0</v>
      </c>
      <c r="T62" s="153">
        <f>+VLOOKUP($L62,Data_Validation!$A:$D,1,0)</f>
        <v>661</v>
      </c>
      <c r="U62" s="153">
        <f>+VLOOKUP($L62,Data_Validation!$A:$D,3,0)</f>
        <v>0</v>
      </c>
      <c r="V62" s="153">
        <f>+VLOOKUP($L62,Data_Validation!$A:$D,4,0)</f>
        <v>0</v>
      </c>
      <c r="W62" s="153" t="str">
        <f>+VLOOKUP($L62,Data_Validation!$A:$E,5,0)</f>
        <v>$</v>
      </c>
      <c r="X62" s="153">
        <f>+VLOOKUP($L62,Data_Validation!$A:$F,6,0)</f>
        <v>0</v>
      </c>
    </row>
    <row r="63" spans="1:24" ht="15" customHeight="1">
      <c r="A63" s="1193" t="s">
        <v>2371</v>
      </c>
      <c r="B63" s="1194">
        <v>662</v>
      </c>
      <c r="C63" s="1195"/>
      <c r="D63" s="1195"/>
      <c r="E63" s="1195"/>
      <c r="F63" s="1193" t="s">
        <v>1</v>
      </c>
      <c r="G63" s="1193" t="s">
        <v>2208</v>
      </c>
      <c r="H63" s="1196"/>
      <c r="I63" s="1197">
        <v>1</v>
      </c>
      <c r="J63" s="1197" t="s">
        <v>3278</v>
      </c>
      <c r="K63" s="1197">
        <v>1</v>
      </c>
      <c r="L63" s="150">
        <f t="shared" si="0"/>
        <v>662</v>
      </c>
      <c r="M63" s="151" t="str">
        <f t="shared" si="1"/>
        <v>PERSONELS CLER. USAGES</v>
      </c>
      <c r="N63" s="152">
        <f>+IF(OR($Q63=Parametres!$G$2,$Q63=Parametres!$G$3),I63,C63)</f>
        <v>1</v>
      </c>
      <c r="O63" s="1082" t="str">
        <f>+IF(OR($Q63=Parametres!$G$2,$Q63=Parametres!$G$3),J63,D63)</f>
        <v xml:space="preserve">                                              -   </v>
      </c>
      <c r="P63" s="152">
        <f>+IF(OR($Q63=Parametres!$G$2,$Q63=Parametres!$G$3),K63,E63)</f>
        <v>1</v>
      </c>
      <c r="Q63" s="151" t="str">
        <f t="shared" si="2"/>
        <v>1-Mémo</v>
      </c>
      <c r="R63" s="150" t="str">
        <f t="shared" si="3"/>
        <v>50</v>
      </c>
      <c r="S63" s="151">
        <f t="shared" si="4"/>
        <v>0</v>
      </c>
      <c r="T63" s="153">
        <f>+VLOOKUP($L63,Data_Validation!$A:$D,1,0)</f>
        <v>662</v>
      </c>
      <c r="U63" s="153">
        <f>+VLOOKUP($L63,Data_Validation!$A:$D,3,0)</f>
        <v>0</v>
      </c>
      <c r="V63" s="153">
        <f>+VLOOKUP($L63,Data_Validation!$A:$D,4,0)</f>
        <v>0</v>
      </c>
      <c r="W63" s="153" t="str">
        <f>+VLOOKUP($L63,Data_Validation!$A:$E,5,0)</f>
        <v>$</v>
      </c>
      <c r="X63" s="153">
        <f>+VLOOKUP($L63,Data_Validation!$A:$F,6,0)</f>
        <v>0</v>
      </c>
    </row>
    <row r="64" spans="1:24" ht="15" customHeight="1">
      <c r="A64" s="1193" t="s">
        <v>2373</v>
      </c>
      <c r="B64" s="1194">
        <v>664</v>
      </c>
      <c r="C64" s="1195"/>
      <c r="D64" s="1195"/>
      <c r="E64" s="1195"/>
      <c r="F64" s="1193" t="s">
        <v>1</v>
      </c>
      <c r="G64" s="1193" t="s">
        <v>2208</v>
      </c>
      <c r="H64" s="1196"/>
      <c r="I64" s="1197">
        <v>1</v>
      </c>
      <c r="J64" s="1197" t="s">
        <v>3278</v>
      </c>
      <c r="K64" s="1197">
        <v>1</v>
      </c>
      <c r="L64" s="150">
        <f t="shared" si="0"/>
        <v>664</v>
      </c>
      <c r="M64" s="151" t="str">
        <f t="shared" si="1"/>
        <v>PERSONELS CLER. SERVICE</v>
      </c>
      <c r="N64" s="152">
        <f>+IF(OR($Q64=Parametres!$G$2,$Q64=Parametres!$G$3),I64,C64)</f>
        <v>1</v>
      </c>
      <c r="O64" s="1084" t="str">
        <f>+IF(OR($Q64=Parametres!$G$2,$Q64=Parametres!$G$3),J64,D64)</f>
        <v xml:space="preserve">                                              -   </v>
      </c>
      <c r="P64" s="152">
        <f>+IF(OR($Q64=Parametres!$G$2,$Q64=Parametres!$G$3),K64,E64)</f>
        <v>1</v>
      </c>
      <c r="Q64" s="151" t="str">
        <f t="shared" si="2"/>
        <v>1-Mémo</v>
      </c>
      <c r="R64" s="150" t="str">
        <f t="shared" si="3"/>
        <v>50</v>
      </c>
      <c r="S64" s="151">
        <f t="shared" si="4"/>
        <v>0</v>
      </c>
      <c r="T64" s="153">
        <f>+VLOOKUP($L64,Data_Validation!$A:$D,1,0)</f>
        <v>664</v>
      </c>
      <c r="U64" s="153">
        <f>+VLOOKUP($L64,Data_Validation!$A:$D,3,0)</f>
        <v>0</v>
      </c>
      <c r="V64" s="153">
        <f>+VLOOKUP($L64,Data_Validation!$A:$D,4,0)</f>
        <v>0</v>
      </c>
      <c r="W64" s="153" t="str">
        <f>+VLOOKUP($L64,Data_Validation!$A:$E,5,0)</f>
        <v>$</v>
      </c>
      <c r="X64" s="153">
        <f>+VLOOKUP($L64,Data_Validation!$A:$F,6,0)</f>
        <v>0</v>
      </c>
    </row>
    <row r="65" spans="1:24" ht="15" customHeight="1">
      <c r="A65" s="1193" t="s">
        <v>2375</v>
      </c>
      <c r="B65" s="1194">
        <v>667</v>
      </c>
      <c r="C65" s="1195"/>
      <c r="D65" s="1195"/>
      <c r="E65" s="1195"/>
      <c r="F65" s="1193" t="s">
        <v>1</v>
      </c>
      <c r="G65" s="1193" t="s">
        <v>2208</v>
      </c>
      <c r="H65" s="1196"/>
      <c r="I65" s="1197">
        <v>1</v>
      </c>
      <c r="J65" s="1197" t="s">
        <v>3278</v>
      </c>
      <c r="K65" s="1197">
        <v>1</v>
      </c>
      <c r="L65" s="150">
        <f t="shared" si="0"/>
        <v>667</v>
      </c>
      <c r="M65" s="151" t="str">
        <f t="shared" si="1"/>
        <v>PERSONELS CLER. PIECES</v>
      </c>
      <c r="N65" s="152">
        <f>+IF(OR($Q65=Parametres!$G$2,$Q65=Parametres!$G$3),I65,C65)</f>
        <v>1</v>
      </c>
      <c r="O65" s="1082" t="str">
        <f>+IF(OR($Q65=Parametres!$G$2,$Q65=Parametres!$G$3),J65,D65)</f>
        <v xml:space="preserve">                                              -   </v>
      </c>
      <c r="P65" s="152">
        <f>+IF(OR($Q65=Parametres!$G$2,$Q65=Parametres!$G$3),K65,E65)</f>
        <v>1</v>
      </c>
      <c r="Q65" s="151" t="str">
        <f t="shared" si="2"/>
        <v>1-Mémo</v>
      </c>
      <c r="R65" s="150" t="str">
        <f t="shared" si="3"/>
        <v>50</v>
      </c>
      <c r="S65" s="151">
        <f t="shared" si="4"/>
        <v>0</v>
      </c>
      <c r="T65" s="153">
        <f>+VLOOKUP($L65,Data_Validation!$A:$D,1,0)</f>
        <v>667</v>
      </c>
      <c r="U65" s="153">
        <f>+VLOOKUP($L65,Data_Validation!$A:$D,3,0)</f>
        <v>0</v>
      </c>
      <c r="V65" s="153">
        <f>+VLOOKUP($L65,Data_Validation!$A:$D,4,0)</f>
        <v>0</v>
      </c>
      <c r="W65" s="153" t="str">
        <f>+VLOOKUP($L65,Data_Validation!$A:$E,5,0)</f>
        <v>$</v>
      </c>
      <c r="X65" s="153">
        <f>+VLOOKUP($L65,Data_Validation!$A:$F,6,0)</f>
        <v>0</v>
      </c>
    </row>
    <row r="66" spans="1:24" ht="15" customHeight="1">
      <c r="A66" s="1193" t="s">
        <v>2377</v>
      </c>
      <c r="B66" s="1194">
        <v>677</v>
      </c>
      <c r="C66" s="1195"/>
      <c r="D66" s="1195"/>
      <c r="E66" s="1195"/>
      <c r="F66" s="1193" t="s">
        <v>1</v>
      </c>
      <c r="G66" s="1193" t="s">
        <v>2379</v>
      </c>
      <c r="H66" s="1196"/>
      <c r="I66" s="1197">
        <v>3</v>
      </c>
      <c r="J66" s="1197" t="s">
        <v>3278</v>
      </c>
      <c r="K66" s="1197">
        <v>3</v>
      </c>
      <c r="L66" s="150">
        <f t="shared" ref="L66:L129" si="5">+B66</f>
        <v>677</v>
      </c>
      <c r="M66" s="151" t="str">
        <f t="shared" ref="M66:M129" si="6">+A66</f>
        <v>VW PIECES</v>
      </c>
      <c r="N66" s="152">
        <f>+IF(OR($Q66=Parametres!$G$2,$Q66=Parametres!$G$3),I66,C66)</f>
        <v>3</v>
      </c>
      <c r="O66" s="1084" t="str">
        <f>+IF(OR($Q66=Parametres!$G$2,$Q66=Parametres!$G$3),J66,D66)</f>
        <v xml:space="preserve">                                              -   </v>
      </c>
      <c r="P66" s="152">
        <f>+IF(OR($Q66=Parametres!$G$2,$Q66=Parametres!$G$3),K66,E66)</f>
        <v>3</v>
      </c>
      <c r="Q66" s="151" t="str">
        <f t="shared" ref="Q66:Q129" si="7">+F66</f>
        <v>1-Mémo</v>
      </c>
      <c r="R66" s="150" t="str">
        <f t="shared" ref="R66:R129" si="8">+G66</f>
        <v>67</v>
      </c>
      <c r="S66" s="151">
        <f t="shared" ref="S66:S129" si="9">+H66</f>
        <v>0</v>
      </c>
      <c r="T66" s="153">
        <f>+VLOOKUP($L66,Data_Validation!$A:$D,1,0)</f>
        <v>677</v>
      </c>
      <c r="U66" s="153">
        <f>+VLOOKUP($L66,Data_Validation!$A:$D,3,0)</f>
        <v>0</v>
      </c>
      <c r="V66" s="153">
        <f>+VLOOKUP($L66,Data_Validation!$A:$D,4,0)</f>
        <v>0</v>
      </c>
      <c r="W66" s="153" t="str">
        <f>+VLOOKUP($L66,Data_Validation!$A:$E,5,0)</f>
        <v>$</v>
      </c>
      <c r="X66" s="153">
        <f>+VLOOKUP($L66,Data_Validation!$A:$F,6,0)</f>
        <v>0</v>
      </c>
    </row>
    <row r="67" spans="1:24" ht="15" customHeight="1">
      <c r="A67" s="1193" t="s">
        <v>2845</v>
      </c>
      <c r="B67" s="1194">
        <v>1102</v>
      </c>
      <c r="C67" s="1195">
        <v>272036.95</v>
      </c>
      <c r="D67" s="1195">
        <v>105936.11</v>
      </c>
      <c r="E67" s="1195">
        <v>377973.06</v>
      </c>
      <c r="F67" s="1193" t="s">
        <v>290</v>
      </c>
      <c r="G67" s="1193" t="s">
        <v>2384</v>
      </c>
      <c r="H67" s="1196"/>
      <c r="I67" s="1197"/>
      <c r="J67" s="1197"/>
      <c r="K67" s="1197"/>
      <c r="L67" s="150">
        <f t="shared" si="5"/>
        <v>1102</v>
      </c>
      <c r="M67" s="151" t="str">
        <f t="shared" si="6"/>
        <v>BANQUE DE COMMERCE C/C</v>
      </c>
      <c r="N67" s="152">
        <f>+IF(OR($Q67=Parametres!$G$2,$Q67=Parametres!$G$3),I67,C67)</f>
        <v>272036.95</v>
      </c>
      <c r="O67" s="1084">
        <f>+IF(OR($Q67=Parametres!$G$2,$Q67=Parametres!$G$3),J67,D67)</f>
        <v>105936.11</v>
      </c>
      <c r="P67" s="152">
        <f>+IF(OR($Q67=Parametres!$G$2,$Q67=Parametres!$G$3),K67,E67)</f>
        <v>377973.06</v>
      </c>
      <c r="Q67" s="151" t="str">
        <f t="shared" si="7"/>
        <v>2-Actifs</v>
      </c>
      <c r="R67" s="150" t="str">
        <f t="shared" si="8"/>
        <v>1102</v>
      </c>
      <c r="S67" s="151">
        <f t="shared" si="9"/>
        <v>0</v>
      </c>
      <c r="T67" s="153">
        <f>+VLOOKUP($L67,Data_Validation!$A:$D,1,0)</f>
        <v>1102</v>
      </c>
      <c r="U67" s="153" t="str">
        <f>+VLOOKUP($L67,Data_Validation!$A:$D,3,0)</f>
        <v>Bilan</v>
      </c>
      <c r="V67" s="153" t="str">
        <f>+VLOOKUP($L67,Data_Validation!$A:$D,4,0)</f>
        <v>Encaisse</v>
      </c>
      <c r="W67" s="153" t="str">
        <f>+VLOOKUP($L67,Data_Validation!$A:$E,5,0)</f>
        <v>$</v>
      </c>
      <c r="X67" s="153">
        <f>+VLOOKUP($L67,Data_Validation!$A:$F,6,0)</f>
        <v>0</v>
      </c>
    </row>
    <row r="68" spans="1:24" ht="15" customHeight="1">
      <c r="A68" s="1193" t="s">
        <v>3253</v>
      </c>
      <c r="B68" s="1194">
        <v>1111</v>
      </c>
      <c r="C68" s="1195">
        <v>750000</v>
      </c>
      <c r="D68" s="1195" t="s">
        <v>3444</v>
      </c>
      <c r="E68" s="1195">
        <v>750000</v>
      </c>
      <c r="F68" s="1193" t="s">
        <v>290</v>
      </c>
      <c r="G68" s="1193" t="s">
        <v>2384</v>
      </c>
      <c r="H68" s="1196"/>
      <c r="I68" s="1197"/>
      <c r="J68" s="1197"/>
      <c r="K68" s="1197"/>
      <c r="L68" s="150">
        <f t="shared" si="5"/>
        <v>1111</v>
      </c>
      <c r="M68" s="151" t="str">
        <f t="shared" si="6"/>
        <v>REMBOURSEMENTS FLOORPLAN</v>
      </c>
      <c r="N68" s="152">
        <f>+IF(OR($Q68=Parametres!$G$2,$Q68=Parametres!$G$3),I68,C68)</f>
        <v>750000</v>
      </c>
      <c r="O68" s="1082" t="str">
        <f>+IF(OR($Q68=Parametres!$G$2,$Q68=Parametres!$G$3),J68,D68)</f>
        <v xml:space="preserve">                       -   </v>
      </c>
      <c r="P68" s="152">
        <f>+IF(OR($Q68=Parametres!$G$2,$Q68=Parametres!$G$3),K68,E68)</f>
        <v>750000</v>
      </c>
      <c r="Q68" s="151" t="str">
        <f t="shared" si="7"/>
        <v>2-Actifs</v>
      </c>
      <c r="R68" s="150" t="str">
        <f t="shared" si="8"/>
        <v>1102</v>
      </c>
      <c r="S68" s="151">
        <f t="shared" si="9"/>
        <v>0</v>
      </c>
      <c r="T68" s="153">
        <f>+VLOOKUP($L68,Data_Validation!$A:$D,1,0)</f>
        <v>1111</v>
      </c>
      <c r="U68" s="153" t="str">
        <f>+VLOOKUP($L68,Data_Validation!$A:$D,3,0)</f>
        <v>Bilan</v>
      </c>
      <c r="V68" s="153" t="str">
        <f>+VLOOKUP($L68,Data_Validation!$A:$D,4,0)</f>
        <v>Encaisse</v>
      </c>
      <c r="W68" s="153" t="str">
        <f>+VLOOKUP($L68,Data_Validation!$A:$E,5,0)</f>
        <v>$</v>
      </c>
      <c r="X68" s="153">
        <f>+VLOOKUP($L68,Data_Validation!$A:$F,6,0)</f>
        <v>0</v>
      </c>
    </row>
    <row r="69" spans="1:24" ht="15" customHeight="1">
      <c r="A69" s="1193" t="s">
        <v>2382</v>
      </c>
      <c r="B69" s="1194">
        <v>1182</v>
      </c>
      <c r="C69" s="1195">
        <v>200.2</v>
      </c>
      <c r="D69" s="1195">
        <v>19.899999999999999</v>
      </c>
      <c r="E69" s="1195">
        <v>220.1</v>
      </c>
      <c r="F69" s="1193" t="s">
        <v>290</v>
      </c>
      <c r="G69" s="1193" t="s">
        <v>2384</v>
      </c>
      <c r="H69" s="1196"/>
      <c r="I69" s="1197"/>
      <c r="J69" s="1197"/>
      <c r="K69" s="1197"/>
      <c r="L69" s="150">
        <f t="shared" si="5"/>
        <v>1182</v>
      </c>
      <c r="M69" s="151" t="str">
        <f t="shared" si="6"/>
        <v>PETITE CAISSE</v>
      </c>
      <c r="N69" s="152">
        <f>+IF(OR($Q69=Parametres!$G$2,$Q69=Parametres!$G$3),I69,C69)</f>
        <v>200.2</v>
      </c>
      <c r="O69" s="1084">
        <f>+IF(OR($Q69=Parametres!$G$2,$Q69=Parametres!$G$3),J69,D69)</f>
        <v>19.899999999999999</v>
      </c>
      <c r="P69" s="152">
        <f>+IF(OR($Q69=Parametres!$G$2,$Q69=Parametres!$G$3),K69,E69)</f>
        <v>220.1</v>
      </c>
      <c r="Q69" s="151" t="str">
        <f t="shared" si="7"/>
        <v>2-Actifs</v>
      </c>
      <c r="R69" s="150" t="str">
        <f t="shared" si="8"/>
        <v>1102</v>
      </c>
      <c r="S69" s="151">
        <f t="shared" si="9"/>
        <v>0</v>
      </c>
      <c r="T69" s="153">
        <f>+VLOOKUP($L69,Data_Validation!$A:$D,1,0)</f>
        <v>1182</v>
      </c>
      <c r="U69" s="153" t="str">
        <f>+VLOOKUP($L69,Data_Validation!$A:$D,3,0)</f>
        <v>Bilan</v>
      </c>
      <c r="V69" s="153" t="str">
        <f>+VLOOKUP($L69,Data_Validation!$A:$D,4,0)</f>
        <v>Encaisse</v>
      </c>
      <c r="W69" s="153" t="str">
        <f>+VLOOKUP($L69,Data_Validation!$A:$E,5,0)</f>
        <v>$</v>
      </c>
      <c r="X69" s="153">
        <f>+VLOOKUP($L69,Data_Validation!$A:$F,6,0)</f>
        <v>0</v>
      </c>
    </row>
    <row r="70" spans="1:24" ht="15" customHeight="1">
      <c r="A70" s="1193" t="s">
        <v>2176</v>
      </c>
      <c r="B70" s="1194">
        <v>1202</v>
      </c>
      <c r="C70" s="1195">
        <v>1100656.54</v>
      </c>
      <c r="D70" s="1195">
        <v>171933.41</v>
      </c>
      <c r="E70" s="1195">
        <v>1272589.95</v>
      </c>
      <c r="F70" s="1193" t="s">
        <v>290</v>
      </c>
      <c r="G70" s="1193" t="s">
        <v>2177</v>
      </c>
      <c r="H70" s="1196"/>
      <c r="I70" s="1197"/>
      <c r="J70" s="1197"/>
      <c r="K70" s="1197"/>
      <c r="L70" s="150">
        <f t="shared" si="5"/>
        <v>1202</v>
      </c>
      <c r="M70" s="151" t="str">
        <f t="shared" si="6"/>
        <v>CONTRATS EN TRANSIT</v>
      </c>
      <c r="N70" s="152">
        <f>+IF(OR($Q70=Parametres!$G$2,$Q70=Parametres!$G$3),I70,C70)</f>
        <v>1100656.54</v>
      </c>
      <c r="O70" s="1084">
        <f>+IF(OR($Q70=Parametres!$G$2,$Q70=Parametres!$G$3),J70,D70)</f>
        <v>171933.41</v>
      </c>
      <c r="P70" s="152">
        <f>+IF(OR($Q70=Parametres!$G$2,$Q70=Parametres!$G$3),K70,E70)</f>
        <v>1272589.95</v>
      </c>
      <c r="Q70" s="151" t="str">
        <f t="shared" si="7"/>
        <v>2-Actifs</v>
      </c>
      <c r="R70" s="150" t="str">
        <f t="shared" si="8"/>
        <v>1202</v>
      </c>
      <c r="S70" s="151">
        <f t="shared" si="9"/>
        <v>0</v>
      </c>
      <c r="T70" s="153">
        <f>+VLOOKUP($L70,Data_Validation!$A:$D,1,0)</f>
        <v>1202</v>
      </c>
      <c r="U70" s="153" t="str">
        <f>+VLOOKUP($L70,Data_Validation!$A:$D,3,0)</f>
        <v>Bilan</v>
      </c>
      <c r="V70" s="153" t="str">
        <f>+VLOOKUP($L70,Data_Validation!$A:$D,4,0)</f>
        <v>Recevables Contrats en Transit</v>
      </c>
      <c r="W70" s="153" t="str">
        <f>+VLOOKUP($L70,Data_Validation!$A:$E,5,0)</f>
        <v>$</v>
      </c>
      <c r="X70" s="153">
        <f>+VLOOKUP($L70,Data_Validation!$A:$F,6,0)</f>
        <v>0</v>
      </c>
    </row>
    <row r="71" spans="1:24" ht="15" customHeight="1">
      <c r="A71" s="1193" t="s">
        <v>2020</v>
      </c>
      <c r="B71" s="1194">
        <v>1302</v>
      </c>
      <c r="C71" s="1195">
        <v>-56668.62</v>
      </c>
      <c r="D71" s="1195">
        <v>-59803.6</v>
      </c>
      <c r="E71" s="1195">
        <v>-116472.22</v>
      </c>
      <c r="F71" s="1193" t="s">
        <v>290</v>
      </c>
      <c r="G71" s="1193" t="s">
        <v>2010</v>
      </c>
      <c r="H71" s="1196"/>
      <c r="I71" s="1197"/>
      <c r="J71" s="1197"/>
      <c r="K71" s="1197"/>
      <c r="L71" s="150">
        <f t="shared" si="5"/>
        <v>1302</v>
      </c>
      <c r="M71" s="151" t="str">
        <f t="shared" si="6"/>
        <v>RECEVABLE-CLIENT-VEHICULE</v>
      </c>
      <c r="N71" s="152">
        <f>+IF(OR($Q71=Parametres!$G$2,$Q71=Parametres!$G$3),I71,C71)</f>
        <v>-56668.62</v>
      </c>
      <c r="O71" s="1084">
        <f>+IF(OR($Q71=Parametres!$G$2,$Q71=Parametres!$G$3),J71,D71)</f>
        <v>-59803.6</v>
      </c>
      <c r="P71" s="152">
        <f>+IF(OR($Q71=Parametres!$G$2,$Q71=Parametres!$G$3),K71,E71)</f>
        <v>-116472.22</v>
      </c>
      <c r="Q71" s="151" t="str">
        <f t="shared" si="7"/>
        <v>2-Actifs</v>
      </c>
      <c r="R71" s="150" t="str">
        <f t="shared" si="8"/>
        <v>1302</v>
      </c>
      <c r="S71" s="151">
        <f t="shared" si="9"/>
        <v>0</v>
      </c>
      <c r="T71" s="153">
        <f>+VLOOKUP($L71,Data_Validation!$A:$D,1,0)</f>
        <v>1302</v>
      </c>
      <c r="U71" s="153" t="str">
        <f>+VLOOKUP($L71,Data_Validation!$A:$D,3,0)</f>
        <v>Bilan</v>
      </c>
      <c r="V71" s="153" t="str">
        <f>+VLOOKUP($L71,Data_Validation!$A:$D,4,0)</f>
        <v>Recevables Véhicules</v>
      </c>
      <c r="W71" s="153" t="str">
        <f>+VLOOKUP($L71,Data_Validation!$A:$E,5,0)</f>
        <v>$</v>
      </c>
      <c r="X71" s="153">
        <f>+VLOOKUP($L71,Data_Validation!$A:$F,6,0)</f>
        <v>0</v>
      </c>
    </row>
    <row r="72" spans="1:24" ht="15" customHeight="1">
      <c r="A72" s="1193" t="s">
        <v>2008</v>
      </c>
      <c r="B72" s="1194">
        <v>1303</v>
      </c>
      <c r="C72" s="1195">
        <v>191066.4</v>
      </c>
      <c r="D72" s="1195">
        <v>-84533.4</v>
      </c>
      <c r="E72" s="1195">
        <v>106533</v>
      </c>
      <c r="F72" s="1193" t="s">
        <v>290</v>
      </c>
      <c r="G72" s="1193" t="s">
        <v>2010</v>
      </c>
      <c r="H72" s="1196"/>
      <c r="I72" s="1197"/>
      <c r="J72" s="1197"/>
      <c r="K72" s="1197"/>
      <c r="L72" s="150">
        <f t="shared" si="5"/>
        <v>1303</v>
      </c>
      <c r="M72" s="151" t="str">
        <f t="shared" si="6"/>
        <v>RECEVABLES LPA ET AU GROS</v>
      </c>
      <c r="N72" s="152">
        <f>+IF(OR($Q72=Parametres!$G$2,$Q72=Parametres!$G$3),I72,C72)</f>
        <v>191066.4</v>
      </c>
      <c r="O72" s="1082">
        <f>+IF(OR($Q72=Parametres!$G$2,$Q72=Parametres!$G$3),J72,D72)</f>
        <v>-84533.4</v>
      </c>
      <c r="P72" s="152">
        <f>+IF(OR($Q72=Parametres!$G$2,$Q72=Parametres!$G$3),K72,E72)</f>
        <v>106533</v>
      </c>
      <c r="Q72" s="151" t="str">
        <f t="shared" si="7"/>
        <v>2-Actifs</v>
      </c>
      <c r="R72" s="150" t="str">
        <f t="shared" si="8"/>
        <v>1302</v>
      </c>
      <c r="S72" s="151">
        <f t="shared" si="9"/>
        <v>0</v>
      </c>
      <c r="T72" s="153">
        <f>+VLOOKUP($L72,Data_Validation!$A:$D,1,0)</f>
        <v>1303</v>
      </c>
      <c r="U72" s="153" t="str">
        <f>+VLOOKUP($L72,Data_Validation!$A:$D,3,0)</f>
        <v>Bilan</v>
      </c>
      <c r="V72" s="153" t="str">
        <f>+VLOOKUP($L72,Data_Validation!$A:$D,4,0)</f>
        <v>Recevables Véhicules</v>
      </c>
      <c r="W72" s="153" t="str">
        <f>+VLOOKUP($L72,Data_Validation!$A:$E,5,0)</f>
        <v>$</v>
      </c>
      <c r="X72" s="153">
        <f>+VLOOKUP($L72,Data_Validation!$A:$F,6,0)</f>
        <v>0</v>
      </c>
    </row>
    <row r="73" spans="1:24" ht="15" customHeight="1">
      <c r="A73" s="1193" t="s">
        <v>2095</v>
      </c>
      <c r="B73" s="1194">
        <v>1304</v>
      </c>
      <c r="C73" s="1195">
        <v>85881.16</v>
      </c>
      <c r="D73" s="1195">
        <v>17114.27</v>
      </c>
      <c r="E73" s="1195">
        <v>102995.43</v>
      </c>
      <c r="F73" s="1193" t="s">
        <v>290</v>
      </c>
      <c r="G73" s="1193" t="s">
        <v>2096</v>
      </c>
      <c r="H73" s="1196"/>
      <c r="I73" s="1197"/>
      <c r="J73" s="1197"/>
      <c r="K73" s="1197"/>
      <c r="L73" s="150">
        <f t="shared" si="5"/>
        <v>1304</v>
      </c>
      <c r="M73" s="151" t="str">
        <f t="shared" si="6"/>
        <v>RECEVABLES PIECES &amp; SERVICE</v>
      </c>
      <c r="N73" s="152">
        <f>+IF(OR($Q73=Parametres!$G$2,$Q73=Parametres!$G$3),I73,C73)</f>
        <v>85881.16</v>
      </c>
      <c r="O73" s="1084">
        <f>+IF(OR($Q73=Parametres!$G$2,$Q73=Parametres!$G$3),J73,D73)</f>
        <v>17114.27</v>
      </c>
      <c r="P73" s="152">
        <f>+IF(OR($Q73=Parametres!$G$2,$Q73=Parametres!$G$3),K73,E73)</f>
        <v>102995.43</v>
      </c>
      <c r="Q73" s="151" t="str">
        <f t="shared" si="7"/>
        <v>2-Actifs</v>
      </c>
      <c r="R73" s="150" t="str">
        <f t="shared" si="8"/>
        <v>1304</v>
      </c>
      <c r="S73" s="151">
        <f t="shared" si="9"/>
        <v>0</v>
      </c>
      <c r="T73" s="153">
        <f>+VLOOKUP($L73,Data_Validation!$A:$D,1,0)</f>
        <v>1304</v>
      </c>
      <c r="U73" s="153" t="str">
        <f>+VLOOKUP($L73,Data_Validation!$A:$D,3,0)</f>
        <v>Bilan</v>
      </c>
      <c r="V73" s="153" t="str">
        <f>+VLOOKUP($L73,Data_Validation!$A:$D,4,0)</f>
        <v>Recevables Pièces et Service</v>
      </c>
      <c r="W73" s="153" t="str">
        <f>+VLOOKUP($L73,Data_Validation!$A:$E,5,0)</f>
        <v>$</v>
      </c>
      <c r="X73" s="153">
        <f>+VLOOKUP($L73,Data_Validation!$A:$F,6,0)</f>
        <v>0</v>
      </c>
    </row>
    <row r="74" spans="1:24" ht="15" customHeight="1">
      <c r="A74" s="1193" t="s">
        <v>2728</v>
      </c>
      <c r="B74" s="1194">
        <v>1305</v>
      </c>
      <c r="C74" s="1195">
        <v>53274.82</v>
      </c>
      <c r="D74" s="1195">
        <v>98.18</v>
      </c>
      <c r="E74" s="1195">
        <v>53373</v>
      </c>
      <c r="F74" s="1193" t="s">
        <v>290</v>
      </c>
      <c r="G74" s="1193" t="s">
        <v>2096</v>
      </c>
      <c r="H74" s="1196"/>
      <c r="I74" s="1197"/>
      <c r="J74" s="1197"/>
      <c r="K74" s="1197"/>
      <c r="L74" s="150">
        <f t="shared" si="5"/>
        <v>1305</v>
      </c>
      <c r="M74" s="151" t="str">
        <f t="shared" si="6"/>
        <v>RECEVABLES CARROSSERIE</v>
      </c>
      <c r="N74" s="152">
        <f>+IF(OR($Q74=Parametres!$G$2,$Q74=Parametres!$G$3),I74,C74)</f>
        <v>53274.82</v>
      </c>
      <c r="O74" s="1084">
        <f>+IF(OR($Q74=Parametres!$G$2,$Q74=Parametres!$G$3),J74,D74)</f>
        <v>98.18</v>
      </c>
      <c r="P74" s="152">
        <f>+IF(OR($Q74=Parametres!$G$2,$Q74=Parametres!$G$3),K74,E74)</f>
        <v>53373</v>
      </c>
      <c r="Q74" s="151" t="str">
        <f t="shared" si="7"/>
        <v>2-Actifs</v>
      </c>
      <c r="R74" s="150" t="str">
        <f t="shared" si="8"/>
        <v>1304</v>
      </c>
      <c r="S74" s="151">
        <f t="shared" si="9"/>
        <v>0</v>
      </c>
      <c r="T74" s="153">
        <f>+VLOOKUP($L74,Data_Validation!$A:$D,1,0)</f>
        <v>1305</v>
      </c>
      <c r="U74" s="153" t="str">
        <f>+VLOOKUP($L74,Data_Validation!$A:$D,3,0)</f>
        <v>Bilan</v>
      </c>
      <c r="V74" s="153" t="str">
        <f>+VLOOKUP($L74,Data_Validation!$A:$D,4,0)</f>
        <v>Recevables Carrosserie</v>
      </c>
      <c r="W74" s="153" t="str">
        <f>+VLOOKUP($L74,Data_Validation!$A:$E,5,0)</f>
        <v>$</v>
      </c>
      <c r="X74" s="153">
        <f>+VLOOKUP($L74,Data_Validation!$A:$F,6,0)</f>
        <v>0</v>
      </c>
    </row>
    <row r="75" spans="1:24" ht="15" customHeight="1">
      <c r="A75" s="1193" t="s">
        <v>2929</v>
      </c>
      <c r="B75" s="1194">
        <v>1306</v>
      </c>
      <c r="C75" s="1195">
        <v>5354</v>
      </c>
      <c r="D75" s="1195">
        <v>4742.9399999999996</v>
      </c>
      <c r="E75" s="1195">
        <v>10096.94</v>
      </c>
      <c r="F75" s="1193" t="s">
        <v>290</v>
      </c>
      <c r="G75" s="1193" t="s">
        <v>2096</v>
      </c>
      <c r="H75" s="1196"/>
      <c r="I75" s="1197"/>
      <c r="J75" s="1197"/>
      <c r="K75" s="1197"/>
      <c r="L75" s="150">
        <f t="shared" si="5"/>
        <v>1306</v>
      </c>
      <c r="M75" s="151" t="str">
        <f t="shared" si="6"/>
        <v>RECEVABLES INTERCO</v>
      </c>
      <c r="N75" s="152">
        <f>+IF(OR($Q75=Parametres!$G$2,$Q75=Parametres!$G$3),I75,C75)</f>
        <v>5354</v>
      </c>
      <c r="O75" s="1084">
        <f>+IF(OR($Q75=Parametres!$G$2,$Q75=Parametres!$G$3),J75,D75)</f>
        <v>4742.9399999999996</v>
      </c>
      <c r="P75" s="152">
        <f>+IF(OR($Q75=Parametres!$G$2,$Q75=Parametres!$G$3),K75,E75)</f>
        <v>10096.94</v>
      </c>
      <c r="Q75" s="151" t="str">
        <f t="shared" si="7"/>
        <v>2-Actifs</v>
      </c>
      <c r="R75" s="150" t="str">
        <f t="shared" si="8"/>
        <v>1304</v>
      </c>
      <c r="S75" s="151">
        <f t="shared" si="9"/>
        <v>0</v>
      </c>
      <c r="T75" s="153">
        <f>+VLOOKUP($L75,Data_Validation!$A:$D,1,0)</f>
        <v>1306</v>
      </c>
      <c r="U75" s="153" t="str">
        <f>+VLOOKUP($L75,Data_Validation!$A:$D,3,0)</f>
        <v>Bilan</v>
      </c>
      <c r="V75" s="153" t="str">
        <f>+VLOOKUP($L75,Data_Validation!$A:$D,4,0)</f>
        <v>Recevables Intercos</v>
      </c>
      <c r="W75" s="153" t="str">
        <f>+VLOOKUP($L75,Data_Validation!$A:$E,5,0)</f>
        <v>$</v>
      </c>
      <c r="X75" s="153">
        <f>+VLOOKUP($L75,Data_Validation!$A:$F,6,0)</f>
        <v>0</v>
      </c>
    </row>
    <row r="76" spans="1:24" ht="15" customHeight="1">
      <c r="A76" s="1193" t="s">
        <v>2947</v>
      </c>
      <c r="B76" s="1194">
        <v>1307</v>
      </c>
      <c r="C76" s="1197">
        <v>198250</v>
      </c>
      <c r="D76" s="1197">
        <v>19750</v>
      </c>
      <c r="E76" s="1197">
        <v>218000</v>
      </c>
      <c r="F76" s="1193" t="s">
        <v>290</v>
      </c>
      <c r="G76" s="1193" t="s">
        <v>2010</v>
      </c>
      <c r="H76" s="1196"/>
      <c r="I76" s="1196"/>
      <c r="J76" s="1196"/>
      <c r="K76" s="1196"/>
      <c r="L76" s="150">
        <f t="shared" si="5"/>
        <v>1307</v>
      </c>
      <c r="M76" s="151" t="str">
        <f t="shared" si="6"/>
        <v>RECEVABLES INTERCO VEHICULE</v>
      </c>
      <c r="N76" s="152">
        <f>+IF(OR($Q76=Parametres!$G$2,$Q76=Parametres!$G$3),I76,C76)</f>
        <v>198250</v>
      </c>
      <c r="O76" s="1084">
        <f>+IF(OR($Q76=Parametres!$G$2,$Q76=Parametres!$G$3),J76,D76)</f>
        <v>19750</v>
      </c>
      <c r="P76" s="152">
        <f>+IF(OR($Q76=Parametres!$G$2,$Q76=Parametres!$G$3),K76,E76)</f>
        <v>218000</v>
      </c>
      <c r="Q76" s="151" t="str">
        <f t="shared" si="7"/>
        <v>2-Actifs</v>
      </c>
      <c r="R76" s="150" t="str">
        <f t="shared" si="8"/>
        <v>1302</v>
      </c>
      <c r="S76" s="151">
        <f t="shared" si="9"/>
        <v>0</v>
      </c>
      <c r="T76" s="153">
        <f>+VLOOKUP($L76,Data_Validation!$A:$D,1,0)</f>
        <v>1307</v>
      </c>
      <c r="U76" s="153" t="str">
        <f>+VLOOKUP($L76,Data_Validation!$A:$D,3,0)</f>
        <v>Bilan</v>
      </c>
      <c r="V76" s="153" t="str">
        <f>+VLOOKUP($L76,Data_Validation!$A:$D,4,0)</f>
        <v>Recevables Intercos</v>
      </c>
      <c r="W76" s="153" t="str">
        <f>+VLOOKUP($L76,Data_Validation!$A:$E,5,0)</f>
        <v>$</v>
      </c>
      <c r="X76" s="153">
        <f>+VLOOKUP($L76,Data_Validation!$A:$F,6,0)</f>
        <v>0</v>
      </c>
    </row>
    <row r="77" spans="1:24" ht="15" customHeight="1">
      <c r="A77" s="1193" t="s">
        <v>2825</v>
      </c>
      <c r="B77" s="1194">
        <v>1312</v>
      </c>
      <c r="C77" s="1197">
        <v>23982</v>
      </c>
      <c r="D77" s="1197">
        <v>104920</v>
      </c>
      <c r="E77" s="1197">
        <v>128902</v>
      </c>
      <c r="F77" s="1193" t="s">
        <v>290</v>
      </c>
      <c r="G77" s="1193" t="s">
        <v>2015</v>
      </c>
      <c r="H77" s="1196"/>
      <c r="I77" s="1196"/>
      <c r="J77" s="1196"/>
      <c r="K77" s="1196"/>
      <c r="L77" s="150">
        <f t="shared" si="5"/>
        <v>1312</v>
      </c>
      <c r="M77" s="151" t="str">
        <f t="shared" si="6"/>
        <v>RESEVE VOLKS</v>
      </c>
      <c r="N77" s="152">
        <f>+IF(OR($Q77=Parametres!$G$2,$Q77=Parametres!$G$3),I77,C77)</f>
        <v>23982</v>
      </c>
      <c r="O77" s="1084">
        <f>+IF(OR($Q77=Parametres!$G$2,$Q77=Parametres!$G$3),J77,D77)</f>
        <v>104920</v>
      </c>
      <c r="P77" s="152">
        <f>+IF(OR($Q77=Parametres!$G$2,$Q77=Parametres!$G$3),K77,E77)</f>
        <v>128902</v>
      </c>
      <c r="Q77" s="151" t="str">
        <f t="shared" si="7"/>
        <v>2-Actifs</v>
      </c>
      <c r="R77" s="150" t="str">
        <f t="shared" si="8"/>
        <v>1314</v>
      </c>
      <c r="S77" s="151">
        <f t="shared" si="9"/>
        <v>0</v>
      </c>
      <c r="T77" s="153">
        <f>+VLOOKUP($L77,Data_Validation!$A:$D,1,0)</f>
        <v>1312</v>
      </c>
      <c r="U77" s="153" t="str">
        <f>+VLOOKUP($L77,Data_Validation!$A:$D,3,0)</f>
        <v>Bilan</v>
      </c>
      <c r="V77" s="153" t="str">
        <f>+VLOOKUP($L77,Data_Validation!$A:$D,4,0)</f>
        <v>Recevables Manufacturier</v>
      </c>
      <c r="W77" s="153" t="str">
        <f>+VLOOKUP($L77,Data_Validation!$A:$E,5,0)</f>
        <v>$</v>
      </c>
      <c r="X77" s="153">
        <f>+VLOOKUP($L77,Data_Validation!$A:$F,6,0)</f>
        <v>0</v>
      </c>
    </row>
    <row r="78" spans="1:24" ht="15" customHeight="1">
      <c r="A78" s="1193" t="s">
        <v>2053</v>
      </c>
      <c r="B78" s="1194">
        <v>1332</v>
      </c>
      <c r="C78" s="1197">
        <v>93156.83</v>
      </c>
      <c r="D78" s="1197">
        <v>-10829.25</v>
      </c>
      <c r="E78" s="1197">
        <v>82327.58</v>
      </c>
      <c r="F78" s="1193" t="s">
        <v>290</v>
      </c>
      <c r="G78" s="1193" t="s">
        <v>2054</v>
      </c>
      <c r="H78" s="1196"/>
      <c r="I78" s="1199"/>
      <c r="J78" s="1199"/>
      <c r="K78" s="1199"/>
      <c r="L78" s="150">
        <f t="shared" si="5"/>
        <v>1332</v>
      </c>
      <c r="M78" s="151" t="str">
        <f t="shared" si="6"/>
        <v>RECLAM. RECEVABLE-GARANTIE</v>
      </c>
      <c r="N78" s="152">
        <f>+IF(OR($Q78=Parametres!$G$2,$Q78=Parametres!$G$3),I78,C78)</f>
        <v>93156.83</v>
      </c>
      <c r="O78" s="1084">
        <f>+IF(OR($Q78=Parametres!$G$2,$Q78=Parametres!$G$3),J78,D78)</f>
        <v>-10829.25</v>
      </c>
      <c r="P78" s="152">
        <f>+IF(OR($Q78=Parametres!$G$2,$Q78=Parametres!$G$3),K78,E78)</f>
        <v>82327.58</v>
      </c>
      <c r="Q78" s="151" t="str">
        <f t="shared" si="7"/>
        <v>2-Actifs</v>
      </c>
      <c r="R78" s="150" t="str">
        <f t="shared" si="8"/>
        <v>1332</v>
      </c>
      <c r="S78" s="151">
        <f t="shared" si="9"/>
        <v>0</v>
      </c>
      <c r="T78" s="153">
        <f>+VLOOKUP($L78,Data_Validation!$A:$D,1,0)</f>
        <v>1332</v>
      </c>
      <c r="U78" s="153" t="str">
        <f>+VLOOKUP($L78,Data_Validation!$A:$D,3,0)</f>
        <v>Bilan</v>
      </c>
      <c r="V78" s="153" t="str">
        <f>+VLOOKUP($L78,Data_Validation!$A:$D,4,0)</f>
        <v>Recevables Garantie Manufacturier</v>
      </c>
      <c r="W78" s="153" t="str">
        <f>+VLOOKUP($L78,Data_Validation!$A:$E,5,0)</f>
        <v>$</v>
      </c>
      <c r="X78" s="153">
        <f>+VLOOKUP($L78,Data_Validation!$A:$F,6,0)</f>
        <v>0</v>
      </c>
    </row>
    <row r="79" spans="1:24" ht="15" customHeight="1">
      <c r="A79" s="1193" t="s">
        <v>2774</v>
      </c>
      <c r="B79" s="1194">
        <v>1340</v>
      </c>
      <c r="C79" s="1197">
        <v>-4455.17</v>
      </c>
      <c r="D79" s="1197">
        <v>1134.03</v>
      </c>
      <c r="E79" s="1197">
        <v>-3321.14</v>
      </c>
      <c r="F79" s="1193" t="s">
        <v>290</v>
      </c>
      <c r="G79" s="1193" t="s">
        <v>2614</v>
      </c>
      <c r="H79" s="1196"/>
      <c r="I79" s="1199"/>
      <c r="J79" s="1196"/>
      <c r="K79" s="1199"/>
      <c r="L79" s="150">
        <f t="shared" si="5"/>
        <v>1340</v>
      </c>
      <c r="M79" s="151" t="str">
        <f t="shared" si="6"/>
        <v>GARANTIE PPM</v>
      </c>
      <c r="N79" s="152">
        <f>+IF(OR($Q79=Parametres!$G$2,$Q79=Parametres!$G$3),I79,C79)</f>
        <v>-4455.17</v>
      </c>
      <c r="O79" s="1084">
        <f>+IF(OR($Q79=Parametres!$G$2,$Q79=Parametres!$G$3),J79,D79)</f>
        <v>1134.03</v>
      </c>
      <c r="P79" s="152">
        <f>+IF(OR($Q79=Parametres!$G$2,$Q79=Parametres!$G$3),K79,E79)</f>
        <v>-3321.14</v>
      </c>
      <c r="Q79" s="151" t="str">
        <f t="shared" si="7"/>
        <v>2-Actifs</v>
      </c>
      <c r="R79" s="150" t="str">
        <f t="shared" si="8"/>
        <v>1382</v>
      </c>
      <c r="S79" s="151">
        <f t="shared" si="9"/>
        <v>0</v>
      </c>
      <c r="T79" s="153">
        <f>+VLOOKUP($L79,Data_Validation!$A:$D,1,0)</f>
        <v>1340</v>
      </c>
      <c r="U79" s="153" t="str">
        <f>+VLOOKUP($L79,Data_Validation!$A:$D,3,0)</f>
        <v>Bilan</v>
      </c>
      <c r="V79" s="153" t="str">
        <f>+VLOOKUP($L79,Data_Validation!$A:$D,4,0)</f>
        <v>recevables Autres</v>
      </c>
      <c r="W79" s="153" t="str">
        <f>+VLOOKUP($L79,Data_Validation!$A:$E,5,0)</f>
        <v>$</v>
      </c>
      <c r="X79" s="153">
        <f>+VLOOKUP($L79,Data_Validation!$A:$F,6,0)</f>
        <v>0</v>
      </c>
    </row>
    <row r="80" spans="1:24" ht="15.75" customHeight="1">
      <c r="A80" s="1193" t="s">
        <v>2013</v>
      </c>
      <c r="B80" s="1194">
        <v>1352</v>
      </c>
      <c r="C80" s="1197">
        <v>-70324.259999999995</v>
      </c>
      <c r="D80" s="1197">
        <v>12650</v>
      </c>
      <c r="E80" s="1197">
        <v>-57674.26</v>
      </c>
      <c r="F80" s="1193" t="s">
        <v>290</v>
      </c>
      <c r="G80" s="1193" t="s">
        <v>2015</v>
      </c>
      <c r="H80" s="1196"/>
      <c r="I80" s="1196"/>
      <c r="J80" s="1196"/>
      <c r="K80" s="1196"/>
      <c r="L80" s="150">
        <f t="shared" si="5"/>
        <v>1352</v>
      </c>
      <c r="M80" s="151" t="str">
        <f t="shared" si="6"/>
        <v>RECEV. MANUFACTURIER VOLKS</v>
      </c>
      <c r="N80" s="152">
        <f>+IF(OR($Q80=Parametres!$G$2,$Q80=Parametres!$G$3),I80,C80)</f>
        <v>-70324.259999999995</v>
      </c>
      <c r="O80" s="1084">
        <f>+IF(OR($Q80=Parametres!$G$2,$Q80=Parametres!$G$3),J80,D80)</f>
        <v>12650</v>
      </c>
      <c r="P80" s="152">
        <f>+IF(OR($Q80=Parametres!$G$2,$Q80=Parametres!$G$3),K80,E80)</f>
        <v>-57674.26</v>
      </c>
      <c r="Q80" s="151" t="str">
        <f t="shared" si="7"/>
        <v>2-Actifs</v>
      </c>
      <c r="R80" s="150" t="str">
        <f t="shared" si="8"/>
        <v>1314</v>
      </c>
      <c r="S80" s="151">
        <f t="shared" si="9"/>
        <v>0</v>
      </c>
      <c r="T80" s="153">
        <f>+VLOOKUP($L80,Data_Validation!$A:$D,1,0)</f>
        <v>1352</v>
      </c>
      <c r="U80" s="153" t="str">
        <f>+VLOOKUP($L80,Data_Validation!$A:$D,3,0)</f>
        <v>Bilan</v>
      </c>
      <c r="V80" s="153" t="str">
        <f>+VLOOKUP($L80,Data_Validation!$A:$D,4,0)</f>
        <v>Recevables Manufacturier</v>
      </c>
      <c r="W80" s="153" t="str">
        <f>+VLOOKUP($L80,Data_Validation!$A:$E,5,0)</f>
        <v>$</v>
      </c>
      <c r="X80" s="153">
        <f>+VLOOKUP($L80,Data_Validation!$A:$F,6,0)</f>
        <v>0</v>
      </c>
    </row>
    <row r="81" spans="1:24" ht="15" customHeight="1">
      <c r="A81" s="1193" t="s">
        <v>2856</v>
      </c>
      <c r="B81" s="1194">
        <v>1399</v>
      </c>
      <c r="C81" s="1197">
        <v>-27955.07</v>
      </c>
      <c r="D81" s="1197">
        <v>22142.86</v>
      </c>
      <c r="E81" s="1197">
        <v>-5812.21</v>
      </c>
      <c r="F81" s="1193" t="s">
        <v>290</v>
      </c>
      <c r="G81" s="1193" t="s">
        <v>2857</v>
      </c>
      <c r="H81" s="1196"/>
      <c r="I81" s="1196"/>
      <c r="J81" s="1196"/>
      <c r="K81" s="1196"/>
      <c r="L81" s="150">
        <f t="shared" si="5"/>
        <v>1399</v>
      </c>
      <c r="M81" s="151" t="str">
        <f t="shared" si="6"/>
        <v>RESERVE CREANCE DOUTEUSES</v>
      </c>
      <c r="N81" s="152">
        <f>+IF(OR($Q81=Parametres!$G$2,$Q81=Parametres!$G$3),I81,C81)</f>
        <v>-27955.07</v>
      </c>
      <c r="O81" s="1084">
        <f>+IF(OR($Q81=Parametres!$G$2,$Q81=Parametres!$G$3),J81,D81)</f>
        <v>22142.86</v>
      </c>
      <c r="P81" s="152">
        <f>+IF(OR($Q81=Parametres!$G$2,$Q81=Parametres!$G$3),K81,E81)</f>
        <v>-5812.21</v>
      </c>
      <c r="Q81" s="151" t="str">
        <f t="shared" si="7"/>
        <v>2-Actifs</v>
      </c>
      <c r="R81" s="150" t="str">
        <f t="shared" si="8"/>
        <v>1399</v>
      </c>
      <c r="S81" s="151">
        <f t="shared" si="9"/>
        <v>0</v>
      </c>
      <c r="T81" s="153">
        <f>+VLOOKUP($L81,Data_Validation!$A:$D,1,0)</f>
        <v>1399</v>
      </c>
      <c r="U81" s="153" t="str">
        <f>+VLOOKUP($L81,Data_Validation!$A:$D,3,0)</f>
        <v>Bilan</v>
      </c>
      <c r="V81" s="153" t="str">
        <f>+VLOOKUP($L81,Data_Validation!$A:$D,4,0)</f>
        <v>Recevables Pièces et Service</v>
      </c>
      <c r="W81" s="153" t="str">
        <f>+VLOOKUP($L81,Data_Validation!$A:$E,5,0)</f>
        <v>$</v>
      </c>
      <c r="X81" s="153">
        <f>+VLOOKUP($L81,Data_Validation!$A:$F,6,0)</f>
        <v>0</v>
      </c>
    </row>
    <row r="82" spans="1:24" ht="15" customHeight="1">
      <c r="A82" s="1193" t="s">
        <v>2102</v>
      </c>
      <c r="B82" s="1194">
        <v>1402</v>
      </c>
      <c r="C82" s="1197">
        <v>866302.8</v>
      </c>
      <c r="D82" s="1197">
        <v>306866.87</v>
      </c>
      <c r="E82" s="1197">
        <v>1173169.67</v>
      </c>
      <c r="F82" s="1193" t="s">
        <v>290</v>
      </c>
      <c r="G82" s="1193" t="s">
        <v>2103</v>
      </c>
      <c r="H82" s="1196"/>
      <c r="I82" s="1196"/>
      <c r="J82" s="1196"/>
      <c r="K82" s="1196"/>
      <c r="L82" s="150">
        <f t="shared" si="5"/>
        <v>1402</v>
      </c>
      <c r="M82" s="151" t="str">
        <f t="shared" si="6"/>
        <v>VEHIC. NEUFS VOLKS</v>
      </c>
      <c r="N82" s="152">
        <f>+IF(OR($Q82=Parametres!$G$2,$Q82=Parametres!$G$3),I82,C82)</f>
        <v>866302.8</v>
      </c>
      <c r="O82" s="1084">
        <f>+IF(OR($Q82=Parametres!$G$2,$Q82=Parametres!$G$3),J82,D82)</f>
        <v>306866.87</v>
      </c>
      <c r="P82" s="152">
        <f>+IF(OR($Q82=Parametres!$G$2,$Q82=Parametres!$G$3),K82,E82)</f>
        <v>1173169.67</v>
      </c>
      <c r="Q82" s="151" t="str">
        <f t="shared" si="7"/>
        <v>2-Actifs</v>
      </c>
      <c r="R82" s="150" t="str">
        <f t="shared" si="8"/>
        <v>1402</v>
      </c>
      <c r="S82" s="151">
        <f t="shared" si="9"/>
        <v>0</v>
      </c>
      <c r="T82" s="153">
        <f>+VLOOKUP($L82,Data_Validation!$A:$D,1,0)</f>
        <v>1402</v>
      </c>
      <c r="U82" s="153" t="str">
        <f>+VLOOKUP($L82,Data_Validation!$A:$D,3,0)</f>
        <v>Bilan</v>
      </c>
      <c r="V82" s="153" t="str">
        <f>+VLOOKUP($L82,Data_Validation!$A:$D,4,0)</f>
        <v>Inventaire Véhicules Neufs</v>
      </c>
      <c r="W82" s="153" t="str">
        <f>+VLOOKUP($L82,Data_Validation!$A:$E,5,0)</f>
        <v>$</v>
      </c>
      <c r="X82" s="153">
        <f>+VLOOKUP($L82,Data_Validation!$A:$F,6,0)</f>
        <v>0</v>
      </c>
    </row>
    <row r="83" spans="1:24" ht="15" customHeight="1">
      <c r="A83" s="1193" t="s">
        <v>2111</v>
      </c>
      <c r="B83" s="1194">
        <v>1403</v>
      </c>
      <c r="C83" s="1197">
        <v>-96089.29</v>
      </c>
      <c r="D83" s="1197">
        <v>66739.289999999994</v>
      </c>
      <c r="E83" s="1197">
        <v>-29350</v>
      </c>
      <c r="F83" s="1193" t="s">
        <v>290</v>
      </c>
      <c r="G83" s="1193" t="s">
        <v>2103</v>
      </c>
      <c r="H83" s="1196"/>
      <c r="I83" s="1196"/>
      <c r="J83" s="1196"/>
      <c r="K83" s="1196"/>
      <c r="L83" s="150">
        <f t="shared" si="5"/>
        <v>1403</v>
      </c>
      <c r="M83" s="151" t="str">
        <f t="shared" si="6"/>
        <v>BRUISING VOLKS VEH. NEUFS</v>
      </c>
      <c r="N83" s="152">
        <f>+IF(OR($Q83=Parametres!$G$2,$Q83=Parametres!$G$3),I83,C83)</f>
        <v>-96089.29</v>
      </c>
      <c r="O83" s="1084">
        <f>+IF(OR($Q83=Parametres!$G$2,$Q83=Parametres!$G$3),J83,D83)</f>
        <v>66739.289999999994</v>
      </c>
      <c r="P83" s="1212">
        <f>+IF(OR($Q83=Parametres!$G$2,$Q83=Parametres!$G$3),K83,E83)</f>
        <v>-29350</v>
      </c>
      <c r="Q83" s="151" t="str">
        <f t="shared" si="7"/>
        <v>2-Actifs</v>
      </c>
      <c r="R83" s="150" t="str">
        <f t="shared" si="8"/>
        <v>1402</v>
      </c>
      <c r="S83" s="151">
        <f t="shared" si="9"/>
        <v>0</v>
      </c>
      <c r="T83" s="153">
        <f>+VLOOKUP($L83,Data_Validation!$A:$D,1,0)</f>
        <v>1403</v>
      </c>
      <c r="U83" s="153" t="str">
        <f>+VLOOKUP($L83,Data_Validation!$A:$D,3,0)</f>
        <v>Bilan</v>
      </c>
      <c r="V83" s="153" t="str">
        <f>+VLOOKUP($L83,Data_Validation!$A:$D,4,0)</f>
        <v>Inventaire Véhicules Neufs</v>
      </c>
      <c r="W83" s="153" t="str">
        <f>+VLOOKUP($L83,Data_Validation!$A:$E,5,0)</f>
        <v>$</v>
      </c>
      <c r="X83" s="153">
        <f>+VLOOKUP($L83,Data_Validation!$A:$F,6,0)</f>
        <v>0</v>
      </c>
    </row>
    <row r="84" spans="1:24" ht="15.75" customHeight="1">
      <c r="A84" s="1193" t="s">
        <v>2752</v>
      </c>
      <c r="B84" s="1194">
        <v>1413</v>
      </c>
      <c r="C84" s="1197">
        <v>-59200</v>
      </c>
      <c r="D84" s="1197">
        <v>-9900</v>
      </c>
      <c r="E84" s="1197">
        <v>-69100</v>
      </c>
      <c r="F84" s="1193" t="s">
        <v>290</v>
      </c>
      <c r="G84" s="1193" t="s">
        <v>2753</v>
      </c>
      <c r="H84" s="1196"/>
      <c r="I84" s="1196"/>
      <c r="J84" s="1196"/>
      <c r="K84" s="1196"/>
      <c r="L84" s="150">
        <f t="shared" si="5"/>
        <v>1413</v>
      </c>
      <c r="M84" s="151" t="str">
        <f t="shared" si="6"/>
        <v>BRUISING USED CAR</v>
      </c>
      <c r="N84" s="152">
        <f>+IF(OR($Q84=Parametres!$G$2,$Q84=Parametres!$G$3),I84,C84)</f>
        <v>-59200</v>
      </c>
      <c r="O84" s="1084">
        <f>+IF(OR($Q84=Parametres!$G$2,$Q84=Parametres!$G$3),J84,D84)</f>
        <v>-9900</v>
      </c>
      <c r="P84" s="1212">
        <f>+IF(OR($Q84=Parametres!$G$2,$Q84=Parametres!$G$3),K84,E84)</f>
        <v>-69100</v>
      </c>
      <c r="Q84" s="151" t="str">
        <f t="shared" si="7"/>
        <v>2-Actifs</v>
      </c>
      <c r="R84" s="150" t="str">
        <f t="shared" si="8"/>
        <v>1413</v>
      </c>
      <c r="S84" s="151">
        <f t="shared" si="9"/>
        <v>0</v>
      </c>
      <c r="T84" s="153">
        <f>+VLOOKUP($L84,Data_Validation!$A:$D,1,0)</f>
        <v>1413</v>
      </c>
      <c r="U84" s="153" t="str">
        <f>+VLOOKUP($L84,Data_Validation!$A:$D,3,0)</f>
        <v>Bilan</v>
      </c>
      <c r="V84" s="153" t="str">
        <f>+VLOOKUP($L84,Data_Validation!$A:$D,4,0)</f>
        <v>Inventaire Véhicules Usagés</v>
      </c>
      <c r="W84" s="153" t="str">
        <f>+VLOOKUP($L84,Data_Validation!$A:$E,5,0)</f>
        <v>$</v>
      </c>
      <c r="X84" s="153">
        <f>+VLOOKUP($L84,Data_Validation!$A:$F,6,0)</f>
        <v>0</v>
      </c>
    </row>
    <row r="85" spans="1:24" ht="15" customHeight="1">
      <c r="A85" s="1193" t="s">
        <v>2817</v>
      </c>
      <c r="B85" s="1194">
        <v>1416</v>
      </c>
      <c r="C85" s="1197">
        <v>2167601.4900000002</v>
      </c>
      <c r="D85" s="1197">
        <v>564149.78</v>
      </c>
      <c r="E85" s="1197">
        <v>2731751.27</v>
      </c>
      <c r="F85" s="1193" t="s">
        <v>290</v>
      </c>
      <c r="G85" s="1193" t="s">
        <v>2472</v>
      </c>
      <c r="H85" s="1196"/>
      <c r="I85" s="1196"/>
      <c r="J85" s="1196"/>
      <c r="K85" s="1196"/>
      <c r="L85" s="150">
        <f t="shared" si="5"/>
        <v>1416</v>
      </c>
      <c r="M85" s="151" t="str">
        <f t="shared" si="6"/>
        <v>INV. VEH. USAGE VW</v>
      </c>
      <c r="N85" s="152">
        <f>+IF(OR($Q85=Parametres!$G$2,$Q85=Parametres!$G$3),I85,C85)</f>
        <v>2167601.4900000002</v>
      </c>
      <c r="O85" s="1084">
        <f>+IF(OR($Q85=Parametres!$G$2,$Q85=Parametres!$G$3),J85,D85)</f>
        <v>564149.78</v>
      </c>
      <c r="P85" s="1212">
        <f>+IF(OR($Q85=Parametres!$G$2,$Q85=Parametres!$G$3),K85,E85)</f>
        <v>2731751.27</v>
      </c>
      <c r="Q85" s="151" t="str">
        <f t="shared" si="7"/>
        <v>2-Actifs</v>
      </c>
      <c r="R85" s="150" t="str">
        <f t="shared" si="8"/>
        <v>1416</v>
      </c>
      <c r="S85" s="151">
        <f t="shared" si="9"/>
        <v>0</v>
      </c>
      <c r="T85" s="153">
        <f>+VLOOKUP($L85,Data_Validation!$A:$D,1,0)</f>
        <v>1416</v>
      </c>
      <c r="U85" s="153" t="str">
        <f>+VLOOKUP($L85,Data_Validation!$A:$D,3,0)</f>
        <v>Bilan</v>
      </c>
      <c r="V85" s="153" t="str">
        <f>+VLOOKUP($L85,Data_Validation!$A:$D,4,0)</f>
        <v>Inventaire Véhicules Usagés</v>
      </c>
      <c r="W85" s="153" t="str">
        <f>+VLOOKUP($L85,Data_Validation!$A:$E,5,0)</f>
        <v>$</v>
      </c>
      <c r="X85" s="153">
        <f>+VLOOKUP($L85,Data_Validation!$A:$F,6,0)</f>
        <v>0</v>
      </c>
    </row>
    <row r="86" spans="1:24" ht="15" customHeight="1">
      <c r="A86" s="1193" t="s">
        <v>2858</v>
      </c>
      <c r="B86" s="1194">
        <v>1423</v>
      </c>
      <c r="C86" s="1197">
        <v>-18762.46</v>
      </c>
      <c r="D86" s="1197">
        <v>4897.17</v>
      </c>
      <c r="E86" s="1197">
        <v>-13865.29</v>
      </c>
      <c r="F86" s="1193" t="s">
        <v>290</v>
      </c>
      <c r="G86" s="1193" t="s">
        <v>2859</v>
      </c>
      <c r="H86" s="1196"/>
      <c r="I86" s="1196"/>
      <c r="J86" s="1196"/>
      <c r="K86" s="1196"/>
      <c r="L86" s="150">
        <f t="shared" si="5"/>
        <v>1423</v>
      </c>
      <c r="M86" s="151" t="str">
        <f t="shared" si="6"/>
        <v>RESERVE DEMO</v>
      </c>
      <c r="N86" s="152">
        <f>+IF(OR($Q86=Parametres!$G$2,$Q86=Parametres!$G$3),I86,C86)</f>
        <v>-18762.46</v>
      </c>
      <c r="O86" s="1084">
        <f>+IF(OR($Q86=Parametres!$G$2,$Q86=Parametres!$G$3),J86,D86)</f>
        <v>4897.17</v>
      </c>
      <c r="P86" s="152">
        <f>+IF(OR($Q86=Parametres!$G$2,$Q86=Parametres!$G$3),K86,E86)</f>
        <v>-13865.29</v>
      </c>
      <c r="Q86" s="151" t="str">
        <f t="shared" si="7"/>
        <v>2-Actifs</v>
      </c>
      <c r="R86" s="150" t="str">
        <f t="shared" si="8"/>
        <v>1423</v>
      </c>
      <c r="S86" s="151">
        <f t="shared" si="9"/>
        <v>0</v>
      </c>
      <c r="T86" s="153">
        <f>+VLOOKUP($L86,Data_Validation!$A:$D,1,0)</f>
        <v>1423</v>
      </c>
      <c r="U86" s="153" t="str">
        <f>+VLOOKUP($L86,Data_Validation!$A:$D,3,0)</f>
        <v>Bilan</v>
      </c>
      <c r="V86" s="153" t="str">
        <f>+VLOOKUP($L86,Data_Validation!$A:$D,4,0)</f>
        <v>Inventaire Véhicules Neufs</v>
      </c>
      <c r="W86" s="153" t="str">
        <f>+VLOOKUP($L86,Data_Validation!$A:$E,5,0)</f>
        <v>$</v>
      </c>
      <c r="X86" s="153">
        <f>+VLOOKUP($L86,Data_Validation!$A:$F,6,0)</f>
        <v>0</v>
      </c>
    </row>
    <row r="87" spans="1:24" ht="15" customHeight="1">
      <c r="A87" s="1193" t="s">
        <v>2860</v>
      </c>
      <c r="B87" s="1194">
        <v>1433</v>
      </c>
      <c r="C87" s="1197">
        <v>-33660.06</v>
      </c>
      <c r="D87" s="1197">
        <v>-6742.6</v>
      </c>
      <c r="E87" s="1197">
        <v>-40402.660000000003</v>
      </c>
      <c r="F87" s="1193" t="s">
        <v>290</v>
      </c>
      <c r="G87" s="1193" t="s">
        <v>2861</v>
      </c>
      <c r="H87" s="1196"/>
      <c r="I87" s="1196"/>
      <c r="J87" s="1196"/>
      <c r="K87" s="1196"/>
      <c r="L87" s="150">
        <f t="shared" si="5"/>
        <v>1433</v>
      </c>
      <c r="M87" s="151" t="str">
        <f t="shared" si="6"/>
        <v>RESERVE COURTOISIE</v>
      </c>
      <c r="N87" s="152">
        <f>+IF(OR($Q87=Parametres!$G$2,$Q87=Parametres!$G$3),I87,C87)</f>
        <v>-33660.06</v>
      </c>
      <c r="O87" s="1082">
        <f>+IF(OR($Q87=Parametres!$G$2,$Q87=Parametres!$G$3),J87,D87)</f>
        <v>-6742.6</v>
      </c>
      <c r="P87" s="152">
        <f>+IF(OR($Q87=Parametres!$G$2,$Q87=Parametres!$G$3),K87,E87)</f>
        <v>-40402.660000000003</v>
      </c>
      <c r="Q87" s="151" t="str">
        <f t="shared" si="7"/>
        <v>2-Actifs</v>
      </c>
      <c r="R87" s="150" t="str">
        <f t="shared" si="8"/>
        <v>143</v>
      </c>
      <c r="S87" s="151">
        <f t="shared" si="9"/>
        <v>0</v>
      </c>
      <c r="T87" s="153">
        <f>+VLOOKUP($L87,Data_Validation!$A:$D,1,0)</f>
        <v>1433</v>
      </c>
      <c r="U87" s="153" t="str">
        <f>+VLOOKUP($L87,Data_Validation!$A:$D,3,0)</f>
        <v>Bilan</v>
      </c>
      <c r="V87" s="153" t="str">
        <f>+VLOOKUP($L87,Data_Validation!$A:$D,4,0)</f>
        <v>Inventaire Véhicules Neufs</v>
      </c>
      <c r="W87" s="153" t="str">
        <f>+VLOOKUP($L87,Data_Validation!$A:$E,5,0)</f>
        <v>$</v>
      </c>
      <c r="X87" s="153">
        <f>+VLOOKUP($L87,Data_Validation!$A:$F,6,0)</f>
        <v>0</v>
      </c>
    </row>
    <row r="88" spans="1:24" ht="15" customHeight="1">
      <c r="A88" s="1193" t="s">
        <v>2025</v>
      </c>
      <c r="B88" s="1194">
        <v>1442</v>
      </c>
      <c r="C88" s="1197">
        <v>51805.33</v>
      </c>
      <c r="D88" s="1197">
        <v>-51805.33</v>
      </c>
      <c r="E88" s="1197" t="s">
        <v>3275</v>
      </c>
      <c r="F88" s="1193" t="s">
        <v>290</v>
      </c>
      <c r="G88" s="1193" t="s">
        <v>2026</v>
      </c>
      <c r="H88" s="1196"/>
      <c r="I88" s="1196"/>
      <c r="J88" s="1196"/>
      <c r="K88" s="1196"/>
      <c r="L88" s="150">
        <f t="shared" si="5"/>
        <v>1442</v>
      </c>
      <c r="M88" s="151" t="str">
        <f t="shared" si="6"/>
        <v>PIECES &amp; ACCESSOIRES NEUFS</v>
      </c>
      <c r="N88" s="152">
        <f>+IF(OR($Q88=Parametres!$G$2,$Q88=Parametres!$G$3),I88,C88)</f>
        <v>51805.33</v>
      </c>
      <c r="O88" s="1084">
        <f>+IF(OR($Q88=Parametres!$G$2,$Q88=Parametres!$G$3),J88,D88)</f>
        <v>-51805.33</v>
      </c>
      <c r="P88" s="1395" t="str">
        <f>+IF(OR($Q88=Parametres!$G$2,$Q88=Parametres!$G$3),K88,E88)</f>
        <v xml:space="preserve">                        -   </v>
      </c>
      <c r="Q88" s="151" t="str">
        <f t="shared" si="7"/>
        <v>2-Actifs</v>
      </c>
      <c r="R88" s="150" t="str">
        <f t="shared" si="8"/>
        <v>1442</v>
      </c>
      <c r="S88" s="151">
        <f t="shared" si="9"/>
        <v>0</v>
      </c>
      <c r="T88" s="153">
        <f>+VLOOKUP($L88,Data_Validation!$A:$D,1,0)</f>
        <v>1442</v>
      </c>
      <c r="U88" s="153" t="str">
        <f>+VLOOKUP($L88,Data_Validation!$A:$D,3,0)</f>
        <v>Bilan</v>
      </c>
      <c r="V88" s="153" t="str">
        <f>+VLOOKUP($L88,Data_Validation!$A:$D,4,0)</f>
        <v>Inventaire Pièces, Pneus, Huile</v>
      </c>
      <c r="W88" s="153" t="str">
        <f>+VLOOKUP($L88,Data_Validation!$A:$E,5,0)</f>
        <v>$</v>
      </c>
      <c r="X88" s="153">
        <f>+VLOOKUP($L88,Data_Validation!$A:$F,6,0)</f>
        <v>0</v>
      </c>
    </row>
    <row r="89" spans="1:24" ht="15" customHeight="1">
      <c r="A89" s="1193" t="s">
        <v>2862</v>
      </c>
      <c r="B89" s="1194">
        <v>1448</v>
      </c>
      <c r="C89" s="1197">
        <v>-37600.14</v>
      </c>
      <c r="D89" s="1197">
        <v>37600.14</v>
      </c>
      <c r="E89" s="1197" t="s">
        <v>3275</v>
      </c>
      <c r="F89" s="1193" t="s">
        <v>290</v>
      </c>
      <c r="G89" s="1193" t="s">
        <v>2026</v>
      </c>
      <c r="H89" s="1196"/>
      <c r="I89" s="1196"/>
      <c r="J89" s="1196"/>
      <c r="K89" s="1196"/>
      <c r="L89" s="150">
        <f t="shared" si="5"/>
        <v>1448</v>
      </c>
      <c r="M89" s="151" t="str">
        <f t="shared" si="6"/>
        <v>AUTRES MARQUES P&amp;A</v>
      </c>
      <c r="N89" s="152">
        <f>+IF(OR($Q89=Parametres!$G$2,$Q89=Parametres!$G$3),I89,C89)</f>
        <v>-37600.14</v>
      </c>
      <c r="O89" s="1084">
        <f>+IF(OR($Q89=Parametres!$G$2,$Q89=Parametres!$G$3),J89,D89)</f>
        <v>37600.14</v>
      </c>
      <c r="P89" s="1396" t="str">
        <f>+IF(OR($Q89=Parametres!$G$2,$Q89=Parametres!$G$3),K89,E89)</f>
        <v xml:space="preserve">                        -   </v>
      </c>
      <c r="Q89" s="151" t="str">
        <f t="shared" si="7"/>
        <v>2-Actifs</v>
      </c>
      <c r="R89" s="150" t="str">
        <f t="shared" si="8"/>
        <v>1442</v>
      </c>
      <c r="S89" s="151">
        <f t="shared" si="9"/>
        <v>0</v>
      </c>
      <c r="T89" s="153">
        <f>+VLOOKUP($L89,Data_Validation!$A:$D,1,0)</f>
        <v>1448</v>
      </c>
      <c r="U89" s="153" t="str">
        <f>+VLOOKUP($L89,Data_Validation!$A:$D,3,0)</f>
        <v>Bilan</v>
      </c>
      <c r="V89" s="153" t="str">
        <f>+VLOOKUP($L89,Data_Validation!$A:$D,4,0)</f>
        <v>Inventaire Pièces, Pneus, Huile</v>
      </c>
      <c r="W89" s="153" t="str">
        <f>+VLOOKUP($L89,Data_Validation!$A:$E,5,0)</f>
        <v>$</v>
      </c>
      <c r="X89" s="153">
        <f>+VLOOKUP($L89,Data_Validation!$A:$F,6,0)</f>
        <v>0</v>
      </c>
    </row>
    <row r="90" spans="1:24" ht="15" customHeight="1">
      <c r="A90" s="1193" t="s">
        <v>2815</v>
      </c>
      <c r="B90" s="1194">
        <v>1452</v>
      </c>
      <c r="C90" s="1197">
        <v>296747.12</v>
      </c>
      <c r="D90" s="1197">
        <v>7716.79</v>
      </c>
      <c r="E90" s="1197">
        <v>304463.90999999997</v>
      </c>
      <c r="F90" s="1193" t="s">
        <v>290</v>
      </c>
      <c r="G90" s="1193" t="s">
        <v>2026</v>
      </c>
      <c r="H90" s="1196"/>
      <c r="I90" s="1196"/>
      <c r="J90" s="1196"/>
      <c r="K90" s="1196"/>
      <c r="L90" s="150">
        <f t="shared" si="5"/>
        <v>1452</v>
      </c>
      <c r="M90" s="151" t="str">
        <f t="shared" si="6"/>
        <v>PNEUS</v>
      </c>
      <c r="N90" s="152">
        <f>+IF(OR($Q90=Parametres!$G$2,$Q90=Parametres!$G$3),I90,C90)</f>
        <v>296747.12</v>
      </c>
      <c r="O90" s="1084">
        <f>+IF(OR($Q90=Parametres!$G$2,$Q90=Parametres!$G$3),J90,D90)</f>
        <v>7716.79</v>
      </c>
      <c r="P90" s="1396">
        <f>+IF(OR($Q90=Parametres!$G$2,$Q90=Parametres!$G$3),K90,E90)</f>
        <v>304463.90999999997</v>
      </c>
      <c r="Q90" s="151" t="str">
        <f t="shared" si="7"/>
        <v>2-Actifs</v>
      </c>
      <c r="R90" s="150" t="str">
        <f t="shared" si="8"/>
        <v>1442</v>
      </c>
      <c r="S90" s="151">
        <f t="shared" si="9"/>
        <v>0</v>
      </c>
      <c r="T90" s="153">
        <f>+VLOOKUP($L90,Data_Validation!$A:$D,1,0)</f>
        <v>1452</v>
      </c>
      <c r="U90" s="153" t="str">
        <f>+VLOOKUP($L90,Data_Validation!$A:$D,3,0)</f>
        <v>Bilan</v>
      </c>
      <c r="V90" s="153" t="str">
        <f>+VLOOKUP($L90,Data_Validation!$A:$D,4,0)</f>
        <v>Inventaire Pièces, Pneus, Huile</v>
      </c>
      <c r="W90" s="153" t="str">
        <f>+VLOOKUP($L90,Data_Validation!$A:$E,5,0)</f>
        <v>$</v>
      </c>
      <c r="X90" s="153">
        <f>+VLOOKUP($L90,Data_Validation!$A:$F,6,0)</f>
        <v>0</v>
      </c>
    </row>
    <row r="91" spans="1:24" ht="15" customHeight="1">
      <c r="A91" s="1193" t="s">
        <v>2731</v>
      </c>
      <c r="B91" s="1194">
        <v>1456</v>
      </c>
      <c r="C91" s="1197">
        <v>38259.730000000003</v>
      </c>
      <c r="D91" s="1197">
        <v>9662.4</v>
      </c>
      <c r="E91" s="1197">
        <v>47922.13</v>
      </c>
      <c r="F91" s="1193" t="s">
        <v>290</v>
      </c>
      <c r="G91" s="1193" t="s">
        <v>2732</v>
      </c>
      <c r="H91" s="1196"/>
      <c r="I91" s="1196"/>
      <c r="J91" s="1196"/>
      <c r="K91" s="1196"/>
      <c r="L91" s="150">
        <f t="shared" si="5"/>
        <v>1456</v>
      </c>
      <c r="M91" s="151" t="str">
        <f t="shared" si="6"/>
        <v>PIECES VW NON ORIGINE</v>
      </c>
      <c r="N91" s="152">
        <f>+IF(OR($Q91=Parametres!$G$2,$Q91=Parametres!$G$3),I91,C91)</f>
        <v>38259.730000000003</v>
      </c>
      <c r="O91" s="1084">
        <f>+IF(OR($Q91=Parametres!$G$2,$Q91=Parametres!$G$3),J91,D91)</f>
        <v>9662.4</v>
      </c>
      <c r="P91" s="1396">
        <f>+IF(OR($Q91=Parametres!$G$2,$Q91=Parametres!$G$3),K91,E91)</f>
        <v>47922.13</v>
      </c>
      <c r="Q91" s="151" t="str">
        <f t="shared" si="7"/>
        <v>2-Actifs</v>
      </c>
      <c r="R91" s="150" t="str">
        <f t="shared" si="8"/>
        <v>1456</v>
      </c>
      <c r="S91" s="151">
        <f t="shared" si="9"/>
        <v>0</v>
      </c>
      <c r="T91" s="153">
        <f>+VLOOKUP($L91,Data_Validation!$A:$D,1,0)</f>
        <v>1456</v>
      </c>
      <c r="U91" s="153" t="str">
        <f>+VLOOKUP($L91,Data_Validation!$A:$D,3,0)</f>
        <v>Bilan</v>
      </c>
      <c r="V91" s="153" t="str">
        <f>+VLOOKUP($L91,Data_Validation!$A:$D,4,0)</f>
        <v>Inventaire Pièces, Pneus, Huile</v>
      </c>
      <c r="W91" s="153" t="str">
        <f>+VLOOKUP($L91,Data_Validation!$A:$E,5,0)</f>
        <v>$</v>
      </c>
      <c r="X91" s="153">
        <f>+VLOOKUP($L91,Data_Validation!$A:$F,6,0)</f>
        <v>0</v>
      </c>
    </row>
    <row r="92" spans="1:24" ht="15" customHeight="1">
      <c r="A92" s="1193" t="s">
        <v>2580</v>
      </c>
      <c r="B92" s="1194">
        <v>1472</v>
      </c>
      <c r="C92" s="1197">
        <v>8270.2099999999991</v>
      </c>
      <c r="D92" s="1197">
        <v>-63.96</v>
      </c>
      <c r="E92" s="1197">
        <v>8206.25</v>
      </c>
      <c r="F92" s="1193" t="s">
        <v>290</v>
      </c>
      <c r="G92" s="1193" t="s">
        <v>2581</v>
      </c>
      <c r="H92" s="1196"/>
      <c r="I92" s="1196"/>
      <c r="J92" s="1196"/>
      <c r="K92" s="1196"/>
      <c r="L92" s="150">
        <f t="shared" si="5"/>
        <v>1472</v>
      </c>
      <c r="M92" s="151" t="str">
        <f t="shared" si="6"/>
        <v>WIP M-O VW</v>
      </c>
      <c r="N92" s="152">
        <f>+IF(OR($Q92=Parametres!$G$2,$Q92=Parametres!$G$3),I92,C92)</f>
        <v>8270.2099999999991</v>
      </c>
      <c r="O92" s="1084">
        <f>+IF(OR($Q92=Parametres!$G$2,$Q92=Parametres!$G$3),J92,D92)</f>
        <v>-63.96</v>
      </c>
      <c r="P92" s="152">
        <f>+IF(OR($Q92=Parametres!$G$2,$Q92=Parametres!$G$3),K92,E92)</f>
        <v>8206.25</v>
      </c>
      <c r="Q92" s="151" t="str">
        <f t="shared" si="7"/>
        <v>2-Actifs</v>
      </c>
      <c r="R92" s="150" t="str">
        <f t="shared" si="8"/>
        <v>1472</v>
      </c>
      <c r="S92" s="151">
        <f t="shared" si="9"/>
        <v>0</v>
      </c>
      <c r="T92" s="153">
        <f>+VLOOKUP($L92,Data_Validation!$A:$D,1,0)</f>
        <v>1472</v>
      </c>
      <c r="U92" s="153" t="str">
        <f>+VLOOKUP($L92,Data_Validation!$A:$D,3,0)</f>
        <v>Bilan</v>
      </c>
      <c r="V92" s="153" t="str">
        <f>+VLOOKUP($L92,Data_Validation!$A:$D,4,0)</f>
        <v>Travaux en Cours</v>
      </c>
      <c r="W92" s="153" t="str">
        <f>+VLOOKUP($L92,Data_Validation!$A:$E,5,0)</f>
        <v>$</v>
      </c>
      <c r="X92" s="153">
        <f>+VLOOKUP($L92,Data_Validation!$A:$F,6,0)</f>
        <v>0</v>
      </c>
    </row>
    <row r="93" spans="1:24" ht="15" customHeight="1">
      <c r="A93" s="1193" t="s">
        <v>2754</v>
      </c>
      <c r="B93" s="1194">
        <v>1474</v>
      </c>
      <c r="C93" s="1197">
        <v>41483.730000000003</v>
      </c>
      <c r="D93" s="1197">
        <v>-15218.56</v>
      </c>
      <c r="E93" s="1197">
        <v>26265.17</v>
      </c>
      <c r="F93" s="1193" t="s">
        <v>290</v>
      </c>
      <c r="G93" s="1193" t="s">
        <v>2581</v>
      </c>
      <c r="H93" s="1196"/>
      <c r="I93" s="1196"/>
      <c r="J93" s="1196"/>
      <c r="K93" s="1196"/>
      <c r="L93" s="150">
        <f t="shared" si="5"/>
        <v>1474</v>
      </c>
      <c r="M93" s="151" t="str">
        <f t="shared" si="6"/>
        <v>INVENTAIRE SOUS-TRAITANTS</v>
      </c>
      <c r="N93" s="152">
        <f>+IF(OR($Q93=Parametres!$G$2,$Q93=Parametres!$G$3),I93,C93)</f>
        <v>41483.730000000003</v>
      </c>
      <c r="O93" s="1084">
        <f>+IF(OR($Q93=Parametres!$G$2,$Q93=Parametres!$G$3),J93,D93)</f>
        <v>-15218.56</v>
      </c>
      <c r="P93" s="152">
        <f>+IF(OR($Q93=Parametres!$G$2,$Q93=Parametres!$G$3),K93,E93)</f>
        <v>26265.17</v>
      </c>
      <c r="Q93" s="151" t="str">
        <f t="shared" si="7"/>
        <v>2-Actifs</v>
      </c>
      <c r="R93" s="150" t="str">
        <f t="shared" si="8"/>
        <v>1472</v>
      </c>
      <c r="S93" s="151">
        <f t="shared" si="9"/>
        <v>0</v>
      </c>
      <c r="T93" s="153">
        <f>+VLOOKUP($L93,Data_Validation!$A:$D,1,0)</f>
        <v>1474</v>
      </c>
      <c r="U93" s="153" t="str">
        <f>+VLOOKUP($L93,Data_Validation!$A:$D,3,0)</f>
        <v>Bilan</v>
      </c>
      <c r="V93" s="153" t="str">
        <f>+VLOOKUP($L93,Data_Validation!$A:$D,4,0)</f>
        <v>Sous-Traitance</v>
      </c>
      <c r="W93" s="153" t="str">
        <f>+VLOOKUP($L93,Data_Validation!$A:$E,5,0)</f>
        <v>$</v>
      </c>
      <c r="X93" s="153">
        <f>+VLOOKUP($L93,Data_Validation!$A:$F,6,0)</f>
        <v>0</v>
      </c>
    </row>
    <row r="94" spans="1:24" ht="15.75" customHeight="1">
      <c r="A94" s="1193" t="s">
        <v>2133</v>
      </c>
      <c r="B94" s="1194">
        <v>1492</v>
      </c>
      <c r="C94" s="1195">
        <v>7436.94</v>
      </c>
      <c r="D94" s="1195">
        <v>-1902.08</v>
      </c>
      <c r="E94" s="1195">
        <v>5534.86</v>
      </c>
      <c r="F94" s="1193" t="s">
        <v>290</v>
      </c>
      <c r="G94" s="1193" t="s">
        <v>2026</v>
      </c>
      <c r="H94" s="1196"/>
      <c r="I94" s="1197"/>
      <c r="J94" s="1197"/>
      <c r="K94" s="1197"/>
      <c r="L94" s="150">
        <f t="shared" si="5"/>
        <v>1492</v>
      </c>
      <c r="M94" s="151" t="str">
        <f t="shared" si="6"/>
        <v>CARBURANT, HUILE, GRAISSE</v>
      </c>
      <c r="N94" s="152">
        <f>+IF(OR($Q94=Parametres!$G$2,$Q94=Parametres!$G$3),I94,C94)</f>
        <v>7436.94</v>
      </c>
      <c r="O94" s="1084">
        <f>+IF(OR($Q94=Parametres!$G$2,$Q94=Parametres!$G$3),J94,D94)</f>
        <v>-1902.08</v>
      </c>
      <c r="P94" s="1396">
        <f>+IF(OR($Q94=Parametres!$G$2,$Q94=Parametres!$G$3),K94,E94)</f>
        <v>5534.86</v>
      </c>
      <c r="Q94" s="151" t="str">
        <f t="shared" si="7"/>
        <v>2-Actifs</v>
      </c>
      <c r="R94" s="150" t="str">
        <f t="shared" si="8"/>
        <v>1442</v>
      </c>
      <c r="S94" s="151">
        <f t="shared" si="9"/>
        <v>0</v>
      </c>
      <c r="T94" s="153">
        <f>+VLOOKUP($L94,Data_Validation!$A:$D,1,0)</f>
        <v>1492</v>
      </c>
      <c r="U94" s="153" t="str">
        <f>+VLOOKUP($L94,Data_Validation!$A:$D,3,0)</f>
        <v>Bilan</v>
      </c>
      <c r="V94" s="153" t="str">
        <f>+VLOOKUP($L94,Data_Validation!$A:$D,4,0)</f>
        <v>Inventaire Pièces, Pneus, Huile</v>
      </c>
      <c r="W94" s="153" t="str">
        <f>+VLOOKUP($L94,Data_Validation!$A:$E,5,0)</f>
        <v>$</v>
      </c>
      <c r="X94" s="153">
        <f>+VLOOKUP($L94,Data_Validation!$A:$F,6,0)</f>
        <v>0</v>
      </c>
    </row>
    <row r="95" spans="1:24" ht="15" customHeight="1">
      <c r="A95" s="1193" t="s">
        <v>2682</v>
      </c>
      <c r="B95" s="1194">
        <v>1498</v>
      </c>
      <c r="C95" s="1197" t="s">
        <v>3277</v>
      </c>
      <c r="D95" s="1197">
        <v>47.1</v>
      </c>
      <c r="E95" s="1197">
        <v>47.1</v>
      </c>
      <c r="F95" s="1193" t="s">
        <v>290</v>
      </c>
      <c r="G95" s="1193" t="s">
        <v>2683</v>
      </c>
      <c r="H95" s="1196"/>
      <c r="I95" s="1196"/>
      <c r="J95" s="1196"/>
      <c r="K95" s="1196"/>
      <c r="L95" s="150">
        <f t="shared" si="5"/>
        <v>1498</v>
      </c>
      <c r="M95" s="151" t="str">
        <f t="shared" si="6"/>
        <v>AUTRES INVENTAIRES</v>
      </c>
      <c r="N95" s="152" t="str">
        <f>+IF(OR($Q95=Parametres!$G$2,$Q95=Parametres!$G$3),I95,C95)</f>
        <v xml:space="preserve">                                 -   </v>
      </c>
      <c r="O95" s="1082">
        <f>+IF(OR($Q95=Parametres!$G$2,$Q95=Parametres!$G$3),J95,D95)</f>
        <v>47.1</v>
      </c>
      <c r="P95" s="152">
        <f>+IF(OR($Q95=Parametres!$G$2,$Q95=Parametres!$G$3),K95,E95)</f>
        <v>47.1</v>
      </c>
      <c r="Q95" s="151" t="str">
        <f t="shared" si="7"/>
        <v>2-Actifs</v>
      </c>
      <c r="R95" s="150" t="str">
        <f t="shared" si="8"/>
        <v>1498</v>
      </c>
      <c r="S95" s="151">
        <f t="shared" si="9"/>
        <v>0</v>
      </c>
      <c r="T95" s="153">
        <f>+VLOOKUP($L95,Data_Validation!$A:$D,1,0)</f>
        <v>1498</v>
      </c>
      <c r="U95" s="153" t="str">
        <f>+VLOOKUP($L95,Data_Validation!$A:$D,3,0)</f>
        <v>Bilan</v>
      </c>
      <c r="V95" s="153" t="str">
        <f>+VLOOKUP($L95,Data_Validation!$A:$D,4,0)</f>
        <v>Inventaire Pièces, Pneus, Huile</v>
      </c>
      <c r="W95" s="153" t="str">
        <f>+VLOOKUP($L95,Data_Validation!$A:$E,5,0)</f>
        <v>$</v>
      </c>
      <c r="X95" s="153">
        <f>+VLOOKUP($L95,Data_Validation!$A:$F,6,0)</f>
        <v>0</v>
      </c>
    </row>
    <row r="96" spans="1:24" ht="15" customHeight="1">
      <c r="A96" s="1193" t="s">
        <v>2797</v>
      </c>
      <c r="B96" s="1194">
        <v>1506</v>
      </c>
      <c r="C96" s="1197">
        <v>-11795.1</v>
      </c>
      <c r="D96" s="1197">
        <v>-6749.35</v>
      </c>
      <c r="E96" s="1197">
        <v>-18544.45</v>
      </c>
      <c r="F96" s="1193" t="s">
        <v>290</v>
      </c>
      <c r="G96" s="1193" t="s">
        <v>2099</v>
      </c>
      <c r="H96" s="1196"/>
      <c r="I96" s="1196"/>
      <c r="J96" s="1196"/>
      <c r="K96" s="1196"/>
      <c r="L96" s="150">
        <f t="shared" si="5"/>
        <v>1506</v>
      </c>
      <c r="M96" s="151" t="str">
        <f t="shared" si="6"/>
        <v>FPA PUBLICITE SERVICE</v>
      </c>
      <c r="N96" s="152">
        <f>+IF(OR($Q96=Parametres!$G$2,$Q96=Parametres!$G$3),I96,C96)</f>
        <v>-11795.1</v>
      </c>
      <c r="O96" s="1082">
        <f>+IF(OR($Q96=Parametres!$G$2,$Q96=Parametres!$G$3),J96,D96)</f>
        <v>-6749.35</v>
      </c>
      <c r="P96" s="152">
        <f>+IF(OR($Q96=Parametres!$G$2,$Q96=Parametres!$G$3),K96,E96)</f>
        <v>-18544.45</v>
      </c>
      <c r="Q96" s="151" t="str">
        <f t="shared" si="7"/>
        <v>2-Actifs</v>
      </c>
      <c r="R96" s="150" t="str">
        <f t="shared" si="8"/>
        <v>1500</v>
      </c>
      <c r="S96" s="151">
        <f t="shared" si="9"/>
        <v>0</v>
      </c>
      <c r="T96" s="153">
        <f>+VLOOKUP($L96,Data_Validation!$A:$D,1,0)</f>
        <v>1506</v>
      </c>
      <c r="U96" s="153" t="str">
        <f>+VLOOKUP($L96,Data_Validation!$A:$D,3,0)</f>
        <v>Bilan</v>
      </c>
      <c r="V96" s="153" t="str">
        <f>+VLOOKUP($L96,Data_Validation!$A:$D,4,0)</f>
        <v>Frais Payés d'Avance</v>
      </c>
      <c r="W96" s="153" t="str">
        <f>+VLOOKUP($L96,Data_Validation!$A:$E,5,0)</f>
        <v>$</v>
      </c>
      <c r="X96" s="153">
        <f>+VLOOKUP($L96,Data_Validation!$A:$F,6,0)</f>
        <v>0</v>
      </c>
    </row>
    <row r="97" spans="1:24" ht="15" customHeight="1">
      <c r="A97" s="1200" t="s">
        <v>2633</v>
      </c>
      <c r="B97" s="1194">
        <v>1510</v>
      </c>
      <c r="C97" s="1197">
        <v>1768</v>
      </c>
      <c r="D97" s="1197">
        <v>-75</v>
      </c>
      <c r="E97" s="1197">
        <v>1693</v>
      </c>
      <c r="F97" s="1193" t="s">
        <v>290</v>
      </c>
      <c r="G97" s="1193" t="s">
        <v>2099</v>
      </c>
      <c r="H97" s="1196"/>
      <c r="I97" s="1196"/>
      <c r="J97" s="1196"/>
      <c r="K97" s="1196"/>
      <c r="L97" s="150">
        <f t="shared" si="5"/>
        <v>1510</v>
      </c>
      <c r="M97" s="151" t="str">
        <f t="shared" si="6"/>
        <v>DIAMOND KOTE (NANO)</v>
      </c>
      <c r="N97" s="152">
        <f>+IF(OR($Q97=Parametres!$G$2,$Q97=Parametres!$G$3),I97,C97)</f>
        <v>1768</v>
      </c>
      <c r="O97" s="1082">
        <f>+IF(OR($Q97=Parametres!$G$2,$Q97=Parametres!$G$3),J97,D97)</f>
        <v>-75</v>
      </c>
      <c r="P97" s="152">
        <f>+IF(OR($Q97=Parametres!$G$2,$Q97=Parametres!$G$3),K97,E97)</f>
        <v>1693</v>
      </c>
      <c r="Q97" s="151" t="str">
        <f t="shared" si="7"/>
        <v>2-Actifs</v>
      </c>
      <c r="R97" s="150" t="str">
        <f t="shared" si="8"/>
        <v>1500</v>
      </c>
      <c r="S97" s="151">
        <f t="shared" si="9"/>
        <v>0</v>
      </c>
      <c r="T97" s="153">
        <f>+VLOOKUP($L97,Data_Validation!$A:$D,1,0)</f>
        <v>1510</v>
      </c>
      <c r="U97" s="153" t="str">
        <f>+VLOOKUP($L97,Data_Validation!$A:$D,3,0)</f>
        <v>Bilan</v>
      </c>
      <c r="V97" s="153" t="str">
        <f>+VLOOKUP($L97,Data_Validation!$A:$D,4,0)</f>
        <v>Frais Payés d'Avance</v>
      </c>
      <c r="W97" s="153" t="str">
        <f>+VLOOKUP($L97,Data_Validation!$A:$E,5,0)</f>
        <v>$</v>
      </c>
      <c r="X97" s="153">
        <f>+VLOOKUP($L97,Data_Validation!$A:$F,6,0)</f>
        <v>0</v>
      </c>
    </row>
    <row r="98" spans="1:24" ht="15" customHeight="1">
      <c r="A98" s="1193" t="s">
        <v>2145</v>
      </c>
      <c r="B98" s="1194">
        <v>1520</v>
      </c>
      <c r="C98" s="1195">
        <v>8367.76</v>
      </c>
      <c r="D98" s="1195">
        <v>31.6</v>
      </c>
      <c r="E98" s="1195">
        <v>8399.36</v>
      </c>
      <c r="F98" s="1193" t="s">
        <v>290</v>
      </c>
      <c r="G98" s="1193" t="s">
        <v>2099</v>
      </c>
      <c r="H98" s="1196"/>
      <c r="I98" s="1197"/>
      <c r="J98" s="1197"/>
      <c r="K98" s="1197"/>
      <c r="L98" s="150">
        <f t="shared" si="5"/>
        <v>1520</v>
      </c>
      <c r="M98" s="151" t="str">
        <f t="shared" si="6"/>
        <v>FPA IMMATRICULATION</v>
      </c>
      <c r="N98" s="152">
        <f>+IF(OR($Q98=Parametres!$G$2,$Q98=Parametres!$G$3),I98,C98)</f>
        <v>8367.76</v>
      </c>
      <c r="O98" s="1082">
        <f>+IF(OR($Q98=Parametres!$G$2,$Q98=Parametres!$G$3),J98,D98)</f>
        <v>31.6</v>
      </c>
      <c r="P98" s="152">
        <f>+IF(OR($Q98=Parametres!$G$2,$Q98=Parametres!$G$3),K98,E98)</f>
        <v>8399.36</v>
      </c>
      <c r="Q98" s="151" t="str">
        <f t="shared" si="7"/>
        <v>2-Actifs</v>
      </c>
      <c r="R98" s="150" t="str">
        <f t="shared" si="8"/>
        <v>1500</v>
      </c>
      <c r="S98" s="151">
        <f t="shared" si="9"/>
        <v>0</v>
      </c>
      <c r="T98" s="153">
        <f>+VLOOKUP($L98,Data_Validation!$A:$D,1,0)</f>
        <v>1520</v>
      </c>
      <c r="U98" s="153" t="str">
        <f>+VLOOKUP($L98,Data_Validation!$A:$D,3,0)</f>
        <v>Bilan</v>
      </c>
      <c r="V98" s="153" t="str">
        <f>+VLOOKUP($L98,Data_Validation!$A:$D,4,0)</f>
        <v>Frais Payés d'Avance</v>
      </c>
      <c r="W98" s="153" t="str">
        <f>+VLOOKUP($L98,Data_Validation!$A:$E,5,0)</f>
        <v>$</v>
      </c>
      <c r="X98" s="153">
        <f>+VLOOKUP($L98,Data_Validation!$A:$F,6,0)</f>
        <v>0</v>
      </c>
    </row>
    <row r="99" spans="1:24" ht="15.75" customHeight="1">
      <c r="A99" s="1193" t="s">
        <v>2174</v>
      </c>
      <c r="B99" s="1194">
        <v>1532</v>
      </c>
      <c r="C99" s="1195">
        <v>1873</v>
      </c>
      <c r="D99" s="1195" t="s">
        <v>3444</v>
      </c>
      <c r="E99" s="1195">
        <v>1873</v>
      </c>
      <c r="F99" s="1193" t="s">
        <v>290</v>
      </c>
      <c r="G99" s="1193" t="s">
        <v>2099</v>
      </c>
      <c r="H99" s="1196"/>
      <c r="I99" s="1197"/>
      <c r="J99" s="1197"/>
      <c r="K99" s="1197"/>
      <c r="L99" s="150">
        <f t="shared" si="5"/>
        <v>1532</v>
      </c>
      <c r="M99" s="151" t="str">
        <f t="shared" si="6"/>
        <v>FPA C.C.A.M.Q.</v>
      </c>
      <c r="N99" s="152">
        <f>+IF(OR($Q99=Parametres!$G$2,$Q99=Parametres!$G$3),I99,C99)</f>
        <v>1873</v>
      </c>
      <c r="O99" s="1084" t="str">
        <f>+IF(OR($Q99=Parametres!$G$2,$Q99=Parametres!$G$3),J99,D99)</f>
        <v xml:space="preserve">                       -   </v>
      </c>
      <c r="P99" s="152">
        <f>+IF(OR($Q99=Parametres!$G$2,$Q99=Parametres!$G$3),K99,E99)</f>
        <v>1873</v>
      </c>
      <c r="Q99" s="151" t="str">
        <f t="shared" si="7"/>
        <v>2-Actifs</v>
      </c>
      <c r="R99" s="150" t="str">
        <f t="shared" si="8"/>
        <v>1500</v>
      </c>
      <c r="S99" s="151">
        <f t="shared" si="9"/>
        <v>0</v>
      </c>
      <c r="T99" s="153">
        <f>+VLOOKUP($L99,Data_Validation!$A:$D,1,0)</f>
        <v>1532</v>
      </c>
      <c r="U99" s="153" t="str">
        <f>+VLOOKUP($L99,Data_Validation!$A:$D,3,0)</f>
        <v>Bilan</v>
      </c>
      <c r="V99" s="153" t="str">
        <f>+VLOOKUP($L99,Data_Validation!$A:$D,4,0)</f>
        <v>Frais Payés d'Avance</v>
      </c>
      <c r="W99" s="153" t="str">
        <f>+VLOOKUP($L99,Data_Validation!$A:$E,5,0)</f>
        <v>$</v>
      </c>
      <c r="X99" s="153">
        <f>+VLOOKUP($L99,Data_Validation!$A:$F,6,0)</f>
        <v>0</v>
      </c>
    </row>
    <row r="100" spans="1:24" ht="15" customHeight="1">
      <c r="A100" s="1193" t="s">
        <v>2776</v>
      </c>
      <c r="B100" s="1194">
        <v>1540</v>
      </c>
      <c r="C100" s="1197">
        <v>125.21</v>
      </c>
      <c r="D100" s="1197" t="s">
        <v>3444</v>
      </c>
      <c r="E100" s="1197">
        <v>125.21</v>
      </c>
      <c r="F100" s="1193" t="s">
        <v>290</v>
      </c>
      <c r="G100" s="1193" t="s">
        <v>2099</v>
      </c>
      <c r="H100" s="1196"/>
      <c r="I100" s="1196"/>
      <c r="J100" s="1196"/>
      <c r="K100" s="1196"/>
      <c r="L100" s="150">
        <f t="shared" si="5"/>
        <v>1540</v>
      </c>
      <c r="M100" s="151" t="str">
        <f t="shared" si="6"/>
        <v>FPA CONTRATS DE SERVICES</v>
      </c>
      <c r="N100" s="152">
        <f>+IF(OR($Q100=Parametres!$G$2,$Q100=Parametres!$G$3),I100,C100)</f>
        <v>125.21</v>
      </c>
      <c r="O100" s="1084" t="str">
        <f>+IF(OR($Q100=Parametres!$G$2,$Q100=Parametres!$G$3),J100,D100)</f>
        <v xml:space="preserve">                       -   </v>
      </c>
      <c r="P100" s="152">
        <f>+IF(OR($Q100=Parametres!$G$2,$Q100=Parametres!$G$3),K100,E100)</f>
        <v>125.21</v>
      </c>
      <c r="Q100" s="151" t="str">
        <f t="shared" si="7"/>
        <v>2-Actifs</v>
      </c>
      <c r="R100" s="150" t="str">
        <f t="shared" si="8"/>
        <v>1500</v>
      </c>
      <c r="S100" s="151">
        <f t="shared" si="9"/>
        <v>0</v>
      </c>
      <c r="T100" s="153">
        <f>+VLOOKUP($L100,Data_Validation!$A:$D,1,0)</f>
        <v>1540</v>
      </c>
      <c r="U100" s="153" t="str">
        <f>+VLOOKUP($L100,Data_Validation!$A:$D,3,0)</f>
        <v>Bilan</v>
      </c>
      <c r="V100" s="153" t="str">
        <f>+VLOOKUP($L100,Data_Validation!$A:$D,4,0)</f>
        <v>Frais Payés d'Avance</v>
      </c>
      <c r="W100" s="153" t="str">
        <f>+VLOOKUP($L100,Data_Validation!$A:$E,5,0)</f>
        <v>$</v>
      </c>
      <c r="X100" s="153">
        <f>+VLOOKUP($L100,Data_Validation!$A:$F,6,0)</f>
        <v>0</v>
      </c>
    </row>
    <row r="101" spans="1:24" ht="15" customHeight="1">
      <c r="A101" s="1193" t="s">
        <v>2194</v>
      </c>
      <c r="B101" s="1194">
        <v>1544</v>
      </c>
      <c r="C101" s="1197">
        <v>-3525.13</v>
      </c>
      <c r="D101" s="1197" t="s">
        <v>3444</v>
      </c>
      <c r="E101" s="1197">
        <v>-3525.13</v>
      </c>
      <c r="F101" s="1193" t="s">
        <v>290</v>
      </c>
      <c r="G101" s="1193" t="s">
        <v>2099</v>
      </c>
      <c r="H101" s="1196"/>
      <c r="I101" s="1196"/>
      <c r="J101" s="1196"/>
      <c r="K101" s="1196"/>
      <c r="L101" s="150">
        <f t="shared" si="5"/>
        <v>1544</v>
      </c>
      <c r="M101" s="151" t="str">
        <f t="shared" si="6"/>
        <v>FPA GAZ METROPOLITAIN</v>
      </c>
      <c r="N101" s="152">
        <f>+IF(OR($Q101=Parametres!$G$2,$Q101=Parametres!$G$3),I101,C101)</f>
        <v>-3525.13</v>
      </c>
      <c r="O101" s="1084" t="str">
        <f>+IF(OR($Q101=Parametres!$G$2,$Q101=Parametres!$G$3),J101,D101)</f>
        <v xml:space="preserve">                       -   </v>
      </c>
      <c r="P101" s="152">
        <f>+IF(OR($Q101=Parametres!$G$2,$Q101=Parametres!$G$3),K101,E101)</f>
        <v>-3525.13</v>
      </c>
      <c r="Q101" s="151" t="str">
        <f t="shared" si="7"/>
        <v>2-Actifs</v>
      </c>
      <c r="R101" s="150" t="str">
        <f t="shared" si="8"/>
        <v>1500</v>
      </c>
      <c r="S101" s="151">
        <f t="shared" si="9"/>
        <v>0</v>
      </c>
      <c r="T101" s="153">
        <f>+VLOOKUP($L101,Data_Validation!$A:$D,1,0)</f>
        <v>1544</v>
      </c>
      <c r="U101" s="153" t="str">
        <f>+VLOOKUP($L101,Data_Validation!$A:$D,3,0)</f>
        <v>Bilan</v>
      </c>
      <c r="V101" s="153" t="str">
        <f>+VLOOKUP($L101,Data_Validation!$A:$D,4,0)</f>
        <v>Autres Courus</v>
      </c>
      <c r="W101" s="153" t="str">
        <f>+VLOOKUP($L101,Data_Validation!$A:$E,5,0)</f>
        <v>$</v>
      </c>
      <c r="X101" s="153">
        <f>+VLOOKUP($L101,Data_Validation!$A:$F,6,0)</f>
        <v>0</v>
      </c>
    </row>
    <row r="102" spans="1:24" ht="15" customHeight="1">
      <c r="A102" s="1193" t="s">
        <v>2179</v>
      </c>
      <c r="B102" s="1194">
        <v>1546</v>
      </c>
      <c r="C102" s="1197">
        <v>1834.58</v>
      </c>
      <c r="D102" s="1197" t="s">
        <v>3444</v>
      </c>
      <c r="E102" s="1197">
        <v>1834.58</v>
      </c>
      <c r="F102" s="1193" t="s">
        <v>290</v>
      </c>
      <c r="G102" s="1193" t="s">
        <v>2099</v>
      </c>
      <c r="H102" s="1196"/>
      <c r="I102" s="1196"/>
      <c r="J102" s="1196"/>
      <c r="K102" s="1196"/>
      <c r="L102" s="150">
        <f t="shared" si="5"/>
        <v>1546</v>
      </c>
      <c r="M102" s="151" t="str">
        <f t="shared" si="6"/>
        <v>FPA ELECTRICITE HYDRO-QUEBEC</v>
      </c>
      <c r="N102" s="152">
        <f>+IF(OR($Q102=Parametres!$G$2,$Q102=Parametres!$G$3),I102,C102)</f>
        <v>1834.58</v>
      </c>
      <c r="O102" s="1084" t="str">
        <f>+IF(OR($Q102=Parametres!$G$2,$Q102=Parametres!$G$3),J102,D102)</f>
        <v xml:space="preserve">                       -   </v>
      </c>
      <c r="P102" s="152">
        <f>+IF(OR($Q102=Parametres!$G$2,$Q102=Parametres!$G$3),K102,E102)</f>
        <v>1834.58</v>
      </c>
      <c r="Q102" s="151" t="str">
        <f t="shared" si="7"/>
        <v>2-Actifs</v>
      </c>
      <c r="R102" s="150" t="str">
        <f t="shared" si="8"/>
        <v>1500</v>
      </c>
      <c r="S102" s="151">
        <f t="shared" si="9"/>
        <v>0</v>
      </c>
      <c r="T102" s="153">
        <f>+VLOOKUP($L102,Data_Validation!$A:$D,1,0)</f>
        <v>1546</v>
      </c>
      <c r="U102" s="153" t="str">
        <f>+VLOOKUP($L102,Data_Validation!$A:$D,3,0)</f>
        <v>Bilan</v>
      </c>
      <c r="V102" s="153" t="str">
        <f>+VLOOKUP($L102,Data_Validation!$A:$D,4,0)</f>
        <v>Autres Courus</v>
      </c>
      <c r="W102" s="153" t="str">
        <f>+VLOOKUP($L102,Data_Validation!$A:$E,5,0)</f>
        <v>$</v>
      </c>
      <c r="X102" s="153">
        <f>+VLOOKUP($L102,Data_Validation!$A:$F,6,0)</f>
        <v>0</v>
      </c>
    </row>
    <row r="103" spans="1:24" ht="15.75" customHeight="1">
      <c r="A103" s="1193" t="s">
        <v>2115</v>
      </c>
      <c r="B103" s="1194">
        <v>1552</v>
      </c>
      <c r="C103" s="1197">
        <v>8590</v>
      </c>
      <c r="D103" s="1197">
        <v>30986.79</v>
      </c>
      <c r="E103" s="1197">
        <v>39576.79</v>
      </c>
      <c r="F103" s="1193" t="s">
        <v>290</v>
      </c>
      <c r="G103" s="1193" t="s">
        <v>2099</v>
      </c>
      <c r="H103" s="1196"/>
      <c r="I103" s="1196"/>
      <c r="J103" s="1196"/>
      <c r="K103" s="1196"/>
      <c r="L103" s="150">
        <f t="shared" si="5"/>
        <v>1552</v>
      </c>
      <c r="M103" s="151" t="str">
        <f t="shared" si="6"/>
        <v>FPA C.S.S.T.</v>
      </c>
      <c r="N103" s="152">
        <f>+IF(OR($Q103=Parametres!$G$2,$Q103=Parametres!$G$3),I103,C103)</f>
        <v>8590</v>
      </c>
      <c r="O103" s="1084">
        <f>+IF(OR($Q103=Parametres!$G$2,$Q103=Parametres!$G$3),J103,D103)</f>
        <v>30986.79</v>
      </c>
      <c r="P103" s="152">
        <f>+IF(OR($Q103=Parametres!$G$2,$Q103=Parametres!$G$3),K103,E103)</f>
        <v>39576.79</v>
      </c>
      <c r="Q103" s="151" t="str">
        <f t="shared" si="7"/>
        <v>2-Actifs</v>
      </c>
      <c r="R103" s="150" t="str">
        <f t="shared" si="8"/>
        <v>1500</v>
      </c>
      <c r="S103" s="151">
        <f t="shared" si="9"/>
        <v>0</v>
      </c>
      <c r="T103" s="153">
        <f>+VLOOKUP($L103,Data_Validation!$A:$D,1,0)</f>
        <v>1552</v>
      </c>
      <c r="U103" s="153" t="str">
        <f>+VLOOKUP($L103,Data_Validation!$A:$D,3,0)</f>
        <v>Bilan</v>
      </c>
      <c r="V103" s="153" t="str">
        <f>+VLOOKUP($L103,Data_Validation!$A:$D,4,0)</f>
        <v>Frais Payés d'Avance</v>
      </c>
      <c r="W103" s="153" t="str">
        <f>+VLOOKUP($L103,Data_Validation!$A:$E,5,0)</f>
        <v>$</v>
      </c>
      <c r="X103" s="153">
        <f>+VLOOKUP($L103,Data_Validation!$A:$F,6,0)</f>
        <v>0</v>
      </c>
    </row>
    <row r="104" spans="1:24" ht="15" customHeight="1">
      <c r="A104" s="1193" t="s">
        <v>2956</v>
      </c>
      <c r="B104" s="1194">
        <v>1553</v>
      </c>
      <c r="C104" s="1197">
        <v>-29952</v>
      </c>
      <c r="D104" s="1197" t="s">
        <v>3444</v>
      </c>
      <c r="E104" s="1197">
        <v>-29952</v>
      </c>
      <c r="F104" s="1193" t="s">
        <v>290</v>
      </c>
      <c r="G104" s="1193" t="s">
        <v>2099</v>
      </c>
      <c r="H104" s="1196"/>
      <c r="I104" s="1196"/>
      <c r="J104" s="1196"/>
      <c r="K104" s="1196"/>
      <c r="L104" s="150">
        <f t="shared" si="5"/>
        <v>1553</v>
      </c>
      <c r="M104" s="151" t="str">
        <f t="shared" si="6"/>
        <v>CSST A PAYER OU RECEVOIR</v>
      </c>
      <c r="N104" s="152">
        <f>+IF(OR($Q104=Parametres!$G$2,$Q104=Parametres!$G$3),I104,C104)</f>
        <v>-29952</v>
      </c>
      <c r="O104" s="1084" t="str">
        <f>+IF(OR($Q104=Parametres!$G$2,$Q104=Parametres!$G$3),J104,D104)</f>
        <v xml:space="preserve">                       -   </v>
      </c>
      <c r="P104" s="152">
        <f>+IF(OR($Q104=Parametres!$G$2,$Q104=Parametres!$G$3),K104,E104)</f>
        <v>-29952</v>
      </c>
      <c r="Q104" s="151" t="str">
        <f t="shared" si="7"/>
        <v>2-Actifs</v>
      </c>
      <c r="R104" s="150" t="str">
        <f t="shared" si="8"/>
        <v>1500</v>
      </c>
      <c r="S104" s="151">
        <f t="shared" si="9"/>
        <v>0</v>
      </c>
      <c r="T104" s="153">
        <f>+VLOOKUP($L104,Data_Validation!$A:$D,1,0)</f>
        <v>1553</v>
      </c>
      <c r="U104" s="153" t="str">
        <f>+VLOOKUP($L104,Data_Validation!$A:$D,3,0)</f>
        <v>Bilan</v>
      </c>
      <c r="V104" s="153" t="str">
        <f>+VLOOKUP($L104,Data_Validation!$A:$D,4,0)</f>
        <v>Frais Payés d'Avance</v>
      </c>
      <c r="W104" s="153" t="str">
        <f>+VLOOKUP($L104,Data_Validation!$A:$E,5,0)</f>
        <v>$</v>
      </c>
      <c r="X104" s="153">
        <f>+VLOOKUP($L104,Data_Validation!$A:$F,6,0)</f>
        <v>0</v>
      </c>
    </row>
    <row r="105" spans="1:24" ht="15" customHeight="1">
      <c r="A105" s="1193" t="s">
        <v>2109</v>
      </c>
      <c r="B105" s="1194">
        <v>1582</v>
      </c>
      <c r="C105" s="1197">
        <v>13158.82</v>
      </c>
      <c r="D105" s="1197">
        <v>-7906.21</v>
      </c>
      <c r="E105" s="1197">
        <v>5252.61</v>
      </c>
      <c r="F105" s="1193" t="s">
        <v>290</v>
      </c>
      <c r="G105" s="1193" t="s">
        <v>2099</v>
      </c>
      <c r="H105" s="1196"/>
      <c r="I105" s="1196"/>
      <c r="J105" s="1196"/>
      <c r="K105" s="1196"/>
      <c r="L105" s="150">
        <f t="shared" si="5"/>
        <v>1582</v>
      </c>
      <c r="M105" s="151" t="str">
        <f t="shared" si="6"/>
        <v>FPA TAXES MUNICIPALES</v>
      </c>
      <c r="N105" s="152">
        <f>+IF(OR($Q105=Parametres!$G$2,$Q105=Parametres!$G$3),I105,C105)</f>
        <v>13158.82</v>
      </c>
      <c r="O105" s="1084">
        <f>+IF(OR($Q105=Parametres!$G$2,$Q105=Parametres!$G$3),J105,D105)</f>
        <v>-7906.21</v>
      </c>
      <c r="P105" s="152">
        <f>+IF(OR($Q105=Parametres!$G$2,$Q105=Parametres!$G$3),K105,E105)</f>
        <v>5252.61</v>
      </c>
      <c r="Q105" s="151" t="str">
        <f t="shared" si="7"/>
        <v>2-Actifs</v>
      </c>
      <c r="R105" s="150" t="str">
        <f t="shared" si="8"/>
        <v>1500</v>
      </c>
      <c r="S105" s="151">
        <f t="shared" si="9"/>
        <v>0</v>
      </c>
      <c r="T105" s="153">
        <f>+VLOOKUP($L105,Data_Validation!$A:$D,1,0)</f>
        <v>1582</v>
      </c>
      <c r="U105" s="153" t="str">
        <f>+VLOOKUP($L105,Data_Validation!$A:$D,3,0)</f>
        <v>Bilan</v>
      </c>
      <c r="V105" s="153" t="str">
        <f>+VLOOKUP($L105,Data_Validation!$A:$D,4,0)</f>
        <v>Frais Payés d'Avance</v>
      </c>
      <c r="W105" s="153" t="str">
        <f>+VLOOKUP($L105,Data_Validation!$A:$E,5,0)</f>
        <v>$</v>
      </c>
      <c r="X105" s="153">
        <f>+VLOOKUP($L105,Data_Validation!$A:$F,6,0)</f>
        <v>0</v>
      </c>
    </row>
    <row r="106" spans="1:24" ht="15" customHeight="1">
      <c r="A106" s="1193" t="s">
        <v>2170</v>
      </c>
      <c r="B106" s="1194">
        <v>1586</v>
      </c>
      <c r="C106" s="1197">
        <v>607.58000000000004</v>
      </c>
      <c r="D106" s="1197">
        <v>-303.79000000000002</v>
      </c>
      <c r="E106" s="1197">
        <v>303.79000000000002</v>
      </c>
      <c r="F106" s="1193" t="s">
        <v>290</v>
      </c>
      <c r="G106" s="1193" t="s">
        <v>2099</v>
      </c>
      <c r="H106" s="1196"/>
      <c r="I106" s="1196"/>
      <c r="J106" s="1196"/>
      <c r="K106" s="1196"/>
      <c r="L106" s="150">
        <f t="shared" si="5"/>
        <v>1586</v>
      </c>
      <c r="M106" s="151" t="str">
        <f t="shared" si="6"/>
        <v>FPA TAXES SCOLAIRES</v>
      </c>
      <c r="N106" s="152">
        <f>+IF(OR($Q106=Parametres!$G$2,$Q106=Parametres!$G$3),I106,C106)</f>
        <v>607.58000000000004</v>
      </c>
      <c r="O106" s="1084">
        <f>+IF(OR($Q106=Parametres!$G$2,$Q106=Parametres!$G$3),J106,D106)</f>
        <v>-303.79000000000002</v>
      </c>
      <c r="P106" s="152">
        <f>+IF(OR($Q106=Parametres!$G$2,$Q106=Parametres!$G$3),K106,E106)</f>
        <v>303.79000000000002</v>
      </c>
      <c r="Q106" s="151" t="str">
        <f t="shared" si="7"/>
        <v>2-Actifs</v>
      </c>
      <c r="R106" s="150" t="str">
        <f t="shared" si="8"/>
        <v>1500</v>
      </c>
      <c r="S106" s="151">
        <f t="shared" si="9"/>
        <v>0</v>
      </c>
      <c r="T106" s="153">
        <f>+VLOOKUP($L106,Data_Validation!$A:$D,1,0)</f>
        <v>1586</v>
      </c>
      <c r="U106" s="153" t="str">
        <f>+VLOOKUP($L106,Data_Validation!$A:$D,3,0)</f>
        <v>Bilan</v>
      </c>
      <c r="V106" s="153" t="str">
        <f>+VLOOKUP($L106,Data_Validation!$A:$D,4,0)</f>
        <v>Frais Payés d'Avance</v>
      </c>
      <c r="W106" s="153" t="str">
        <f>+VLOOKUP($L106,Data_Validation!$A:$E,5,0)</f>
        <v>$</v>
      </c>
      <c r="X106" s="153">
        <f>+VLOOKUP($L106,Data_Validation!$A:$F,6,0)</f>
        <v>0</v>
      </c>
    </row>
    <row r="107" spans="1:24" ht="15" customHeight="1">
      <c r="A107" s="1193" t="s">
        <v>2931</v>
      </c>
      <c r="B107" s="1194">
        <v>1591</v>
      </c>
      <c r="C107" s="1197" t="s">
        <v>3277</v>
      </c>
      <c r="D107" s="1197">
        <v>4518.8</v>
      </c>
      <c r="E107" s="1197">
        <v>4518.8</v>
      </c>
      <c r="F107" s="1193" t="s">
        <v>290</v>
      </c>
      <c r="G107" s="1193" t="s">
        <v>2099</v>
      </c>
      <c r="H107" s="1196"/>
      <c r="I107" s="1196"/>
      <c r="J107" s="1196"/>
      <c r="K107" s="1196"/>
      <c r="L107" s="150">
        <f t="shared" si="5"/>
        <v>1591</v>
      </c>
      <c r="M107" s="151" t="str">
        <f t="shared" si="6"/>
        <v>FPA PAYABLES</v>
      </c>
      <c r="N107" s="152" t="str">
        <f>+IF(OR($Q107=Parametres!$G$2,$Q107=Parametres!$G$3),I107,C107)</f>
        <v xml:space="preserve">                                 -   </v>
      </c>
      <c r="O107" s="1084">
        <f>+IF(OR($Q107=Parametres!$G$2,$Q107=Parametres!$G$3),J107,D107)</f>
        <v>4518.8</v>
      </c>
      <c r="P107" s="152">
        <f>+IF(OR($Q107=Parametres!$G$2,$Q107=Parametres!$G$3),K107,E107)</f>
        <v>4518.8</v>
      </c>
      <c r="Q107" s="151" t="str">
        <f t="shared" si="7"/>
        <v>2-Actifs</v>
      </c>
      <c r="R107" s="150" t="str">
        <f t="shared" si="8"/>
        <v>1500</v>
      </c>
      <c r="S107" s="151">
        <f t="shared" si="9"/>
        <v>0</v>
      </c>
      <c r="T107" s="153">
        <f>+VLOOKUP($L107,Data_Validation!$A:$D,1,0)</f>
        <v>1591</v>
      </c>
      <c r="U107" s="153" t="str">
        <f>+VLOOKUP($L107,Data_Validation!$A:$D,3,0)</f>
        <v>Bilan</v>
      </c>
      <c r="V107" s="153" t="str">
        <f>+VLOOKUP($L107,Data_Validation!$A:$D,4,0)</f>
        <v>Frais Payés d'Avance</v>
      </c>
      <c r="W107" s="153" t="str">
        <f>+VLOOKUP($L107,Data_Validation!$A:$E,5,0)</f>
        <v>$</v>
      </c>
      <c r="X107" s="153">
        <f>+VLOOKUP($L107,Data_Validation!$A:$F,6,0)</f>
        <v>0</v>
      </c>
    </row>
    <row r="108" spans="1:24" ht="15" customHeight="1">
      <c r="A108" s="1193" t="s">
        <v>2794</v>
      </c>
      <c r="B108" s="1194">
        <v>1592</v>
      </c>
      <c r="C108" s="1197">
        <v>-24984.07</v>
      </c>
      <c r="D108" s="1197">
        <v>-1432.41</v>
      </c>
      <c r="E108" s="1197">
        <v>-26416.48</v>
      </c>
      <c r="F108" s="1193" t="s">
        <v>290</v>
      </c>
      <c r="G108" s="1193" t="s">
        <v>2099</v>
      </c>
      <c r="H108" s="1196"/>
      <c r="I108" s="1196"/>
      <c r="J108" s="1196"/>
      <c r="K108" s="1196"/>
      <c r="L108" s="150">
        <f t="shared" si="5"/>
        <v>1592</v>
      </c>
      <c r="M108" s="151" t="str">
        <f t="shared" si="6"/>
        <v>FPA AUTRES</v>
      </c>
      <c r="N108" s="152">
        <f>+IF(OR($Q108=Parametres!$G$2,$Q108=Parametres!$G$3),I108,C108)</f>
        <v>-24984.07</v>
      </c>
      <c r="O108" s="1082">
        <f>+IF(OR($Q108=Parametres!$G$2,$Q108=Parametres!$G$3),J108,D108)</f>
        <v>-1432.41</v>
      </c>
      <c r="P108" s="152">
        <f>+IF(OR($Q108=Parametres!$G$2,$Q108=Parametres!$G$3),K108,E108)</f>
        <v>-26416.48</v>
      </c>
      <c r="Q108" s="151" t="str">
        <f t="shared" si="7"/>
        <v>2-Actifs</v>
      </c>
      <c r="R108" s="150" t="str">
        <f t="shared" si="8"/>
        <v>1500</v>
      </c>
      <c r="S108" s="151">
        <f t="shared" si="9"/>
        <v>0</v>
      </c>
      <c r="T108" s="153">
        <f>+VLOOKUP($L108,Data_Validation!$A:$D,1,0)</f>
        <v>1592</v>
      </c>
      <c r="U108" s="153" t="str">
        <f>+VLOOKUP($L108,Data_Validation!$A:$D,3,0)</f>
        <v>Bilan</v>
      </c>
      <c r="V108" s="153" t="str">
        <f>+VLOOKUP($L108,Data_Validation!$A:$D,4,0)</f>
        <v>Frais Payés d'Avance</v>
      </c>
      <c r="W108" s="153" t="str">
        <f>+VLOOKUP($L108,Data_Validation!$A:$E,5,0)</f>
        <v>$</v>
      </c>
      <c r="X108" s="153">
        <f>+VLOOKUP($L108,Data_Validation!$A:$F,6,0)</f>
        <v>0</v>
      </c>
    </row>
    <row r="109" spans="1:24" ht="15.75" customHeight="1">
      <c r="A109" s="1193" t="s">
        <v>2391</v>
      </c>
      <c r="B109" s="1194">
        <v>1732</v>
      </c>
      <c r="C109" s="1197">
        <v>144370.28</v>
      </c>
      <c r="D109" s="1197" t="s">
        <v>3444</v>
      </c>
      <c r="E109" s="1197">
        <v>144370.28</v>
      </c>
      <c r="F109" s="1193" t="s">
        <v>290</v>
      </c>
      <c r="G109" s="1193" t="s">
        <v>2121</v>
      </c>
      <c r="H109" s="1196"/>
      <c r="I109" s="1196"/>
      <c r="J109" s="1196"/>
      <c r="K109" s="1196"/>
      <c r="L109" s="150">
        <f t="shared" si="5"/>
        <v>1732</v>
      </c>
      <c r="M109" s="151" t="str">
        <f t="shared" si="6"/>
        <v>AMELIOR. LOCATIVES</v>
      </c>
      <c r="N109" s="152">
        <f>+IF(OR($Q109=Parametres!$G$2,$Q109=Parametres!$G$3),I109,C109)</f>
        <v>144370.28</v>
      </c>
      <c r="O109" s="1084" t="str">
        <f>+IF(OR($Q109=Parametres!$G$2,$Q109=Parametres!$G$3),J109,D109)</f>
        <v xml:space="preserve">                       -   </v>
      </c>
      <c r="P109" s="152">
        <f>+IF(OR($Q109=Parametres!$G$2,$Q109=Parametres!$G$3),K109,E109)</f>
        <v>144370.28</v>
      </c>
      <c r="Q109" s="151" t="str">
        <f t="shared" si="7"/>
        <v>2-Actifs</v>
      </c>
      <c r="R109" s="150" t="str">
        <f t="shared" si="8"/>
        <v>1700</v>
      </c>
      <c r="S109" s="151">
        <f t="shared" si="9"/>
        <v>0</v>
      </c>
      <c r="T109" s="153">
        <f>+VLOOKUP($L109,Data_Validation!$A:$D,1,0)</f>
        <v>1732</v>
      </c>
      <c r="U109" s="153" t="str">
        <f>+VLOOKUP($L109,Data_Validation!$A:$D,3,0)</f>
        <v>Bilan</v>
      </c>
      <c r="V109" s="153" t="str">
        <f>+VLOOKUP($L109,Data_Validation!$A:$D,4,0)</f>
        <v>Améliorations Locatives</v>
      </c>
      <c r="W109" s="153" t="str">
        <f>+VLOOKUP($L109,Data_Validation!$A:$E,5,0)</f>
        <v>$</v>
      </c>
      <c r="X109" s="153">
        <f>+VLOOKUP($L109,Data_Validation!$A:$F,6,0)</f>
        <v>0</v>
      </c>
    </row>
    <row r="110" spans="1:24" ht="15" customHeight="1">
      <c r="A110" s="1193" t="s">
        <v>2149</v>
      </c>
      <c r="B110" s="1194">
        <v>1733</v>
      </c>
      <c r="C110" s="1197">
        <v>-100000.02</v>
      </c>
      <c r="D110" s="1197">
        <v>-225</v>
      </c>
      <c r="E110" s="1197">
        <v>-100225.02</v>
      </c>
      <c r="F110" s="1193" t="s">
        <v>290</v>
      </c>
      <c r="G110" s="1193" t="s">
        <v>2121</v>
      </c>
      <c r="H110" s="1196"/>
      <c r="I110" s="1196"/>
      <c r="J110" s="1196"/>
      <c r="K110" s="1196"/>
      <c r="L110" s="150">
        <f t="shared" si="5"/>
        <v>1733</v>
      </c>
      <c r="M110" s="151" t="str">
        <f t="shared" si="6"/>
        <v>AMORT. CUM. AMEL. LOCAT.</v>
      </c>
      <c r="N110" s="152">
        <f>+IF(OR($Q110=Parametres!$G$2,$Q110=Parametres!$G$3),I110,C110)</f>
        <v>-100000.02</v>
      </c>
      <c r="O110" s="1084">
        <f>+IF(OR($Q110=Parametres!$G$2,$Q110=Parametres!$G$3),J110,D110)</f>
        <v>-225</v>
      </c>
      <c r="P110" s="152">
        <f>+IF(OR($Q110=Parametres!$G$2,$Q110=Parametres!$G$3),K110,E110)</f>
        <v>-100225.02</v>
      </c>
      <c r="Q110" s="151" t="str">
        <f t="shared" si="7"/>
        <v>2-Actifs</v>
      </c>
      <c r="R110" s="150" t="str">
        <f t="shared" si="8"/>
        <v>1700</v>
      </c>
      <c r="S110" s="151">
        <f t="shared" si="9"/>
        <v>0</v>
      </c>
      <c r="T110" s="153">
        <f>+VLOOKUP($L110,Data_Validation!$A:$D,1,0)</f>
        <v>1733</v>
      </c>
      <c r="U110" s="153" t="str">
        <f>+VLOOKUP($L110,Data_Validation!$A:$D,3,0)</f>
        <v>Bilan</v>
      </c>
      <c r="V110" s="153" t="str">
        <f>+VLOOKUP($L110,Data_Validation!$A:$D,4,0)</f>
        <v>Améliorations Locatives</v>
      </c>
      <c r="W110" s="153" t="str">
        <f>+VLOOKUP($L110,Data_Validation!$A:$E,5,0)</f>
        <v>$</v>
      </c>
      <c r="X110" s="153">
        <f>+VLOOKUP($L110,Data_Validation!$A:$F,6,0)</f>
        <v>0</v>
      </c>
    </row>
    <row r="111" spans="1:24" ht="15" customHeight="1">
      <c r="A111" s="1193" t="s">
        <v>2393</v>
      </c>
      <c r="B111" s="1194">
        <v>1742</v>
      </c>
      <c r="C111" s="1197">
        <v>954256.21</v>
      </c>
      <c r="D111" s="1197" t="s">
        <v>3444</v>
      </c>
      <c r="E111" s="1197">
        <v>954256.21</v>
      </c>
      <c r="F111" s="1193" t="s">
        <v>290</v>
      </c>
      <c r="G111" s="1193" t="s">
        <v>2121</v>
      </c>
      <c r="H111" s="987"/>
      <c r="I111" s="987"/>
      <c r="J111" s="987"/>
      <c r="K111" s="987"/>
      <c r="L111" s="150">
        <f t="shared" si="5"/>
        <v>1742</v>
      </c>
      <c r="M111" s="151" t="str">
        <f t="shared" si="6"/>
        <v>MACHINERIE &amp; EQUIPEMENT</v>
      </c>
      <c r="N111" s="152">
        <f>+IF(OR($Q111=Parametres!$G$2,$Q111=Parametres!$G$3),I111,C111)</f>
        <v>954256.21</v>
      </c>
      <c r="O111" s="1084" t="str">
        <f>+IF(OR($Q111=Parametres!$G$2,$Q111=Parametres!$G$3),J111,D111)</f>
        <v xml:space="preserve">                       -   </v>
      </c>
      <c r="P111" s="152">
        <f>+IF(OR($Q111=Parametres!$G$2,$Q111=Parametres!$G$3),K111,E111)</f>
        <v>954256.21</v>
      </c>
      <c r="Q111" s="151" t="str">
        <f t="shared" si="7"/>
        <v>2-Actifs</v>
      </c>
      <c r="R111" s="150" t="str">
        <f t="shared" si="8"/>
        <v>1700</v>
      </c>
      <c r="S111" s="151">
        <f t="shared" si="9"/>
        <v>0</v>
      </c>
      <c r="T111" s="153">
        <f>+VLOOKUP($L111,Data_Validation!$A:$D,1,0)</f>
        <v>1742</v>
      </c>
      <c r="U111" s="153" t="str">
        <f>+VLOOKUP($L111,Data_Validation!$A:$D,3,0)</f>
        <v>Bilan</v>
      </c>
      <c r="V111" s="153" t="str">
        <f>+VLOOKUP($L111,Data_Validation!$A:$D,4,0)</f>
        <v>Équipements Service</v>
      </c>
      <c r="W111" s="153" t="str">
        <f>+VLOOKUP($L111,Data_Validation!$A:$E,5,0)</f>
        <v>$</v>
      </c>
      <c r="X111" s="153">
        <f>+VLOOKUP($L111,Data_Validation!$A:$F,6,0)</f>
        <v>0</v>
      </c>
    </row>
    <row r="112" spans="1:24" ht="15" customHeight="1">
      <c r="A112" s="1193" t="s">
        <v>2119</v>
      </c>
      <c r="B112" s="1194">
        <v>1743</v>
      </c>
      <c r="C112" s="1197">
        <v>-795637.08</v>
      </c>
      <c r="D112" s="1197">
        <v>-2612</v>
      </c>
      <c r="E112" s="1197">
        <v>-798249.08</v>
      </c>
      <c r="F112" s="1193" t="s">
        <v>290</v>
      </c>
      <c r="G112" s="1193" t="s">
        <v>2121</v>
      </c>
      <c r="H112" s="928"/>
      <c r="I112" s="928"/>
      <c r="J112" s="928"/>
      <c r="K112" s="928"/>
      <c r="L112" s="150">
        <f t="shared" si="5"/>
        <v>1743</v>
      </c>
      <c r="M112" s="151" t="str">
        <f t="shared" si="6"/>
        <v>AMORTISS.MACHINERIE &amp; EQUIP.</v>
      </c>
      <c r="N112" s="152">
        <f>+IF(OR($Q112=Parametres!$G$2,$Q112=Parametres!$G$3),I112,C112)</f>
        <v>-795637.08</v>
      </c>
      <c r="O112" s="1084">
        <f>+IF(OR($Q112=Parametres!$G$2,$Q112=Parametres!$G$3),J112,D112)</f>
        <v>-2612</v>
      </c>
      <c r="P112" s="152">
        <f>+IF(OR($Q112=Parametres!$G$2,$Q112=Parametres!$G$3),K112,E112)</f>
        <v>-798249.08</v>
      </c>
      <c r="Q112" s="151" t="str">
        <f t="shared" si="7"/>
        <v>2-Actifs</v>
      </c>
      <c r="R112" s="150" t="str">
        <f t="shared" si="8"/>
        <v>1700</v>
      </c>
      <c r="S112" s="151">
        <f t="shared" si="9"/>
        <v>0</v>
      </c>
      <c r="T112" s="153">
        <f>+VLOOKUP($L112,Data_Validation!$A:$D,1,0)</f>
        <v>1743</v>
      </c>
      <c r="U112" s="153" t="str">
        <f>+VLOOKUP($L112,Data_Validation!$A:$D,3,0)</f>
        <v>Bilan</v>
      </c>
      <c r="V112" s="153" t="str">
        <f>+VLOOKUP($L112,Data_Validation!$A:$D,4,0)</f>
        <v>Équipements Service</v>
      </c>
      <c r="W112" s="153" t="str">
        <f>+VLOOKUP($L112,Data_Validation!$A:$E,5,0)</f>
        <v>$</v>
      </c>
      <c r="X112" s="153">
        <f>+VLOOKUP($L112,Data_Validation!$A:$F,6,0)</f>
        <v>0</v>
      </c>
    </row>
    <row r="113" spans="1:24" ht="15.75" customHeight="1">
      <c r="A113" s="1193" t="s">
        <v>2395</v>
      </c>
      <c r="B113" s="1194">
        <v>1744</v>
      </c>
      <c r="C113" s="1197">
        <v>47461.59</v>
      </c>
      <c r="D113" s="1197" t="s">
        <v>3444</v>
      </c>
      <c r="E113" s="1197">
        <v>47461.59</v>
      </c>
      <c r="F113" s="1193" t="s">
        <v>290</v>
      </c>
      <c r="G113" s="1193" t="s">
        <v>2121</v>
      </c>
      <c r="H113" s="928"/>
      <c r="I113" s="927"/>
      <c r="J113" s="927"/>
      <c r="K113" s="927"/>
      <c r="L113" s="150">
        <f t="shared" si="5"/>
        <v>1744</v>
      </c>
      <c r="M113" s="151" t="str">
        <f t="shared" si="6"/>
        <v>EQUIPEMENT PIECES</v>
      </c>
      <c r="N113" s="152">
        <f>+IF(OR($Q113=Parametres!$G$2,$Q113=Parametres!$G$3),I113,C113)</f>
        <v>47461.59</v>
      </c>
      <c r="O113" s="1084" t="str">
        <f>+IF(OR($Q113=Parametres!$G$2,$Q113=Parametres!$G$3),J113,D113)</f>
        <v xml:space="preserve">                       -   </v>
      </c>
      <c r="P113" s="152">
        <f>+IF(OR($Q113=Parametres!$G$2,$Q113=Parametres!$G$3),K113,E113)</f>
        <v>47461.59</v>
      </c>
      <c r="Q113" s="151" t="str">
        <f t="shared" si="7"/>
        <v>2-Actifs</v>
      </c>
      <c r="R113" s="150" t="str">
        <f t="shared" si="8"/>
        <v>1700</v>
      </c>
      <c r="S113" s="151">
        <f t="shared" si="9"/>
        <v>0</v>
      </c>
      <c r="T113" s="153">
        <f>+VLOOKUP($L113,Data_Validation!$A:$D,1,0)</f>
        <v>1744</v>
      </c>
      <c r="U113" s="153" t="str">
        <f>+VLOOKUP($L113,Data_Validation!$A:$D,3,0)</f>
        <v>Bilan</v>
      </c>
      <c r="V113" s="153" t="str">
        <f>+VLOOKUP($L113,Data_Validation!$A:$D,4,0)</f>
        <v>Équipements Service</v>
      </c>
      <c r="W113" s="153" t="str">
        <f>+VLOOKUP($L113,Data_Validation!$A:$E,5,0)</f>
        <v>$</v>
      </c>
      <c r="X113" s="153">
        <f>+VLOOKUP($L113,Data_Validation!$A:$F,6,0)</f>
        <v>0</v>
      </c>
    </row>
    <row r="114" spans="1:24" ht="15" customHeight="1">
      <c r="A114" s="1193" t="s">
        <v>2190</v>
      </c>
      <c r="B114" s="1194">
        <v>1745</v>
      </c>
      <c r="C114" s="1197">
        <v>-47435.01</v>
      </c>
      <c r="D114" s="1197">
        <v>-8.5</v>
      </c>
      <c r="E114" s="1197">
        <v>-47443.51</v>
      </c>
      <c r="F114" s="1193" t="s">
        <v>290</v>
      </c>
      <c r="G114" s="1193" t="s">
        <v>2121</v>
      </c>
      <c r="H114" s="948"/>
      <c r="I114" s="951"/>
      <c r="J114" s="951"/>
      <c r="K114" s="951"/>
      <c r="L114" s="150">
        <f t="shared" si="5"/>
        <v>1745</v>
      </c>
      <c r="M114" s="151" t="str">
        <f t="shared" si="6"/>
        <v>AMORTISS.EQUIPEMENTS PIECES</v>
      </c>
      <c r="N114" s="152">
        <f>+IF(OR($Q114=Parametres!$G$2,$Q114=Parametres!$G$3),I114,C114)</f>
        <v>-47435.01</v>
      </c>
      <c r="O114" s="1084">
        <f>+IF(OR($Q114=Parametres!$G$2,$Q114=Parametres!$G$3),J114,D114)</f>
        <v>-8.5</v>
      </c>
      <c r="P114" s="152">
        <f>+IF(OR($Q114=Parametres!$G$2,$Q114=Parametres!$G$3),K114,E114)</f>
        <v>-47443.51</v>
      </c>
      <c r="Q114" s="151" t="str">
        <f t="shared" si="7"/>
        <v>2-Actifs</v>
      </c>
      <c r="R114" s="150" t="str">
        <f t="shared" si="8"/>
        <v>1700</v>
      </c>
      <c r="S114" s="151">
        <f t="shared" si="9"/>
        <v>0</v>
      </c>
      <c r="T114" s="153">
        <f>+VLOOKUP($L114,Data_Validation!$A:$D,1,0)</f>
        <v>1745</v>
      </c>
      <c r="U114" s="153" t="str">
        <f>+VLOOKUP($L114,Data_Validation!$A:$D,3,0)</f>
        <v>Bilan</v>
      </c>
      <c r="V114" s="153" t="str">
        <f>+VLOOKUP($L114,Data_Validation!$A:$D,4,0)</f>
        <v>Équipements Service</v>
      </c>
      <c r="W114" s="153" t="str">
        <f>+VLOOKUP($L114,Data_Validation!$A:$E,5,0)</f>
        <v>$</v>
      </c>
      <c r="X114" s="153">
        <f>+VLOOKUP($L114,Data_Validation!$A:$F,6,0)</f>
        <v>0</v>
      </c>
    </row>
    <row r="115" spans="1:24" ht="15" customHeight="1">
      <c r="A115" s="1193" t="s">
        <v>2399</v>
      </c>
      <c r="B115" s="1194">
        <v>1762</v>
      </c>
      <c r="C115" s="1197">
        <v>433206.49</v>
      </c>
      <c r="D115" s="1197">
        <v>2225</v>
      </c>
      <c r="E115" s="1197">
        <v>435431.49</v>
      </c>
      <c r="F115" s="1193" t="s">
        <v>290</v>
      </c>
      <c r="G115" s="1193" t="s">
        <v>2121</v>
      </c>
      <c r="H115" s="948"/>
      <c r="I115" s="951"/>
      <c r="J115" s="951"/>
      <c r="K115" s="951"/>
      <c r="L115" s="150">
        <f t="shared" si="5"/>
        <v>1762</v>
      </c>
      <c r="M115" s="151" t="str">
        <f t="shared" si="6"/>
        <v>AMEUBLEMENT &amp; INSTR.</v>
      </c>
      <c r="N115" s="152">
        <f>+IF(OR($Q115=Parametres!$G$2,$Q115=Parametres!$G$3),I115,C115)</f>
        <v>433206.49</v>
      </c>
      <c r="O115" s="1084">
        <f>+IF(OR($Q115=Parametres!$G$2,$Q115=Parametres!$G$3),J115,D115)</f>
        <v>2225</v>
      </c>
      <c r="P115" s="152">
        <f>+IF(OR($Q115=Parametres!$G$2,$Q115=Parametres!$G$3),K115,E115)</f>
        <v>435431.49</v>
      </c>
      <c r="Q115" s="151" t="str">
        <f t="shared" si="7"/>
        <v>2-Actifs</v>
      </c>
      <c r="R115" s="150" t="str">
        <f t="shared" si="8"/>
        <v>1700</v>
      </c>
      <c r="S115" s="151">
        <f t="shared" si="9"/>
        <v>0</v>
      </c>
      <c r="T115" s="153">
        <f>+VLOOKUP($L115,Data_Validation!$A:$D,1,0)</f>
        <v>1762</v>
      </c>
      <c r="U115" s="153" t="str">
        <f>+VLOOKUP($L115,Data_Validation!$A:$D,3,0)</f>
        <v>Bilan</v>
      </c>
      <c r="V115" s="153" t="str">
        <f>+VLOOKUP($L115,Data_Validation!$A:$D,4,0)</f>
        <v>Mobilier</v>
      </c>
      <c r="W115" s="153" t="str">
        <f>+VLOOKUP($L115,Data_Validation!$A:$E,5,0)</f>
        <v>$</v>
      </c>
      <c r="X115" s="153">
        <f>+VLOOKUP($L115,Data_Validation!$A:$F,6,0)</f>
        <v>0</v>
      </c>
    </row>
    <row r="116" spans="1:24" ht="15" customHeight="1">
      <c r="A116" s="1193" t="s">
        <v>2156</v>
      </c>
      <c r="B116" s="1194">
        <v>1763</v>
      </c>
      <c r="C116" s="1197">
        <v>-404414.7</v>
      </c>
      <c r="D116" s="1197">
        <v>-497</v>
      </c>
      <c r="E116" s="1197">
        <v>-404911.7</v>
      </c>
      <c r="F116" s="1193" t="s">
        <v>290</v>
      </c>
      <c r="G116" s="1193" t="s">
        <v>2121</v>
      </c>
      <c r="H116" s="948"/>
      <c r="I116" s="949"/>
      <c r="J116" s="949"/>
      <c r="K116" s="949"/>
      <c r="L116" s="150">
        <f t="shared" si="5"/>
        <v>1763</v>
      </c>
      <c r="M116" s="151" t="str">
        <f t="shared" si="6"/>
        <v>AMORTISS.AMEUBL.INSTR.</v>
      </c>
      <c r="N116" s="152">
        <f>+IF(OR($Q116=Parametres!$G$2,$Q116=Parametres!$G$3),I116,C116)</f>
        <v>-404414.7</v>
      </c>
      <c r="O116" s="1084">
        <f>+IF(OR($Q116=Parametres!$G$2,$Q116=Parametres!$G$3),J116,D116)</f>
        <v>-497</v>
      </c>
      <c r="P116" s="152">
        <f>+IF(OR($Q116=Parametres!$G$2,$Q116=Parametres!$G$3),K116,E116)</f>
        <v>-404911.7</v>
      </c>
      <c r="Q116" s="151" t="str">
        <f t="shared" si="7"/>
        <v>2-Actifs</v>
      </c>
      <c r="R116" s="150" t="str">
        <f t="shared" si="8"/>
        <v>1700</v>
      </c>
      <c r="S116" s="151">
        <f t="shared" si="9"/>
        <v>0</v>
      </c>
      <c r="T116" s="153">
        <f>+VLOOKUP($L116,Data_Validation!$A:$D,1,0)</f>
        <v>1763</v>
      </c>
      <c r="U116" s="153" t="str">
        <f>+VLOOKUP($L116,Data_Validation!$A:$D,3,0)</f>
        <v>Bilan</v>
      </c>
      <c r="V116" s="153" t="str">
        <f>+VLOOKUP($L116,Data_Validation!$A:$D,4,0)</f>
        <v>Mobilier</v>
      </c>
      <c r="W116" s="153" t="str">
        <f>+VLOOKUP($L116,Data_Validation!$A:$E,5,0)</f>
        <v>$</v>
      </c>
      <c r="X116" s="153">
        <f>+VLOOKUP($L116,Data_Validation!$A:$F,6,0)</f>
        <v>0</v>
      </c>
    </row>
    <row r="117" spans="1:24" ht="15.75" customHeight="1">
      <c r="A117" s="1193" t="s">
        <v>2401</v>
      </c>
      <c r="B117" s="1194">
        <v>1772</v>
      </c>
      <c r="C117" s="1197">
        <v>3987.88</v>
      </c>
      <c r="D117" s="1197" t="s">
        <v>3444</v>
      </c>
      <c r="E117" s="1197">
        <v>3987.88</v>
      </c>
      <c r="F117" s="1193" t="s">
        <v>290</v>
      </c>
      <c r="G117" s="1193" t="s">
        <v>2121</v>
      </c>
      <c r="H117" s="928"/>
      <c r="I117" s="927"/>
      <c r="J117" s="927"/>
      <c r="K117" s="927"/>
      <c r="L117" s="150">
        <f t="shared" si="5"/>
        <v>1772</v>
      </c>
      <c r="M117" s="151" t="str">
        <f t="shared" si="6"/>
        <v>VEHICULES DE CIE</v>
      </c>
      <c r="N117" s="152">
        <f>+IF(OR($Q117=Parametres!$G$2,$Q117=Parametres!$G$3),I117,C117)</f>
        <v>3987.88</v>
      </c>
      <c r="O117" s="1084" t="str">
        <f>+IF(OR($Q117=Parametres!$G$2,$Q117=Parametres!$G$3),J117,D117)</f>
        <v xml:space="preserve">                       -   </v>
      </c>
      <c r="P117" s="152">
        <f>+IF(OR($Q117=Parametres!$G$2,$Q117=Parametres!$G$3),K117,E117)</f>
        <v>3987.88</v>
      </c>
      <c r="Q117" s="151" t="str">
        <f t="shared" si="7"/>
        <v>2-Actifs</v>
      </c>
      <c r="R117" s="150" t="str">
        <f t="shared" si="8"/>
        <v>1700</v>
      </c>
      <c r="S117" s="151">
        <f t="shared" si="9"/>
        <v>0</v>
      </c>
      <c r="T117" s="153">
        <f>+VLOOKUP($L117,Data_Validation!$A:$D,1,0)</f>
        <v>1772</v>
      </c>
      <c r="U117" s="153" t="str">
        <f>+VLOOKUP($L117,Data_Validation!$A:$D,3,0)</f>
        <v>Bilan</v>
      </c>
      <c r="V117" s="153" t="str">
        <f>+VLOOKUP($L117,Data_Validation!$A:$D,4,0)</f>
        <v>Équipements Service</v>
      </c>
      <c r="W117" s="153" t="str">
        <f>+VLOOKUP($L117,Data_Validation!$A:$E,5,0)</f>
        <v>$</v>
      </c>
      <c r="X117" s="153">
        <f>+VLOOKUP($L117,Data_Validation!$A:$F,6,0)</f>
        <v>0</v>
      </c>
    </row>
    <row r="118" spans="1:24" ht="15" customHeight="1">
      <c r="A118" s="1193" t="s">
        <v>2403</v>
      </c>
      <c r="B118" s="1194">
        <v>1773</v>
      </c>
      <c r="C118" s="1197">
        <v>-3987.88</v>
      </c>
      <c r="D118" s="1197" t="s">
        <v>3444</v>
      </c>
      <c r="E118" s="1197">
        <v>-3987.88</v>
      </c>
      <c r="F118" s="1193" t="s">
        <v>290</v>
      </c>
      <c r="G118" s="1193" t="s">
        <v>2121</v>
      </c>
      <c r="H118" s="1201"/>
      <c r="I118" s="1202"/>
      <c r="J118" s="1202"/>
      <c r="K118" s="1202"/>
      <c r="L118" s="150">
        <f t="shared" si="5"/>
        <v>1773</v>
      </c>
      <c r="M118" s="151" t="str">
        <f t="shared" si="6"/>
        <v>DEPRECIATION &amp; AMORT.</v>
      </c>
      <c r="N118" s="152">
        <f>+IF(OR($Q118=Parametres!$G$2,$Q118=Parametres!$G$3),I118,C118)</f>
        <v>-3987.88</v>
      </c>
      <c r="O118" s="1084" t="str">
        <f>+IF(OR($Q118=Parametres!$G$2,$Q118=Parametres!$G$3),J118,D118)</f>
        <v xml:space="preserve">                       -   </v>
      </c>
      <c r="P118" s="152">
        <f>+IF(OR($Q118=Parametres!$G$2,$Q118=Parametres!$G$3),K118,E118)</f>
        <v>-3987.88</v>
      </c>
      <c r="Q118" s="151" t="str">
        <f t="shared" si="7"/>
        <v>2-Actifs</v>
      </c>
      <c r="R118" s="150" t="str">
        <f t="shared" si="8"/>
        <v>1700</v>
      </c>
      <c r="S118" s="151">
        <f t="shared" si="9"/>
        <v>0</v>
      </c>
      <c r="T118" s="153">
        <f>+VLOOKUP($L118,Data_Validation!$A:$D,1,0)</f>
        <v>1773</v>
      </c>
      <c r="U118" s="153" t="str">
        <f>+VLOOKUP($L118,Data_Validation!$A:$D,3,0)</f>
        <v>Bilan</v>
      </c>
      <c r="V118" s="153" t="str">
        <f>+VLOOKUP($L118,Data_Validation!$A:$D,4,0)</f>
        <v>Équipements Service</v>
      </c>
      <c r="W118" s="153" t="str">
        <f>+VLOOKUP($L118,Data_Validation!$A:$E,5,0)</f>
        <v>$</v>
      </c>
      <c r="X118" s="153">
        <f>+VLOOKUP($L118,Data_Validation!$A:$F,6,0)</f>
        <v>0</v>
      </c>
    </row>
    <row r="119" spans="1:24" ht="15" customHeight="1">
      <c r="A119" s="1193" t="s">
        <v>2559</v>
      </c>
      <c r="B119" s="1194">
        <v>1786</v>
      </c>
      <c r="C119" s="1197">
        <v>123312.49</v>
      </c>
      <c r="D119" s="1197" t="s">
        <v>3444</v>
      </c>
      <c r="E119" s="1197">
        <v>123312.49</v>
      </c>
      <c r="F119" s="1193" t="s">
        <v>290</v>
      </c>
      <c r="G119" s="1193" t="s">
        <v>2121</v>
      </c>
      <c r="H119" s="1201"/>
      <c r="I119" s="1201"/>
      <c r="J119" s="1201"/>
      <c r="K119" s="1201"/>
      <c r="L119" s="150">
        <f t="shared" si="5"/>
        <v>1786</v>
      </c>
      <c r="M119" s="151" t="str">
        <f t="shared" si="6"/>
        <v>EQUIPEMENT INFORMATIQUE</v>
      </c>
      <c r="N119" s="152">
        <f>+IF(OR($Q119=Parametres!$G$2,$Q119=Parametres!$G$3),I119,C119)</f>
        <v>123312.49</v>
      </c>
      <c r="O119" s="1082" t="str">
        <f>+IF(OR($Q119=Parametres!$G$2,$Q119=Parametres!$G$3),J119,D119)</f>
        <v xml:space="preserve">                       -   </v>
      </c>
      <c r="P119" s="152">
        <f>+IF(OR($Q119=Parametres!$G$2,$Q119=Parametres!$G$3),K119,E119)</f>
        <v>123312.49</v>
      </c>
      <c r="Q119" s="151" t="str">
        <f t="shared" si="7"/>
        <v>2-Actifs</v>
      </c>
      <c r="R119" s="150" t="str">
        <f t="shared" si="8"/>
        <v>1700</v>
      </c>
      <c r="S119" s="151">
        <f t="shared" si="9"/>
        <v>0</v>
      </c>
      <c r="T119" s="153">
        <f>+VLOOKUP($L119,Data_Validation!$A:$D,1,0)</f>
        <v>1786</v>
      </c>
      <c r="U119" s="153" t="str">
        <f>+VLOOKUP($L119,Data_Validation!$A:$D,3,0)</f>
        <v>Bilan</v>
      </c>
      <c r="V119" s="153" t="str">
        <f>+VLOOKUP($L119,Data_Validation!$A:$D,4,0)</f>
        <v>Équipements Informatique</v>
      </c>
      <c r="W119" s="153" t="str">
        <f>+VLOOKUP($L119,Data_Validation!$A:$E,5,0)</f>
        <v>$</v>
      </c>
      <c r="X119" s="153">
        <f>+VLOOKUP($L119,Data_Validation!$A:$F,6,0)</f>
        <v>0</v>
      </c>
    </row>
    <row r="120" spans="1:24" ht="15" customHeight="1">
      <c r="A120" s="1193" t="s">
        <v>2147</v>
      </c>
      <c r="B120" s="1194">
        <v>1787</v>
      </c>
      <c r="C120" s="1197">
        <v>-106123.43</v>
      </c>
      <c r="D120" s="1197">
        <v>-972</v>
      </c>
      <c r="E120" s="1197">
        <v>-107095.43</v>
      </c>
      <c r="F120" s="1193" t="s">
        <v>290</v>
      </c>
      <c r="G120" s="1193" t="s">
        <v>2121</v>
      </c>
      <c r="H120" s="1201"/>
      <c r="I120" s="1202"/>
      <c r="J120" s="1202"/>
      <c r="K120" s="1202"/>
      <c r="L120" s="150">
        <f t="shared" si="5"/>
        <v>1787</v>
      </c>
      <c r="M120" s="151" t="str">
        <f t="shared" si="6"/>
        <v>AMORTISS.EQUIP.INFORMATIQUES</v>
      </c>
      <c r="N120" s="152">
        <f>+IF(OR($Q120=Parametres!$G$2,$Q120=Parametres!$G$3),I120,C120)</f>
        <v>-106123.43</v>
      </c>
      <c r="O120" s="1084">
        <f>+IF(OR($Q120=Parametres!$G$2,$Q120=Parametres!$G$3),J120,D120)</f>
        <v>-972</v>
      </c>
      <c r="P120" s="152">
        <f>+IF(OR($Q120=Parametres!$G$2,$Q120=Parametres!$G$3),K120,E120)</f>
        <v>-107095.43</v>
      </c>
      <c r="Q120" s="151" t="str">
        <f t="shared" si="7"/>
        <v>2-Actifs</v>
      </c>
      <c r="R120" s="150" t="str">
        <f t="shared" si="8"/>
        <v>1700</v>
      </c>
      <c r="S120" s="151">
        <f t="shared" si="9"/>
        <v>0</v>
      </c>
      <c r="T120" s="153">
        <f>+VLOOKUP($L120,Data_Validation!$A:$D,1,0)</f>
        <v>1787</v>
      </c>
      <c r="U120" s="153" t="str">
        <f>+VLOOKUP($L120,Data_Validation!$A:$D,3,0)</f>
        <v>Bilan</v>
      </c>
      <c r="V120" s="153" t="str">
        <f>+VLOOKUP($L120,Data_Validation!$A:$D,4,0)</f>
        <v>Équipements Informatique</v>
      </c>
      <c r="W120" s="153" t="str">
        <f>+VLOOKUP($L120,Data_Validation!$A:$E,5,0)</f>
        <v>$</v>
      </c>
      <c r="X120" s="153">
        <f>+VLOOKUP($L120,Data_Validation!$A:$F,6,0)</f>
        <v>0</v>
      </c>
    </row>
    <row r="121" spans="1:24" ht="15" customHeight="1">
      <c r="A121" s="1193" t="s">
        <v>819</v>
      </c>
      <c r="B121" s="1194">
        <v>1792</v>
      </c>
      <c r="C121" s="1197">
        <v>119393.66</v>
      </c>
      <c r="D121" s="1197" t="s">
        <v>3444</v>
      </c>
      <c r="E121" s="1197">
        <v>119393.66</v>
      </c>
      <c r="F121" s="1193" t="s">
        <v>290</v>
      </c>
      <c r="G121" s="1193" t="s">
        <v>2121</v>
      </c>
      <c r="H121" s="1201"/>
      <c r="I121" s="1201"/>
      <c r="J121" s="1201"/>
      <c r="K121" s="1201"/>
      <c r="L121" s="150">
        <f t="shared" si="5"/>
        <v>1792</v>
      </c>
      <c r="M121" s="151" t="str">
        <f t="shared" si="6"/>
        <v>ENSEIGNES</v>
      </c>
      <c r="N121" s="152">
        <f>+IF(OR($Q121=Parametres!$G$2,$Q121=Parametres!$G$3),I121,C121)</f>
        <v>119393.66</v>
      </c>
      <c r="O121" s="1082" t="str">
        <f>+IF(OR($Q121=Parametres!$G$2,$Q121=Parametres!$G$3),J121,D121)</f>
        <v xml:space="preserve">                       -   </v>
      </c>
      <c r="P121" s="152">
        <f>+IF(OR($Q121=Parametres!$G$2,$Q121=Parametres!$G$3),K121,E121)</f>
        <v>119393.66</v>
      </c>
      <c r="Q121" s="151" t="str">
        <f t="shared" si="7"/>
        <v>2-Actifs</v>
      </c>
      <c r="R121" s="150" t="str">
        <f t="shared" si="8"/>
        <v>1700</v>
      </c>
      <c r="S121" s="151">
        <f t="shared" si="9"/>
        <v>0</v>
      </c>
      <c r="T121" s="153">
        <f>+VLOOKUP($L121,Data_Validation!$A:$D,1,0)</f>
        <v>1792</v>
      </c>
      <c r="U121" s="153" t="str">
        <f>+VLOOKUP($L121,Data_Validation!$A:$D,3,0)</f>
        <v>Bilan</v>
      </c>
      <c r="V121" s="153" t="str">
        <f>+VLOOKUP($L121,Data_Validation!$A:$D,4,0)</f>
        <v>Enseigne</v>
      </c>
      <c r="W121" s="153" t="str">
        <f>+VLOOKUP($L121,Data_Validation!$A:$E,5,0)</f>
        <v>$</v>
      </c>
      <c r="X121" s="153">
        <f>+VLOOKUP($L121,Data_Validation!$A:$F,6,0)</f>
        <v>0</v>
      </c>
    </row>
    <row r="122" spans="1:24" ht="15" customHeight="1">
      <c r="A122" s="1193" t="s">
        <v>2188</v>
      </c>
      <c r="B122" s="1194">
        <v>1793</v>
      </c>
      <c r="C122" s="1197">
        <v>-119393.65</v>
      </c>
      <c r="D122" s="1197" t="s">
        <v>3444</v>
      </c>
      <c r="E122" s="1197">
        <v>-119393.65</v>
      </c>
      <c r="F122" s="1193" t="s">
        <v>290</v>
      </c>
      <c r="G122" s="1193" t="s">
        <v>2121</v>
      </c>
      <c r="H122" s="1201"/>
      <c r="I122" s="1202"/>
      <c r="J122" s="1202"/>
      <c r="K122" s="1202"/>
      <c r="L122" s="150">
        <f t="shared" si="5"/>
        <v>1793</v>
      </c>
      <c r="M122" s="151" t="str">
        <f t="shared" si="6"/>
        <v>AMORT. CUM. ENSEIGNES</v>
      </c>
      <c r="N122" s="152">
        <f>+IF(OR($Q122=Parametres!$G$2,$Q122=Parametres!$G$3),I122,C122)</f>
        <v>-119393.65</v>
      </c>
      <c r="O122" s="1084" t="str">
        <f>+IF(OR($Q122=Parametres!$G$2,$Q122=Parametres!$G$3),J122,D122)</f>
        <v xml:space="preserve">                       -   </v>
      </c>
      <c r="P122" s="152">
        <f>+IF(OR($Q122=Parametres!$G$2,$Q122=Parametres!$G$3),K122,E122)</f>
        <v>-119393.65</v>
      </c>
      <c r="Q122" s="151" t="str">
        <f t="shared" si="7"/>
        <v>2-Actifs</v>
      </c>
      <c r="R122" s="150" t="str">
        <f t="shared" si="8"/>
        <v>1700</v>
      </c>
      <c r="S122" s="151">
        <f t="shared" si="9"/>
        <v>0</v>
      </c>
      <c r="T122" s="153">
        <f>+VLOOKUP($L122,Data_Validation!$A:$D,1,0)</f>
        <v>1793</v>
      </c>
      <c r="U122" s="153" t="str">
        <f>+VLOOKUP($L122,Data_Validation!$A:$D,3,0)</f>
        <v>Bilan</v>
      </c>
      <c r="V122" s="153" t="str">
        <f>+VLOOKUP($L122,Data_Validation!$A:$D,4,0)</f>
        <v>Enseigne</v>
      </c>
      <c r="W122" s="153" t="str">
        <f>+VLOOKUP($L122,Data_Validation!$A:$E,5,0)</f>
        <v>$</v>
      </c>
      <c r="X122" s="153">
        <f>+VLOOKUP($L122,Data_Validation!$A:$F,6,0)</f>
        <v>0</v>
      </c>
    </row>
    <row r="123" spans="1:24" ht="15.75" customHeight="1">
      <c r="A123" s="1193" t="s">
        <v>2406</v>
      </c>
      <c r="B123" s="1194">
        <v>1804</v>
      </c>
      <c r="C123" s="1197">
        <v>5623600</v>
      </c>
      <c r="D123" s="1197">
        <v>250000</v>
      </c>
      <c r="E123" s="1197">
        <v>5873600</v>
      </c>
      <c r="F123" s="1193" t="s">
        <v>290</v>
      </c>
      <c r="G123" s="1193" t="s">
        <v>2407</v>
      </c>
      <c r="H123" s="1201"/>
      <c r="I123" s="1201"/>
      <c r="J123" s="1201"/>
      <c r="K123" s="1201"/>
      <c r="L123" s="150">
        <f t="shared" si="5"/>
        <v>1804</v>
      </c>
      <c r="M123" s="151" t="str">
        <f t="shared" si="6"/>
        <v>RECEVABLE-PROP. &amp; EMPL.</v>
      </c>
      <c r="N123" s="152">
        <f>+IF(OR($Q123=Parametres!$G$2,$Q123=Parametres!$G$3),I123,C123)</f>
        <v>5623600</v>
      </c>
      <c r="O123" s="1084">
        <f>+IF(OR($Q123=Parametres!$G$2,$Q123=Parametres!$G$3),J123,D123)</f>
        <v>250000</v>
      </c>
      <c r="P123" s="152">
        <f>+IF(OR($Q123=Parametres!$G$2,$Q123=Parametres!$G$3),K123,E123)</f>
        <v>5873600</v>
      </c>
      <c r="Q123" s="151" t="str">
        <f t="shared" si="7"/>
        <v>2-Actifs</v>
      </c>
      <c r="R123" s="150" t="str">
        <f t="shared" si="8"/>
        <v>1804</v>
      </c>
      <c r="S123" s="151">
        <f t="shared" si="9"/>
        <v>0</v>
      </c>
      <c r="T123" s="153">
        <f>+VLOOKUP($L123,Data_Validation!$A:$D,1,0)</f>
        <v>1804</v>
      </c>
      <c r="U123" s="153" t="str">
        <f>+VLOOKUP($L123,Data_Validation!$A:$D,3,0)</f>
        <v>Bilan</v>
      </c>
      <c r="V123" s="153" t="str">
        <f>+VLOOKUP($L123,Data_Validation!$A:$D,4,0)</f>
        <v>Avances à Recevoir Long Terme</v>
      </c>
      <c r="W123" s="153" t="str">
        <f>+VLOOKUP($L123,Data_Validation!$A:$E,5,0)</f>
        <v>$</v>
      </c>
      <c r="X123" s="153">
        <f>+VLOOKUP($L123,Data_Validation!$A:$F,6,0)</f>
        <v>0</v>
      </c>
    </row>
    <row r="124" spans="1:24" ht="15" customHeight="1">
      <c r="A124" s="1193" t="s">
        <v>2743</v>
      </c>
      <c r="B124" s="1194">
        <v>1806</v>
      </c>
      <c r="C124" s="1197">
        <v>12529.45</v>
      </c>
      <c r="D124" s="1197">
        <v>1159.07</v>
      </c>
      <c r="E124" s="1197">
        <v>13688.52</v>
      </c>
      <c r="F124" s="1193" t="s">
        <v>290</v>
      </c>
      <c r="G124" s="1193" t="s">
        <v>2614</v>
      </c>
      <c r="H124" s="1201"/>
      <c r="I124" s="1202"/>
      <c r="J124" s="1202"/>
      <c r="K124" s="1202"/>
      <c r="L124" s="150">
        <f t="shared" si="5"/>
        <v>1806</v>
      </c>
      <c r="M124" s="151" t="str">
        <f t="shared" si="6"/>
        <v>FINANCEMENT RECEVABLE</v>
      </c>
      <c r="N124" s="152">
        <f>+IF(OR($Q124=Parametres!$G$2,$Q124=Parametres!$G$3),I124,C124)</f>
        <v>12529.45</v>
      </c>
      <c r="O124" s="1084">
        <f>+IF(OR($Q124=Parametres!$G$2,$Q124=Parametres!$G$3),J124,D124)</f>
        <v>1159.07</v>
      </c>
      <c r="P124" s="152">
        <f>+IF(OR($Q124=Parametres!$G$2,$Q124=Parametres!$G$3),K124,E124)</f>
        <v>13688.52</v>
      </c>
      <c r="Q124" s="151" t="str">
        <f t="shared" si="7"/>
        <v>2-Actifs</v>
      </c>
      <c r="R124" s="150" t="str">
        <f t="shared" si="8"/>
        <v>1382</v>
      </c>
      <c r="S124" s="151">
        <f t="shared" si="9"/>
        <v>0</v>
      </c>
      <c r="T124" s="153">
        <f>+VLOOKUP($L124,Data_Validation!$A:$D,1,0)</f>
        <v>1806</v>
      </c>
      <c r="U124" s="153" t="str">
        <f>+VLOOKUP($L124,Data_Validation!$A:$D,3,0)</f>
        <v>Bilan</v>
      </c>
      <c r="V124" s="153" t="str">
        <f>+VLOOKUP($L124,Data_Validation!$A:$D,4,0)</f>
        <v>Recevables Autres</v>
      </c>
      <c r="W124" s="153" t="str">
        <f>+VLOOKUP($L124,Data_Validation!$A:$E,5,0)</f>
        <v>$</v>
      </c>
      <c r="X124" s="153">
        <f>+VLOOKUP($L124,Data_Validation!$A:$F,6,0)</f>
        <v>0</v>
      </c>
    </row>
    <row r="125" spans="1:24" ht="15" customHeight="1">
      <c r="A125" s="1193" t="s">
        <v>2837</v>
      </c>
      <c r="B125" s="1194">
        <v>2101</v>
      </c>
      <c r="C125" s="1197">
        <v>-1700368.92</v>
      </c>
      <c r="D125" s="1197">
        <v>-410910.62</v>
      </c>
      <c r="E125" s="1197">
        <v>-2111279.54</v>
      </c>
      <c r="F125" s="1193" t="s">
        <v>279</v>
      </c>
      <c r="G125" s="1193" t="s">
        <v>2838</v>
      </c>
      <c r="H125" s="948"/>
      <c r="I125" s="949"/>
      <c r="J125" s="949"/>
      <c r="K125" s="949"/>
      <c r="L125" s="150">
        <f t="shared" si="5"/>
        <v>2101</v>
      </c>
      <c r="M125" s="151" t="str">
        <f t="shared" si="6"/>
        <v>NOTE A PAYER VEH. NEUFS VOLKS</v>
      </c>
      <c r="N125" s="152">
        <f>+IF(OR($Q125=Parametres!$G$2,$Q125=Parametres!$G$3),I125,C125)</f>
        <v>-1700368.92</v>
      </c>
      <c r="O125" s="1084">
        <f>+IF(OR($Q125=Parametres!$G$2,$Q125=Parametres!$G$3),J125,D125)</f>
        <v>-410910.62</v>
      </c>
      <c r="P125" s="152">
        <f>+IF(OR($Q125=Parametres!$G$2,$Q125=Parametres!$G$3),K125,E125)</f>
        <v>-2111279.54</v>
      </c>
      <c r="Q125" s="151" t="str">
        <f t="shared" si="7"/>
        <v>3-Passifs</v>
      </c>
      <c r="R125" s="150" t="str">
        <f t="shared" si="8"/>
        <v>2101</v>
      </c>
      <c r="S125" s="151">
        <f t="shared" si="9"/>
        <v>0</v>
      </c>
      <c r="T125" s="153">
        <f>+VLOOKUP($L125,Data_Validation!$A:$D,1,0)</f>
        <v>2101</v>
      </c>
      <c r="U125" s="153" t="str">
        <f>+VLOOKUP($L125,Data_Validation!$A:$D,3,0)</f>
        <v>Bilan</v>
      </c>
      <c r="V125" s="153" t="str">
        <f>+VLOOKUP($L125,Data_Validation!$A:$D,4,0)</f>
        <v>Effet à Payer Véhicules Neufs</v>
      </c>
      <c r="W125" s="153" t="str">
        <f>+VLOOKUP($L125,Data_Validation!$A:$E,5,0)</f>
        <v>$</v>
      </c>
      <c r="X125" s="153">
        <f>+VLOOKUP($L125,Data_Validation!$A:$F,6,0)</f>
        <v>0</v>
      </c>
    </row>
    <row r="126" spans="1:24" ht="15" customHeight="1">
      <c r="A126" s="1193" t="s">
        <v>2029</v>
      </c>
      <c r="B126" s="1194">
        <v>2103</v>
      </c>
      <c r="C126" s="1197">
        <v>-823989.14</v>
      </c>
      <c r="D126" s="1197">
        <v>-560178.76</v>
      </c>
      <c r="E126" s="1197">
        <v>-1384167.9</v>
      </c>
      <c r="F126" s="1193" t="s">
        <v>279</v>
      </c>
      <c r="G126" s="1193" t="s">
        <v>2030</v>
      </c>
      <c r="H126" s="928"/>
      <c r="I126" s="927"/>
      <c r="J126" s="927"/>
      <c r="K126" s="927"/>
      <c r="L126" s="150">
        <f t="shared" si="5"/>
        <v>2103</v>
      </c>
      <c r="M126" s="151" t="str">
        <f t="shared" si="6"/>
        <v>NOTE PAYABLE-FIN. VEH. USAG.</v>
      </c>
      <c r="N126" s="152">
        <f>+IF(OR($Q126=Parametres!$G$2,$Q126=Parametres!$G$3),I126,C126)</f>
        <v>-823989.14</v>
      </c>
      <c r="O126" s="1084">
        <f>+IF(OR($Q126=Parametres!$G$2,$Q126=Parametres!$G$3),J126,D126)</f>
        <v>-560178.76</v>
      </c>
      <c r="P126" s="152">
        <f>+IF(OR($Q126=Parametres!$G$2,$Q126=Parametres!$G$3),K126,E126)</f>
        <v>-1384167.9</v>
      </c>
      <c r="Q126" s="151" t="str">
        <f t="shared" si="7"/>
        <v>3-Passifs</v>
      </c>
      <c r="R126" s="150" t="str">
        <f t="shared" si="8"/>
        <v>2103</v>
      </c>
      <c r="S126" s="151">
        <f t="shared" si="9"/>
        <v>0</v>
      </c>
      <c r="T126" s="153">
        <f>+VLOOKUP($L126,Data_Validation!$A:$D,1,0)</f>
        <v>2103</v>
      </c>
      <c r="U126" s="153" t="str">
        <f>+VLOOKUP($L126,Data_Validation!$A:$D,3,0)</f>
        <v>Bilan</v>
      </c>
      <c r="V126" s="153" t="str">
        <f>+VLOOKUP($L126,Data_Validation!$A:$D,4,0)</f>
        <v>Effet à Payer Véhicules Usagés</v>
      </c>
      <c r="W126" s="153" t="str">
        <f>+VLOOKUP($L126,Data_Validation!$A:$E,5,0)</f>
        <v>$</v>
      </c>
      <c r="X126" s="153">
        <f>+VLOOKUP($L126,Data_Validation!$A:$F,6,0)</f>
        <v>0</v>
      </c>
    </row>
    <row r="127" spans="1:24" ht="15" customHeight="1">
      <c r="A127" s="1193" t="s">
        <v>2408</v>
      </c>
      <c r="B127" s="1194">
        <v>2131</v>
      </c>
      <c r="C127" s="1197">
        <v>-15810</v>
      </c>
      <c r="D127" s="1197" t="s">
        <v>3444</v>
      </c>
      <c r="E127" s="1197">
        <v>-15810</v>
      </c>
      <c r="F127" s="1193" t="s">
        <v>279</v>
      </c>
      <c r="G127" s="1193" t="s">
        <v>2409</v>
      </c>
      <c r="H127" s="948"/>
      <c r="I127" s="949"/>
      <c r="J127" s="949"/>
      <c r="K127" s="949"/>
      <c r="L127" s="150">
        <f t="shared" si="5"/>
        <v>2131</v>
      </c>
      <c r="M127" s="151" t="str">
        <f t="shared" si="6"/>
        <v>PORTION COURANTE PRET</v>
      </c>
      <c r="N127" s="152">
        <f>+IF(OR($Q127=Parametres!$G$2,$Q127=Parametres!$G$3),I127,C127)</f>
        <v>-15810</v>
      </c>
      <c r="O127" s="1084" t="str">
        <f>+IF(OR($Q127=Parametres!$G$2,$Q127=Parametres!$G$3),J127,D127)</f>
        <v xml:space="preserve">                       -   </v>
      </c>
      <c r="P127" s="152">
        <f>+IF(OR($Q127=Parametres!$G$2,$Q127=Parametres!$G$3),K127,E127)</f>
        <v>-15810</v>
      </c>
      <c r="Q127" s="151" t="str">
        <f t="shared" si="7"/>
        <v>3-Passifs</v>
      </c>
      <c r="R127" s="150" t="str">
        <f t="shared" si="8"/>
        <v>2131</v>
      </c>
      <c r="S127" s="151">
        <f t="shared" si="9"/>
        <v>0</v>
      </c>
      <c r="T127" s="153">
        <f>+VLOOKUP($L127,Data_Validation!$A:$D,1,0)</f>
        <v>2131</v>
      </c>
      <c r="U127" s="153" t="str">
        <f>+VLOOKUP($L127,Data_Validation!$A:$D,3,0)</f>
        <v>Bilan</v>
      </c>
      <c r="V127" s="153" t="str">
        <f>+VLOOKUP($L127,Data_Validation!$A:$D,4,0)</f>
        <v>Portion Court Terme de la Dette Long Terme</v>
      </c>
      <c r="W127" s="153" t="str">
        <f>+VLOOKUP($L127,Data_Validation!$A:$E,5,0)</f>
        <v>$</v>
      </c>
      <c r="X127" s="153">
        <f>+VLOOKUP($L127,Data_Validation!$A:$F,6,0)</f>
        <v>0</v>
      </c>
    </row>
    <row r="128" spans="1:24" ht="15" customHeight="1">
      <c r="A128" s="1193" t="s">
        <v>2196</v>
      </c>
      <c r="B128" s="1194">
        <v>2220</v>
      </c>
      <c r="C128" s="1197">
        <v>-1157.8900000000001</v>
      </c>
      <c r="D128" s="1197">
        <v>-348.51</v>
      </c>
      <c r="E128" s="1197">
        <v>-1506.4</v>
      </c>
      <c r="F128" s="1193" t="s">
        <v>279</v>
      </c>
      <c r="G128" s="1193" t="s">
        <v>2197</v>
      </c>
      <c r="H128" s="1201"/>
      <c r="I128" s="1201"/>
      <c r="J128" s="1201"/>
      <c r="K128" s="1201"/>
      <c r="L128" s="150">
        <f t="shared" si="5"/>
        <v>2220</v>
      </c>
      <c r="M128" s="151" t="str">
        <f t="shared" si="6"/>
        <v>TPA A PAYER</v>
      </c>
      <c r="N128" s="152">
        <f>+IF(OR($Q128=Parametres!$G$2,$Q128=Parametres!$G$3),I128,C128)</f>
        <v>-1157.8900000000001</v>
      </c>
      <c r="O128" s="1084">
        <f>+IF(OR($Q128=Parametres!$G$2,$Q128=Parametres!$G$3),J128,D128)</f>
        <v>-348.51</v>
      </c>
      <c r="P128" s="152">
        <f>+IF(OR($Q128=Parametres!$G$2,$Q128=Parametres!$G$3),K128,E128)</f>
        <v>-1506.4</v>
      </c>
      <c r="Q128" s="151" t="str">
        <f t="shared" si="7"/>
        <v>3-Passifs</v>
      </c>
      <c r="R128" s="150" t="str">
        <f t="shared" si="8"/>
        <v>2220</v>
      </c>
      <c r="S128" s="151">
        <f t="shared" si="9"/>
        <v>0</v>
      </c>
      <c r="T128" s="153">
        <f>+VLOOKUP($L128,Data_Validation!$A:$D,1,0)</f>
        <v>2220</v>
      </c>
      <c r="U128" s="153" t="str">
        <f>+VLOOKUP($L128,Data_Validation!$A:$D,3,0)</f>
        <v>Bilan</v>
      </c>
      <c r="V128" s="153" t="str">
        <f>+VLOOKUP($L128,Data_Validation!$A:$D,4,0)</f>
        <v>Taxes de Vente à Payer</v>
      </c>
      <c r="W128" s="153" t="str">
        <f>+VLOOKUP($L128,Data_Validation!$A:$E,5,0)</f>
        <v>$</v>
      </c>
      <c r="X128" s="153">
        <f>+VLOOKUP($L128,Data_Validation!$A:$F,6,0)</f>
        <v>0</v>
      </c>
    </row>
    <row r="129" spans="1:24" ht="15" customHeight="1">
      <c r="A129" s="1193" t="s">
        <v>2049</v>
      </c>
      <c r="B129" s="1194">
        <v>2221</v>
      </c>
      <c r="C129" s="1197">
        <v>-105221.55</v>
      </c>
      <c r="D129" s="1197">
        <v>745.94</v>
      </c>
      <c r="E129" s="1197">
        <v>-104475.61</v>
      </c>
      <c r="F129" s="1193" t="s">
        <v>279</v>
      </c>
      <c r="G129" s="1193" t="s">
        <v>2050</v>
      </c>
      <c r="H129" s="1201"/>
      <c r="I129" s="1201"/>
      <c r="J129" s="1201"/>
      <c r="K129" s="1201"/>
      <c r="L129" s="150">
        <f t="shared" si="5"/>
        <v>2221</v>
      </c>
      <c r="M129" s="151" t="str">
        <f t="shared" si="6"/>
        <v>TVQ A PAYER</v>
      </c>
      <c r="N129" s="152">
        <f>+IF(OR($Q129=Parametres!$G$2,$Q129=Parametres!$G$3),I129,C129)</f>
        <v>-105221.55</v>
      </c>
      <c r="O129" s="1082">
        <f>+IF(OR($Q129=Parametres!$G$2,$Q129=Parametres!$G$3),J129,D129)</f>
        <v>745.94</v>
      </c>
      <c r="P129" s="152">
        <f>+IF(OR($Q129=Parametres!$G$2,$Q129=Parametres!$G$3),K129,E129)</f>
        <v>-104475.61</v>
      </c>
      <c r="Q129" s="151" t="str">
        <f t="shared" si="7"/>
        <v>3-Passifs</v>
      </c>
      <c r="R129" s="150" t="str">
        <f t="shared" si="8"/>
        <v>2221</v>
      </c>
      <c r="S129" s="151">
        <f t="shared" si="9"/>
        <v>0</v>
      </c>
      <c r="T129" s="153">
        <f>+VLOOKUP($L129,Data_Validation!$A:$D,1,0)</f>
        <v>2221</v>
      </c>
      <c r="U129" s="153" t="str">
        <f>+VLOOKUP($L129,Data_Validation!$A:$D,3,0)</f>
        <v>Bilan</v>
      </c>
      <c r="V129" s="153" t="str">
        <f>+VLOOKUP($L129,Data_Validation!$A:$D,4,0)</f>
        <v>Taxes de Vente à Payer</v>
      </c>
      <c r="W129" s="153" t="str">
        <f>+VLOOKUP($L129,Data_Validation!$A:$E,5,0)</f>
        <v>$</v>
      </c>
      <c r="X129" s="153">
        <f>+VLOOKUP($L129,Data_Validation!$A:$F,6,0)</f>
        <v>0</v>
      </c>
    </row>
    <row r="130" spans="1:24" ht="15" customHeight="1">
      <c r="A130" s="1193" t="s">
        <v>2787</v>
      </c>
      <c r="B130" s="1194">
        <v>2222</v>
      </c>
      <c r="C130" s="1197">
        <v>51200.61</v>
      </c>
      <c r="D130" s="1197">
        <v>944.58</v>
      </c>
      <c r="E130" s="1197">
        <v>52145.19</v>
      </c>
      <c r="F130" s="1193" t="s">
        <v>279</v>
      </c>
      <c r="G130" s="1193" t="s">
        <v>2050</v>
      </c>
      <c r="H130" s="1201"/>
      <c r="I130" s="1201"/>
      <c r="J130" s="1201"/>
      <c r="K130" s="1201"/>
      <c r="L130" s="150">
        <f t="shared" ref="L130:L193" si="10">+B130</f>
        <v>2222</v>
      </c>
      <c r="M130" s="151" t="str">
        <f t="shared" ref="M130:M193" si="11">+A130</f>
        <v>TVQ A RECEVOIR</v>
      </c>
      <c r="N130" s="152">
        <f>+IF(OR($Q130=Parametres!$G$2,$Q130=Parametres!$G$3),I130,C130)</f>
        <v>51200.61</v>
      </c>
      <c r="O130" s="1084">
        <f>+IF(OR($Q130=Parametres!$G$2,$Q130=Parametres!$G$3),J130,D130)</f>
        <v>944.58</v>
      </c>
      <c r="P130" s="152">
        <f>+IF(OR($Q130=Parametres!$G$2,$Q130=Parametres!$G$3),K130,E130)</f>
        <v>52145.19</v>
      </c>
      <c r="Q130" s="151" t="str">
        <f t="shared" ref="Q130:Q193" si="12">+F130</f>
        <v>3-Passifs</v>
      </c>
      <c r="R130" s="150" t="str">
        <f t="shared" ref="R130:R193" si="13">+G130</f>
        <v>2221</v>
      </c>
      <c r="S130" s="151">
        <f t="shared" ref="S130:S193" si="14">+H130</f>
        <v>0</v>
      </c>
      <c r="T130" s="153">
        <f>+VLOOKUP($L130,Data_Validation!$A:$D,1,0)</f>
        <v>2222</v>
      </c>
      <c r="U130" s="153" t="str">
        <f>+VLOOKUP($L130,Data_Validation!$A:$D,3,0)</f>
        <v>Bilan</v>
      </c>
      <c r="V130" s="153" t="str">
        <f>+VLOOKUP($L130,Data_Validation!$A:$D,4,0)</f>
        <v>Taxes de Vente à Payer</v>
      </c>
      <c r="W130" s="153" t="str">
        <f>+VLOOKUP($L130,Data_Validation!$A:$E,5,0)</f>
        <v>$</v>
      </c>
      <c r="X130" s="153">
        <f>+VLOOKUP($L130,Data_Validation!$A:$F,6,0)</f>
        <v>0</v>
      </c>
    </row>
    <row r="131" spans="1:24" ht="15.75" customHeight="1">
      <c r="A131" s="1193" t="s">
        <v>2804</v>
      </c>
      <c r="B131" s="1194">
        <v>2223</v>
      </c>
      <c r="C131" s="1197">
        <v>-166988.29</v>
      </c>
      <c r="D131" s="1197">
        <v>-33436.339999999997</v>
      </c>
      <c r="E131" s="1197">
        <v>-200424.63</v>
      </c>
      <c r="F131" s="1193" t="s">
        <v>279</v>
      </c>
      <c r="G131" s="1193" t="s">
        <v>2059</v>
      </c>
      <c r="H131" s="1201"/>
      <c r="I131" s="1202"/>
      <c r="J131" s="1202"/>
      <c r="K131" s="1202"/>
      <c r="L131" s="150">
        <f t="shared" si="10"/>
        <v>2223</v>
      </c>
      <c r="M131" s="151" t="str">
        <f t="shared" si="11"/>
        <v>TPS A PAYER</v>
      </c>
      <c r="N131" s="152">
        <f>+IF(OR($Q131=Parametres!$G$2,$Q131=Parametres!$G$3),I131,C131)</f>
        <v>-166988.29</v>
      </c>
      <c r="O131" s="1084">
        <f>+IF(OR($Q131=Parametres!$G$2,$Q131=Parametres!$G$3),J131,D131)</f>
        <v>-33436.339999999997</v>
      </c>
      <c r="P131" s="152">
        <f>+IF(OR($Q131=Parametres!$G$2,$Q131=Parametres!$G$3),K131,E131)</f>
        <v>-200424.63</v>
      </c>
      <c r="Q131" s="151" t="str">
        <f t="shared" si="12"/>
        <v>3-Passifs</v>
      </c>
      <c r="R131" s="150" t="str">
        <f t="shared" si="13"/>
        <v>2223</v>
      </c>
      <c r="S131" s="151">
        <f t="shared" si="14"/>
        <v>0</v>
      </c>
      <c r="T131" s="153">
        <f>+VLOOKUP($L131,Data_Validation!$A:$D,1,0)</f>
        <v>2223</v>
      </c>
      <c r="U131" s="153" t="str">
        <f>+VLOOKUP($L131,Data_Validation!$A:$D,3,0)</f>
        <v>Bilan</v>
      </c>
      <c r="V131" s="153" t="str">
        <f>+VLOOKUP($L131,Data_Validation!$A:$D,4,0)</f>
        <v>Taxes de Vente à Payer</v>
      </c>
      <c r="W131" s="153" t="str">
        <f>+VLOOKUP($L131,Data_Validation!$A:$E,5,0)</f>
        <v>$</v>
      </c>
      <c r="X131" s="153">
        <f>+VLOOKUP($L131,Data_Validation!$A:$F,6,0)</f>
        <v>0</v>
      </c>
    </row>
    <row r="132" spans="1:24" ht="15" customHeight="1">
      <c r="A132" s="1193" t="s">
        <v>2057</v>
      </c>
      <c r="B132" s="1194">
        <v>2224</v>
      </c>
      <c r="C132" s="1197">
        <v>148143.97</v>
      </c>
      <c r="D132" s="1197">
        <v>59467.91</v>
      </c>
      <c r="E132" s="1197">
        <v>207611.88</v>
      </c>
      <c r="F132" s="1193" t="s">
        <v>279</v>
      </c>
      <c r="G132" s="1193" t="s">
        <v>2059</v>
      </c>
      <c r="H132" s="948"/>
      <c r="I132" s="951"/>
      <c r="J132" s="951"/>
      <c r="K132" s="951"/>
      <c r="L132" s="150">
        <f t="shared" si="10"/>
        <v>2224</v>
      </c>
      <c r="M132" s="151" t="str">
        <f t="shared" si="11"/>
        <v>TPS A RECEVOIR</v>
      </c>
      <c r="N132" s="152">
        <f>+IF(OR($Q132=Parametres!$G$2,$Q132=Parametres!$G$3),I132,C132)</f>
        <v>148143.97</v>
      </c>
      <c r="O132" s="1084">
        <f>+IF(OR($Q132=Parametres!$G$2,$Q132=Parametres!$G$3),J132,D132)</f>
        <v>59467.91</v>
      </c>
      <c r="P132" s="152">
        <f>+IF(OR($Q132=Parametres!$G$2,$Q132=Parametres!$G$3),K132,E132)</f>
        <v>207611.88</v>
      </c>
      <c r="Q132" s="151" t="str">
        <f t="shared" si="12"/>
        <v>3-Passifs</v>
      </c>
      <c r="R132" s="150" t="str">
        <f t="shared" si="13"/>
        <v>2223</v>
      </c>
      <c r="S132" s="151">
        <f t="shared" si="14"/>
        <v>0</v>
      </c>
      <c r="T132" s="153">
        <f>+VLOOKUP($L132,Data_Validation!$A:$D,1,0)</f>
        <v>2224</v>
      </c>
      <c r="U132" s="153" t="str">
        <f>+VLOOKUP($L132,Data_Validation!$A:$D,3,0)</f>
        <v>Bilan</v>
      </c>
      <c r="V132" s="153" t="str">
        <f>+VLOOKUP($L132,Data_Validation!$A:$D,4,0)</f>
        <v>Taxes de Vente à Payer</v>
      </c>
      <c r="W132" s="153" t="str">
        <f>+VLOOKUP($L132,Data_Validation!$A:$E,5,0)</f>
        <v>$</v>
      </c>
      <c r="X132" s="153">
        <f>+VLOOKUP($L132,Data_Validation!$A:$F,6,0)</f>
        <v>0</v>
      </c>
    </row>
    <row r="133" spans="1:24" ht="15" customHeight="1">
      <c r="A133" s="1193" t="s">
        <v>2607</v>
      </c>
      <c r="B133" s="1194">
        <v>2225</v>
      </c>
      <c r="C133" s="1197">
        <v>-1029</v>
      </c>
      <c r="D133" s="1197">
        <v>-171</v>
      </c>
      <c r="E133" s="1197">
        <v>-1200</v>
      </c>
      <c r="F133" s="1193" t="s">
        <v>279</v>
      </c>
      <c r="G133" s="1193" t="s">
        <v>2050</v>
      </c>
      <c r="H133" s="928"/>
      <c r="I133" s="927"/>
      <c r="J133" s="927"/>
      <c r="K133" s="927"/>
      <c r="L133" s="150">
        <f t="shared" si="10"/>
        <v>2225</v>
      </c>
      <c r="M133" s="151" t="str">
        <f t="shared" si="11"/>
        <v>DROIT SUR PNEUS</v>
      </c>
      <c r="N133" s="152">
        <f>+IF(OR($Q133=Parametres!$G$2,$Q133=Parametres!$G$3),I133,C133)</f>
        <v>-1029</v>
      </c>
      <c r="O133" s="1084">
        <f>+IF(OR($Q133=Parametres!$G$2,$Q133=Parametres!$G$3),J133,D133)</f>
        <v>-171</v>
      </c>
      <c r="P133" s="152">
        <f>+IF(OR($Q133=Parametres!$G$2,$Q133=Parametres!$G$3),K133,E133)</f>
        <v>-1200</v>
      </c>
      <c r="Q133" s="151" t="str">
        <f t="shared" si="12"/>
        <v>3-Passifs</v>
      </c>
      <c r="R133" s="150" t="str">
        <f t="shared" si="13"/>
        <v>2221</v>
      </c>
      <c r="S133" s="151">
        <f t="shared" si="14"/>
        <v>0</v>
      </c>
      <c r="T133" s="153">
        <f>+VLOOKUP($L133,Data_Validation!$A:$D,1,0)</f>
        <v>2225</v>
      </c>
      <c r="U133" s="153" t="str">
        <f>+VLOOKUP($L133,Data_Validation!$A:$D,3,0)</f>
        <v>Bilan</v>
      </c>
      <c r="V133" s="153" t="str">
        <f>+VLOOKUP($L133,Data_Validation!$A:$D,4,0)</f>
        <v>Taxes de Vente à Payer</v>
      </c>
      <c r="W133" s="153" t="str">
        <f>+VLOOKUP($L133,Data_Validation!$A:$E,5,0)</f>
        <v>$</v>
      </c>
      <c r="X133" s="153">
        <f>+VLOOKUP($L133,Data_Validation!$A:$F,6,0)</f>
        <v>0</v>
      </c>
    </row>
    <row r="134" spans="1:24" ht="15" customHeight="1">
      <c r="A134" s="1193" t="s">
        <v>2809</v>
      </c>
      <c r="B134" s="1194">
        <v>2281</v>
      </c>
      <c r="C134" s="1197">
        <v>-157433.37</v>
      </c>
      <c r="D134" s="1197">
        <v>22870.799999999999</v>
      </c>
      <c r="E134" s="1197">
        <v>-134562.57</v>
      </c>
      <c r="F134" s="1193" t="s">
        <v>279</v>
      </c>
      <c r="G134" s="1193" t="s">
        <v>2127</v>
      </c>
      <c r="H134" s="948"/>
      <c r="I134" s="949"/>
      <c r="J134" s="949"/>
      <c r="K134" s="949"/>
      <c r="L134" s="150">
        <f t="shared" si="10"/>
        <v>2281</v>
      </c>
      <c r="M134" s="151" t="str">
        <f t="shared" si="11"/>
        <v>LIEN A PAYER</v>
      </c>
      <c r="N134" s="152">
        <f>+IF(OR($Q134=Parametres!$G$2,$Q134=Parametres!$G$3),I134,C134)</f>
        <v>-157433.37</v>
      </c>
      <c r="O134" s="1084">
        <f>+IF(OR($Q134=Parametres!$G$2,$Q134=Parametres!$G$3),J134,D134)</f>
        <v>22870.799999999999</v>
      </c>
      <c r="P134" s="152">
        <f>+IF(OR($Q134=Parametres!$G$2,$Q134=Parametres!$G$3),K134,E134)</f>
        <v>-134562.57</v>
      </c>
      <c r="Q134" s="151" t="str">
        <f t="shared" si="12"/>
        <v>3-Passifs</v>
      </c>
      <c r="R134" s="150" t="str">
        <f t="shared" si="13"/>
        <v>2283</v>
      </c>
      <c r="S134" s="151">
        <f t="shared" si="14"/>
        <v>0</v>
      </c>
      <c r="T134" s="153">
        <f>+VLOOKUP($L134,Data_Validation!$A:$D,1,0)</f>
        <v>2281</v>
      </c>
      <c r="U134" s="153" t="str">
        <f>+VLOOKUP($L134,Data_Validation!$A:$D,3,0)</f>
        <v>Bilan</v>
      </c>
      <c r="V134" s="153" t="str">
        <f>+VLOOKUP($L134,Data_Validation!$A:$D,4,0)</f>
        <v>Autres Comptes à Payer</v>
      </c>
      <c r="W134" s="153" t="str">
        <f>+VLOOKUP($L134,Data_Validation!$A:$E,5,0)</f>
        <v>$</v>
      </c>
      <c r="X134" s="153">
        <f>+VLOOKUP($L134,Data_Validation!$A:$F,6,0)</f>
        <v>0</v>
      </c>
    </row>
    <row r="135" spans="1:24" ht="15.75" customHeight="1">
      <c r="A135" s="1193" t="s">
        <v>2166</v>
      </c>
      <c r="B135" s="1194">
        <v>2283</v>
      </c>
      <c r="C135" s="1197">
        <v>-2150</v>
      </c>
      <c r="D135" s="1197">
        <v>-720</v>
      </c>
      <c r="E135" s="1197">
        <v>-2870</v>
      </c>
      <c r="F135" s="1193" t="s">
        <v>279</v>
      </c>
      <c r="G135" s="1193" t="s">
        <v>2127</v>
      </c>
      <c r="H135" s="948"/>
      <c r="I135" s="951"/>
      <c r="J135" s="951"/>
      <c r="K135" s="951"/>
      <c r="L135" s="150">
        <f t="shared" si="10"/>
        <v>2283</v>
      </c>
      <c r="M135" s="151" t="str">
        <f t="shared" si="11"/>
        <v>PLAQUE A PAYER</v>
      </c>
      <c r="N135" s="152">
        <f>+IF(OR($Q135=Parametres!$G$2,$Q135=Parametres!$G$3),I135,C135)</f>
        <v>-2150</v>
      </c>
      <c r="O135" s="1084">
        <f>+IF(OR($Q135=Parametres!$G$2,$Q135=Parametres!$G$3),J135,D135)</f>
        <v>-720</v>
      </c>
      <c r="P135" s="152">
        <f>+IF(OR($Q135=Parametres!$G$2,$Q135=Parametres!$G$3),K135,E135)</f>
        <v>-2870</v>
      </c>
      <c r="Q135" s="151" t="str">
        <f t="shared" si="12"/>
        <v>3-Passifs</v>
      </c>
      <c r="R135" s="150" t="str">
        <f t="shared" si="13"/>
        <v>2283</v>
      </c>
      <c r="S135" s="151">
        <f t="shared" si="14"/>
        <v>0</v>
      </c>
      <c r="T135" s="153">
        <f>+VLOOKUP($L135,Data_Validation!$A:$D,1,0)</f>
        <v>2283</v>
      </c>
      <c r="U135" s="153" t="str">
        <f>+VLOOKUP($L135,Data_Validation!$A:$D,3,0)</f>
        <v>Bilan</v>
      </c>
      <c r="V135" s="153" t="str">
        <f>+VLOOKUP($L135,Data_Validation!$A:$D,4,0)</f>
        <v>Autres Comptes à Payer</v>
      </c>
      <c r="W135" s="153" t="str">
        <f>+VLOOKUP($L135,Data_Validation!$A:$E,5,0)</f>
        <v>$</v>
      </c>
      <c r="X135" s="153">
        <f>+VLOOKUP($L135,Data_Validation!$A:$F,6,0)</f>
        <v>0</v>
      </c>
    </row>
    <row r="136" spans="1:24" ht="15" customHeight="1">
      <c r="A136" s="1193" t="s">
        <v>2763</v>
      </c>
      <c r="B136" s="1194">
        <v>2285</v>
      </c>
      <c r="C136" s="1197">
        <v>-60380.9</v>
      </c>
      <c r="D136" s="1197">
        <v>-37069.269999999997</v>
      </c>
      <c r="E136" s="1197">
        <v>-97450.17</v>
      </c>
      <c r="F136" s="1193" t="s">
        <v>279</v>
      </c>
      <c r="G136" s="1193" t="s">
        <v>2127</v>
      </c>
      <c r="H136" s="948"/>
      <c r="I136" s="951"/>
      <c r="J136" s="951"/>
      <c r="K136" s="951"/>
      <c r="L136" s="150">
        <f t="shared" si="10"/>
        <v>2285</v>
      </c>
      <c r="M136" s="151" t="str">
        <f t="shared" si="11"/>
        <v>PROTECTIONS A PAYER</v>
      </c>
      <c r="N136" s="152">
        <f>+IF(OR($Q136=Parametres!$G$2,$Q136=Parametres!$G$3),I136,C136)</f>
        <v>-60380.9</v>
      </c>
      <c r="O136" s="1084">
        <f>+IF(OR($Q136=Parametres!$G$2,$Q136=Parametres!$G$3),J136,D136)</f>
        <v>-37069.269999999997</v>
      </c>
      <c r="P136" s="152">
        <f>+IF(OR($Q136=Parametres!$G$2,$Q136=Parametres!$G$3),K136,E136)</f>
        <v>-97450.17</v>
      </c>
      <c r="Q136" s="151" t="str">
        <f t="shared" si="12"/>
        <v>3-Passifs</v>
      </c>
      <c r="R136" s="150" t="str">
        <f t="shared" si="13"/>
        <v>2283</v>
      </c>
      <c r="S136" s="151">
        <f t="shared" si="14"/>
        <v>0</v>
      </c>
      <c r="T136" s="153">
        <f>+VLOOKUP($L136,Data_Validation!$A:$D,1,0)</f>
        <v>2285</v>
      </c>
      <c r="U136" s="153" t="str">
        <f>+VLOOKUP($L136,Data_Validation!$A:$D,3,0)</f>
        <v>Bilan</v>
      </c>
      <c r="V136" s="153" t="str">
        <f>+VLOOKUP($L136,Data_Validation!$A:$D,4,0)</f>
        <v>Autres Comptes à Payer</v>
      </c>
      <c r="W136" s="153" t="str">
        <f>+VLOOKUP($L136,Data_Validation!$A:$E,5,0)</f>
        <v>$</v>
      </c>
      <c r="X136" s="153">
        <f>+VLOOKUP($L136,Data_Validation!$A:$F,6,0)</f>
        <v>0</v>
      </c>
    </row>
    <row r="137" spans="1:24" ht="15" customHeight="1">
      <c r="A137" s="1193" t="s">
        <v>2737</v>
      </c>
      <c r="B137" s="1194">
        <v>2287</v>
      </c>
      <c r="C137" s="1197">
        <v>-16970.21</v>
      </c>
      <c r="D137" s="1197">
        <v>-3554.63</v>
      </c>
      <c r="E137" s="1197">
        <v>-20524.84</v>
      </c>
      <c r="F137" s="1193" t="s">
        <v>279</v>
      </c>
      <c r="G137" s="1193" t="s">
        <v>2127</v>
      </c>
      <c r="H137" s="948"/>
      <c r="I137" s="951"/>
      <c r="J137" s="951"/>
      <c r="K137" s="951"/>
      <c r="L137" s="150">
        <f t="shared" si="10"/>
        <v>2287</v>
      </c>
      <c r="M137" s="151" t="str">
        <f t="shared" si="11"/>
        <v>A PAYER INVAPLAN</v>
      </c>
      <c r="N137" s="152">
        <f>+IF(OR($Q137=Parametres!$G$2,$Q137=Parametres!$G$3),I137,C137)</f>
        <v>-16970.21</v>
      </c>
      <c r="O137" s="1084">
        <f>+IF(OR($Q137=Parametres!$G$2,$Q137=Parametres!$G$3),J137,D137)</f>
        <v>-3554.63</v>
      </c>
      <c r="P137" s="152">
        <f>+IF(OR($Q137=Parametres!$G$2,$Q137=Parametres!$G$3),K137,E137)</f>
        <v>-20524.84</v>
      </c>
      <c r="Q137" s="151" t="str">
        <f t="shared" si="12"/>
        <v>3-Passifs</v>
      </c>
      <c r="R137" s="150" t="str">
        <f t="shared" si="13"/>
        <v>2283</v>
      </c>
      <c r="S137" s="151">
        <f t="shared" si="14"/>
        <v>0</v>
      </c>
      <c r="T137" s="153">
        <f>+VLOOKUP($L137,Data_Validation!$A:$D,1,0)</f>
        <v>2287</v>
      </c>
      <c r="U137" s="153" t="str">
        <f>+VLOOKUP($L137,Data_Validation!$A:$D,3,0)</f>
        <v>Bilan</v>
      </c>
      <c r="V137" s="153" t="str">
        <f>+VLOOKUP($L137,Data_Validation!$A:$D,4,0)</f>
        <v>Autres Comptes à Payer</v>
      </c>
      <c r="W137" s="153" t="str">
        <f>+VLOOKUP($L137,Data_Validation!$A:$E,5,0)</f>
        <v>$</v>
      </c>
      <c r="X137" s="153">
        <f>+VLOOKUP($L137,Data_Validation!$A:$F,6,0)</f>
        <v>0</v>
      </c>
    </row>
    <row r="138" spans="1:24" ht="15" customHeight="1">
      <c r="A138" s="1193" t="s">
        <v>2002</v>
      </c>
      <c r="B138" s="1194">
        <v>2291</v>
      </c>
      <c r="C138" s="1197">
        <v>-51375.48</v>
      </c>
      <c r="D138" s="1197">
        <v>-150043.79</v>
      </c>
      <c r="E138" s="1197">
        <v>-201419.27</v>
      </c>
      <c r="F138" s="1193" t="s">
        <v>279</v>
      </c>
      <c r="G138" s="1193" t="s">
        <v>2003</v>
      </c>
      <c r="H138" s="928"/>
      <c r="I138" s="927"/>
      <c r="J138" s="927"/>
      <c r="K138" s="927"/>
      <c r="L138" s="150">
        <f t="shared" si="10"/>
        <v>2291</v>
      </c>
      <c r="M138" s="151" t="str">
        <f t="shared" si="11"/>
        <v>COMPTES FOURNISSEURS</v>
      </c>
      <c r="N138" s="152">
        <f>+IF(OR($Q138=Parametres!$G$2,$Q138=Parametres!$G$3),I138,C138)</f>
        <v>-51375.48</v>
      </c>
      <c r="O138" s="1084">
        <f>+IF(OR($Q138=Parametres!$G$2,$Q138=Parametres!$G$3),J138,D138)</f>
        <v>-150043.79</v>
      </c>
      <c r="P138" s="152">
        <f>+IF(OR($Q138=Parametres!$G$2,$Q138=Parametres!$G$3),K138,E138)</f>
        <v>-201419.27</v>
      </c>
      <c r="Q138" s="151" t="str">
        <f t="shared" si="12"/>
        <v>3-Passifs</v>
      </c>
      <c r="R138" s="150" t="str">
        <f t="shared" si="13"/>
        <v>2291</v>
      </c>
      <c r="S138" s="151">
        <f t="shared" si="14"/>
        <v>0</v>
      </c>
      <c r="T138" s="153">
        <f>+VLOOKUP($L138,Data_Validation!$A:$D,1,0)</f>
        <v>2291</v>
      </c>
      <c r="U138" s="153" t="str">
        <f>+VLOOKUP($L138,Data_Validation!$A:$D,3,0)</f>
        <v>Bilan</v>
      </c>
      <c r="V138" s="153" t="str">
        <f>+VLOOKUP($L138,Data_Validation!$A:$D,4,0)</f>
        <v>Comptes à Payer Fournisseurs</v>
      </c>
      <c r="W138" s="153" t="str">
        <f>+VLOOKUP($L138,Data_Validation!$A:$E,5,0)</f>
        <v>$</v>
      </c>
      <c r="X138" s="153">
        <f>+VLOOKUP($L138,Data_Validation!$A:$F,6,0)</f>
        <v>0</v>
      </c>
    </row>
    <row r="139" spans="1:24" ht="15.75" customHeight="1">
      <c r="A139" s="1193" t="s">
        <v>2042</v>
      </c>
      <c r="B139" s="1194">
        <v>2292</v>
      </c>
      <c r="C139" s="1197">
        <v>7000</v>
      </c>
      <c r="D139" s="1197">
        <v>25000</v>
      </c>
      <c r="E139" s="1197">
        <v>32000</v>
      </c>
      <c r="F139" s="1193" t="s">
        <v>279</v>
      </c>
      <c r="G139" s="1193" t="s">
        <v>2003</v>
      </c>
      <c r="H139" s="948"/>
      <c r="I139" s="951"/>
      <c r="J139" s="951"/>
      <c r="K139" s="951"/>
      <c r="L139" s="150">
        <f t="shared" si="10"/>
        <v>2292</v>
      </c>
      <c r="M139" s="151" t="str">
        <f t="shared" si="11"/>
        <v>ECHANGE ENTRE CONCESSIONNAIRES</v>
      </c>
      <c r="N139" s="152">
        <f>+IF(OR($Q139=Parametres!$G$2,$Q139=Parametres!$G$3),I139,C139)</f>
        <v>7000</v>
      </c>
      <c r="O139" s="1084">
        <f>+IF(OR($Q139=Parametres!$G$2,$Q139=Parametres!$G$3),J139,D139)</f>
        <v>25000</v>
      </c>
      <c r="P139" s="152">
        <f>+IF(OR($Q139=Parametres!$G$2,$Q139=Parametres!$G$3),K139,E139)</f>
        <v>32000</v>
      </c>
      <c r="Q139" s="151" t="str">
        <f t="shared" si="12"/>
        <v>3-Passifs</v>
      </c>
      <c r="R139" s="150" t="str">
        <f t="shared" si="13"/>
        <v>2291</v>
      </c>
      <c r="S139" s="151">
        <f t="shared" si="14"/>
        <v>0</v>
      </c>
      <c r="T139" s="153">
        <f>+VLOOKUP($L139,Data_Validation!$A:$D,1,0)</f>
        <v>2292</v>
      </c>
      <c r="U139" s="153" t="str">
        <f>+VLOOKUP($L139,Data_Validation!$A:$D,3,0)</f>
        <v>Bilan</v>
      </c>
      <c r="V139" s="153" t="str">
        <f>+VLOOKUP($L139,Data_Validation!$A:$D,4,0)</f>
        <v>Autres Comptes à Payer</v>
      </c>
      <c r="W139" s="153" t="str">
        <f>+VLOOKUP($L139,Data_Validation!$A:$E,5,0)</f>
        <v>$</v>
      </c>
      <c r="X139" s="153">
        <f>+VLOOKUP($L139,Data_Validation!$A:$F,6,0)</f>
        <v>0</v>
      </c>
    </row>
    <row r="140" spans="1:24" ht="15" customHeight="1">
      <c r="A140" s="1193" t="s">
        <v>2125</v>
      </c>
      <c r="B140" s="1194">
        <v>2293</v>
      </c>
      <c r="C140" s="1197">
        <v>-2071.81</v>
      </c>
      <c r="D140" s="1197">
        <v>-2875.91</v>
      </c>
      <c r="E140" s="1197">
        <v>-4947.72</v>
      </c>
      <c r="F140" s="1193" t="s">
        <v>279</v>
      </c>
      <c r="G140" s="1193" t="s">
        <v>2127</v>
      </c>
      <c r="H140" s="948"/>
      <c r="I140" s="951"/>
      <c r="J140" s="951"/>
      <c r="K140" s="951"/>
      <c r="L140" s="150">
        <f t="shared" si="10"/>
        <v>2293</v>
      </c>
      <c r="M140" s="151" t="str">
        <f t="shared" si="11"/>
        <v>PROVISIONS GARANTIES USAGEES</v>
      </c>
      <c r="N140" s="152">
        <f>+IF(OR($Q140=Parametres!$G$2,$Q140=Parametres!$G$3),I140,C140)</f>
        <v>-2071.81</v>
      </c>
      <c r="O140" s="1084">
        <f>+IF(OR($Q140=Parametres!$G$2,$Q140=Parametres!$G$3),J140,D140)</f>
        <v>-2875.91</v>
      </c>
      <c r="P140" s="152">
        <f>+IF(OR($Q140=Parametres!$G$2,$Q140=Parametres!$G$3),K140,E140)</f>
        <v>-4947.72</v>
      </c>
      <c r="Q140" s="151" t="str">
        <f t="shared" si="12"/>
        <v>3-Passifs</v>
      </c>
      <c r="R140" s="150" t="str">
        <f t="shared" si="13"/>
        <v>2283</v>
      </c>
      <c r="S140" s="151">
        <f t="shared" si="14"/>
        <v>0</v>
      </c>
      <c r="T140" s="153">
        <f>+VLOOKUP($L140,Data_Validation!$A:$D,1,0)</f>
        <v>2293</v>
      </c>
      <c r="U140" s="153" t="str">
        <f>+VLOOKUP($L140,Data_Validation!$A:$D,3,0)</f>
        <v>Bilan</v>
      </c>
      <c r="V140" s="153" t="str">
        <f>+VLOOKUP($L140,Data_Validation!$A:$D,4,0)</f>
        <v>Autres Courus</v>
      </c>
      <c r="W140" s="153" t="str">
        <f>+VLOOKUP($L140,Data_Validation!$A:$E,5,0)</f>
        <v>$</v>
      </c>
      <c r="X140" s="153">
        <f>+VLOOKUP($L140,Data_Validation!$A:$F,6,0)</f>
        <v>0</v>
      </c>
    </row>
    <row r="141" spans="1:24" ht="15" customHeight="1">
      <c r="A141" s="1193" t="s">
        <v>2410</v>
      </c>
      <c r="B141" s="1194">
        <v>2295</v>
      </c>
      <c r="C141" s="1197" t="s">
        <v>3277</v>
      </c>
      <c r="D141" s="1197">
        <v>-45</v>
      </c>
      <c r="E141" s="1197">
        <v>-45</v>
      </c>
      <c r="F141" s="1193" t="s">
        <v>279</v>
      </c>
      <c r="G141" s="1193" t="s">
        <v>2126</v>
      </c>
      <c r="H141" s="948"/>
      <c r="I141" s="949"/>
      <c r="J141" s="949"/>
      <c r="K141" s="949"/>
      <c r="L141" s="150">
        <f t="shared" si="10"/>
        <v>2295</v>
      </c>
      <c r="M141" s="151" t="str">
        <f t="shared" si="11"/>
        <v>RESERVE ESSENCE</v>
      </c>
      <c r="N141" s="152" t="str">
        <f>+IF(OR($Q141=Parametres!$G$2,$Q141=Parametres!$G$3),I141,C141)</f>
        <v xml:space="preserve">                                 -   </v>
      </c>
      <c r="O141" s="1084">
        <f>+IF(OR($Q141=Parametres!$G$2,$Q141=Parametres!$G$3),J141,D141)</f>
        <v>-45</v>
      </c>
      <c r="P141" s="152">
        <f>+IF(OR($Q141=Parametres!$G$2,$Q141=Parametres!$G$3),K141,E141)</f>
        <v>-45</v>
      </c>
      <c r="Q141" s="151" t="str">
        <f t="shared" si="12"/>
        <v>3-Passifs</v>
      </c>
      <c r="R141" s="150" t="str">
        <f t="shared" si="13"/>
        <v>2293</v>
      </c>
      <c r="S141" s="151">
        <f t="shared" si="14"/>
        <v>0</v>
      </c>
      <c r="T141" s="153">
        <f>+VLOOKUP($L141,Data_Validation!$A:$D,1,0)</f>
        <v>2295</v>
      </c>
      <c r="U141" s="153" t="str">
        <f>+VLOOKUP($L141,Data_Validation!$A:$D,3,0)</f>
        <v>Bilan</v>
      </c>
      <c r="V141" s="153" t="str">
        <f>+VLOOKUP($L141,Data_Validation!$A:$D,4,0)</f>
        <v>Autres Courus</v>
      </c>
      <c r="W141" s="153" t="str">
        <f>+VLOOKUP($L141,Data_Validation!$A:$E,5,0)</f>
        <v>$</v>
      </c>
      <c r="X141" s="153">
        <f>+VLOOKUP($L141,Data_Validation!$A:$F,6,0)</f>
        <v>0</v>
      </c>
    </row>
    <row r="142" spans="1:24" ht="15" customHeight="1">
      <c r="A142" s="1193" t="s">
        <v>2932</v>
      </c>
      <c r="B142" s="1194">
        <v>2296</v>
      </c>
      <c r="C142" s="1197">
        <v>-91407.11</v>
      </c>
      <c r="D142" s="1197">
        <v>-3311.46</v>
      </c>
      <c r="E142" s="1197">
        <v>-94718.57</v>
      </c>
      <c r="F142" s="1193" t="s">
        <v>279</v>
      </c>
      <c r="G142" s="1193" t="s">
        <v>2003</v>
      </c>
      <c r="H142" s="948"/>
      <c r="I142" s="949"/>
      <c r="J142" s="949"/>
      <c r="K142" s="949"/>
      <c r="L142" s="150">
        <f t="shared" si="10"/>
        <v>2296</v>
      </c>
      <c r="M142" s="151" t="str">
        <f t="shared" si="11"/>
        <v>COMPTE FOURNISSEURS INTERCO</v>
      </c>
      <c r="N142" s="152">
        <f>+IF(OR($Q142=Parametres!$G$2,$Q142=Parametres!$G$3),I142,C142)</f>
        <v>-91407.11</v>
      </c>
      <c r="O142" s="1084">
        <f>+IF(OR($Q142=Parametres!$G$2,$Q142=Parametres!$G$3),J142,D142)</f>
        <v>-3311.46</v>
      </c>
      <c r="P142" s="152">
        <f>+IF(OR($Q142=Parametres!$G$2,$Q142=Parametres!$G$3),K142,E142)</f>
        <v>-94718.57</v>
      </c>
      <c r="Q142" s="151" t="str">
        <f t="shared" si="12"/>
        <v>3-Passifs</v>
      </c>
      <c r="R142" s="150" t="str">
        <f t="shared" si="13"/>
        <v>2291</v>
      </c>
      <c r="S142" s="151">
        <f t="shared" si="14"/>
        <v>0</v>
      </c>
      <c r="T142" s="153">
        <f>+VLOOKUP($L142,Data_Validation!$A:$D,1,0)</f>
        <v>2296</v>
      </c>
      <c r="U142" s="153" t="str">
        <f>+VLOOKUP($L142,Data_Validation!$A:$D,3,0)</f>
        <v>Bilan</v>
      </c>
      <c r="V142" s="153" t="str">
        <f>+VLOOKUP($L142,Data_Validation!$A:$D,4,0)</f>
        <v>Payables Intercos</v>
      </c>
      <c r="W142" s="153" t="str">
        <f>+VLOOKUP($L142,Data_Validation!$A:$E,5,0)</f>
        <v>$</v>
      </c>
      <c r="X142" s="153">
        <f>+VLOOKUP($L142,Data_Validation!$A:$F,6,0)</f>
        <v>0</v>
      </c>
    </row>
    <row r="143" spans="1:24" ht="15.75" customHeight="1">
      <c r="A143" s="1193" t="s">
        <v>2139</v>
      </c>
      <c r="B143" s="1194">
        <v>2297</v>
      </c>
      <c r="C143" s="1197">
        <v>-8800</v>
      </c>
      <c r="D143" s="1197">
        <v>-2650</v>
      </c>
      <c r="E143" s="1197">
        <v>-11450</v>
      </c>
      <c r="F143" s="1193" t="s">
        <v>279</v>
      </c>
      <c r="G143" s="1193" t="s">
        <v>2127</v>
      </c>
      <c r="H143" s="987"/>
      <c r="I143" s="988"/>
      <c r="J143" s="988"/>
      <c r="K143" s="988"/>
      <c r="L143" s="150">
        <f t="shared" si="10"/>
        <v>2297</v>
      </c>
      <c r="M143" s="151" t="str">
        <f t="shared" si="11"/>
        <v>RESERVE RENOUVELLEMENT</v>
      </c>
      <c r="N143" s="152">
        <f>+IF(OR($Q143=Parametres!$G$2,$Q143=Parametres!$G$3),I143,C143)</f>
        <v>-8800</v>
      </c>
      <c r="O143" s="1084">
        <f>+IF(OR($Q143=Parametres!$G$2,$Q143=Parametres!$G$3),J143,D143)</f>
        <v>-2650</v>
      </c>
      <c r="P143" s="152">
        <f>+IF(OR($Q143=Parametres!$G$2,$Q143=Parametres!$G$3),K143,E143)</f>
        <v>-11450</v>
      </c>
      <c r="Q143" s="151" t="str">
        <f t="shared" si="12"/>
        <v>3-Passifs</v>
      </c>
      <c r="R143" s="150" t="str">
        <f t="shared" si="13"/>
        <v>2283</v>
      </c>
      <c r="S143" s="151">
        <f t="shared" si="14"/>
        <v>0</v>
      </c>
      <c r="T143" s="153">
        <f>+VLOOKUP($L143,Data_Validation!$A:$D,1,0)</f>
        <v>2297</v>
      </c>
      <c r="U143" s="153" t="str">
        <f>+VLOOKUP($L143,Data_Validation!$A:$D,3,0)</f>
        <v>Bilan</v>
      </c>
      <c r="V143" s="153" t="str">
        <f>+VLOOKUP($L143,Data_Validation!$A:$D,4,0)</f>
        <v>Autres Courus</v>
      </c>
      <c r="W143" s="153" t="str">
        <f>+VLOOKUP($L143,Data_Validation!$A:$E,5,0)</f>
        <v>$</v>
      </c>
      <c r="X143" s="153">
        <f>+VLOOKUP($L143,Data_Validation!$A:$F,6,0)</f>
        <v>0</v>
      </c>
    </row>
    <row r="144" spans="1:24" ht="15" customHeight="1">
      <c r="A144" s="1193" t="s">
        <v>2701</v>
      </c>
      <c r="B144" s="1194">
        <v>2315</v>
      </c>
      <c r="C144" s="1197">
        <v>5519.62</v>
      </c>
      <c r="D144" s="1197">
        <v>2897.19</v>
      </c>
      <c r="E144" s="1197">
        <v>8416.81</v>
      </c>
      <c r="F144" s="1193" t="s">
        <v>279</v>
      </c>
      <c r="G144" s="1193" t="s">
        <v>2155</v>
      </c>
      <c r="H144" s="948"/>
      <c r="I144" s="951"/>
      <c r="J144" s="951"/>
      <c r="K144" s="951"/>
      <c r="L144" s="150">
        <f t="shared" si="10"/>
        <v>2315</v>
      </c>
      <c r="M144" s="151" t="str">
        <f t="shared" si="11"/>
        <v>PRIME ASSURANCE GROUPE</v>
      </c>
      <c r="N144" s="152">
        <f>+IF(OR($Q144=Parametres!$G$2,$Q144=Parametres!$G$3),I144,C144)</f>
        <v>5519.62</v>
      </c>
      <c r="O144" s="1084">
        <f>+IF(OR($Q144=Parametres!$G$2,$Q144=Parametres!$G$3),J144,D144)</f>
        <v>2897.19</v>
      </c>
      <c r="P144" s="152">
        <f>+IF(OR($Q144=Parametres!$G$2,$Q144=Parametres!$G$3),K144,E144)</f>
        <v>8416.81</v>
      </c>
      <c r="Q144" s="151" t="str">
        <f t="shared" si="12"/>
        <v>3-Passifs</v>
      </c>
      <c r="R144" s="150" t="str">
        <f t="shared" si="13"/>
        <v>2315</v>
      </c>
      <c r="S144" s="151">
        <f t="shared" si="14"/>
        <v>0</v>
      </c>
      <c r="T144" s="153">
        <f>+VLOOKUP($L144,Data_Validation!$A:$D,1,0)</f>
        <v>2315</v>
      </c>
      <c r="U144" s="153" t="str">
        <f>+VLOOKUP($L144,Data_Validation!$A:$D,3,0)</f>
        <v>Bilan</v>
      </c>
      <c r="V144" s="153" t="str">
        <f>+VLOOKUP($L144,Data_Validation!$A:$D,4,0)</f>
        <v>DAS à Payer</v>
      </c>
      <c r="W144" s="153" t="str">
        <f>+VLOOKUP($L144,Data_Validation!$A:$E,5,0)</f>
        <v>$</v>
      </c>
      <c r="X144" s="153">
        <f>+VLOOKUP($L144,Data_Validation!$A:$F,6,0)</f>
        <v>0</v>
      </c>
    </row>
    <row r="145" spans="1:24" ht="15" customHeight="1">
      <c r="A145" s="1193" t="s">
        <v>2153</v>
      </c>
      <c r="B145" s="1194">
        <v>2335</v>
      </c>
      <c r="C145" s="1197">
        <v>52.35</v>
      </c>
      <c r="D145" s="1197" t="s">
        <v>3444</v>
      </c>
      <c r="E145" s="1197">
        <v>52.35</v>
      </c>
      <c r="F145" s="1193" t="s">
        <v>279</v>
      </c>
      <c r="G145" s="1193" t="s">
        <v>2155</v>
      </c>
      <c r="H145" s="948"/>
      <c r="I145" s="949"/>
      <c r="J145" s="949"/>
      <c r="K145" s="949"/>
      <c r="L145" s="150">
        <f t="shared" si="10"/>
        <v>2335</v>
      </c>
      <c r="M145" s="151" t="str">
        <f t="shared" si="11"/>
        <v>COMITE SOCIAL</v>
      </c>
      <c r="N145" s="152">
        <f>+IF(OR($Q145=Parametres!$G$2,$Q145=Parametres!$G$3),I145,C145)</f>
        <v>52.35</v>
      </c>
      <c r="O145" s="1084" t="str">
        <f>+IF(OR($Q145=Parametres!$G$2,$Q145=Parametres!$G$3),J145,D145)</f>
        <v xml:space="preserve">                       -   </v>
      </c>
      <c r="P145" s="152">
        <f>+IF(OR($Q145=Parametres!$G$2,$Q145=Parametres!$G$3),K145,E145)</f>
        <v>52.35</v>
      </c>
      <c r="Q145" s="151" t="str">
        <f t="shared" si="12"/>
        <v>3-Passifs</v>
      </c>
      <c r="R145" s="150" t="str">
        <f t="shared" si="13"/>
        <v>2315</v>
      </c>
      <c r="S145" s="151">
        <f t="shared" si="14"/>
        <v>0</v>
      </c>
      <c r="T145" s="153">
        <f>+VLOOKUP($L145,Data_Validation!$A:$D,1,0)</f>
        <v>2335</v>
      </c>
      <c r="U145" s="153" t="str">
        <f>+VLOOKUP($L145,Data_Validation!$A:$D,3,0)</f>
        <v>Bilan</v>
      </c>
      <c r="V145" s="153" t="str">
        <f>+VLOOKUP($L145,Data_Validation!$A:$D,4,0)</f>
        <v>DAS à Payer</v>
      </c>
      <c r="W145" s="153" t="str">
        <f>+VLOOKUP($L145,Data_Validation!$A:$E,5,0)</f>
        <v>$</v>
      </c>
      <c r="X145" s="153">
        <f>+VLOOKUP($L145,Data_Validation!$A:$F,6,0)</f>
        <v>0</v>
      </c>
    </row>
    <row r="146" spans="1:24" ht="15" customHeight="1">
      <c r="A146" s="1193" t="s">
        <v>2740</v>
      </c>
      <c r="B146" s="1194">
        <v>2342</v>
      </c>
      <c r="C146" s="1197">
        <v>-26817.84</v>
      </c>
      <c r="D146" s="1197">
        <v>853.32</v>
      </c>
      <c r="E146" s="1197">
        <v>-25964.52</v>
      </c>
      <c r="F146" s="1193" t="s">
        <v>279</v>
      </c>
      <c r="G146" s="1193" t="s">
        <v>2155</v>
      </c>
      <c r="H146" s="948"/>
      <c r="I146" s="951"/>
      <c r="J146" s="951"/>
      <c r="K146" s="951"/>
      <c r="L146" s="150">
        <f t="shared" si="10"/>
        <v>2342</v>
      </c>
      <c r="M146" s="151" t="str">
        <f t="shared" si="11"/>
        <v>REER STANDARD LIFE</v>
      </c>
      <c r="N146" s="152">
        <f>+IF(OR($Q146=Parametres!$G$2,$Q146=Parametres!$G$3),I146,C146)</f>
        <v>-26817.84</v>
      </c>
      <c r="O146" s="1084">
        <f>+IF(OR($Q146=Parametres!$G$2,$Q146=Parametres!$G$3),J146,D146)</f>
        <v>853.32</v>
      </c>
      <c r="P146" s="152">
        <f>+IF(OR($Q146=Parametres!$G$2,$Q146=Parametres!$G$3),K146,E146)</f>
        <v>-25964.52</v>
      </c>
      <c r="Q146" s="151" t="str">
        <f t="shared" si="12"/>
        <v>3-Passifs</v>
      </c>
      <c r="R146" s="150" t="str">
        <f t="shared" si="13"/>
        <v>2315</v>
      </c>
      <c r="S146" s="151">
        <f t="shared" si="14"/>
        <v>0</v>
      </c>
      <c r="T146" s="153">
        <f>+VLOOKUP($L146,Data_Validation!$A:$D,1,0)</f>
        <v>2342</v>
      </c>
      <c r="U146" s="153" t="str">
        <f>+VLOOKUP($L146,Data_Validation!$A:$D,3,0)</f>
        <v>Bilan</v>
      </c>
      <c r="V146" s="153" t="str">
        <f>+VLOOKUP($L146,Data_Validation!$A:$D,4,0)</f>
        <v>DAS à Payer</v>
      </c>
      <c r="W146" s="153" t="str">
        <f>+VLOOKUP($L146,Data_Validation!$A:$E,5,0)</f>
        <v>$</v>
      </c>
      <c r="X146" s="153">
        <f>+VLOOKUP($L146,Data_Validation!$A:$F,6,0)</f>
        <v>0</v>
      </c>
    </row>
    <row r="147" spans="1:24" ht="15" customHeight="1">
      <c r="A147" s="1193" t="s">
        <v>2573</v>
      </c>
      <c r="B147" s="1194">
        <v>2343</v>
      </c>
      <c r="C147" s="1197">
        <v>-712.7</v>
      </c>
      <c r="D147" s="1197">
        <v>167.72</v>
      </c>
      <c r="E147" s="1197">
        <v>-544.98</v>
      </c>
      <c r="F147" s="1193" t="s">
        <v>279</v>
      </c>
      <c r="G147" s="1193" t="s">
        <v>2155</v>
      </c>
      <c r="H147" s="948"/>
      <c r="I147" s="949"/>
      <c r="J147" s="949"/>
      <c r="K147" s="949"/>
      <c r="L147" s="150">
        <f t="shared" si="10"/>
        <v>2343</v>
      </c>
      <c r="M147" s="151" t="str">
        <f t="shared" si="11"/>
        <v>COMITE PARITAIRE</v>
      </c>
      <c r="N147" s="152">
        <f>+IF(OR($Q147=Parametres!$G$2,$Q147=Parametres!$G$3),I147,C147)</f>
        <v>-712.7</v>
      </c>
      <c r="O147" s="1084">
        <f>+IF(OR($Q147=Parametres!$G$2,$Q147=Parametres!$G$3),J147,D147)</f>
        <v>167.72</v>
      </c>
      <c r="P147" s="152">
        <f>+IF(OR($Q147=Parametres!$G$2,$Q147=Parametres!$G$3),K147,E147)</f>
        <v>-544.98</v>
      </c>
      <c r="Q147" s="151" t="str">
        <f t="shared" si="12"/>
        <v>3-Passifs</v>
      </c>
      <c r="R147" s="150" t="str">
        <f t="shared" si="13"/>
        <v>2315</v>
      </c>
      <c r="S147" s="151">
        <f t="shared" si="14"/>
        <v>0</v>
      </c>
      <c r="T147" s="153">
        <f>+VLOOKUP($L147,Data_Validation!$A:$D,1,0)</f>
        <v>2343</v>
      </c>
      <c r="U147" s="153" t="str">
        <f>+VLOOKUP($L147,Data_Validation!$A:$D,3,0)</f>
        <v>Bilan</v>
      </c>
      <c r="V147" s="153" t="str">
        <f>+VLOOKUP($L147,Data_Validation!$A:$D,4,0)</f>
        <v>DAS à Payer</v>
      </c>
      <c r="W147" s="153" t="str">
        <f>+VLOOKUP($L147,Data_Validation!$A:$E,5,0)</f>
        <v>$</v>
      </c>
      <c r="X147" s="153">
        <f>+VLOOKUP($L147,Data_Validation!$A:$F,6,0)</f>
        <v>0</v>
      </c>
    </row>
    <row r="148" spans="1:24" ht="15" customHeight="1">
      <c r="A148" s="1193" t="s">
        <v>533</v>
      </c>
      <c r="B148" s="1194">
        <v>2344</v>
      </c>
      <c r="C148" s="1197">
        <v>-608.94000000000005</v>
      </c>
      <c r="D148" s="1197">
        <v>-574.94000000000005</v>
      </c>
      <c r="E148" s="1197">
        <v>-1183.8800000000001</v>
      </c>
      <c r="F148" s="1193" t="s">
        <v>279</v>
      </c>
      <c r="G148" s="1193" t="s">
        <v>2155</v>
      </c>
      <c r="H148" s="948"/>
      <c r="I148" s="951"/>
      <c r="J148" s="951"/>
      <c r="K148" s="951"/>
      <c r="L148" s="150">
        <f t="shared" si="10"/>
        <v>2344</v>
      </c>
      <c r="M148" s="151" t="str">
        <f t="shared" si="11"/>
        <v>CENTRAIDE</v>
      </c>
      <c r="N148" s="152">
        <f>+IF(OR($Q148=Parametres!$G$2,$Q148=Parametres!$G$3),I148,C148)</f>
        <v>-608.94000000000005</v>
      </c>
      <c r="O148" s="1084">
        <f>+IF(OR($Q148=Parametres!$G$2,$Q148=Parametres!$G$3),J148,D148)</f>
        <v>-574.94000000000005</v>
      </c>
      <c r="P148" s="152">
        <f>+IF(OR($Q148=Parametres!$G$2,$Q148=Parametres!$G$3),K148,E148)</f>
        <v>-1183.8800000000001</v>
      </c>
      <c r="Q148" s="151" t="str">
        <f t="shared" si="12"/>
        <v>3-Passifs</v>
      </c>
      <c r="R148" s="150" t="str">
        <f t="shared" si="13"/>
        <v>2315</v>
      </c>
      <c r="S148" s="151">
        <f t="shared" si="14"/>
        <v>0</v>
      </c>
      <c r="T148" s="153">
        <f>+VLOOKUP($L148,Data_Validation!$A:$D,1,0)</f>
        <v>2344</v>
      </c>
      <c r="U148" s="153" t="str">
        <f>+VLOOKUP($L148,Data_Validation!$A:$D,3,0)</f>
        <v>Bilan</v>
      </c>
      <c r="V148" s="153" t="str">
        <f>+VLOOKUP($L148,Data_Validation!$A:$D,4,0)</f>
        <v>DAS à Payer</v>
      </c>
      <c r="W148" s="153" t="str">
        <f>+VLOOKUP($L148,Data_Validation!$A:$E,5,0)</f>
        <v>$</v>
      </c>
      <c r="X148" s="153">
        <f>+VLOOKUP($L148,Data_Validation!$A:$F,6,0)</f>
        <v>0</v>
      </c>
    </row>
    <row r="149" spans="1:24" ht="15" customHeight="1">
      <c r="A149" s="1193" t="s">
        <v>2186</v>
      </c>
      <c r="B149" s="1194">
        <v>2401</v>
      </c>
      <c r="C149" s="1197">
        <v>-26050</v>
      </c>
      <c r="D149" s="1197">
        <v>5580</v>
      </c>
      <c r="E149" s="1197">
        <v>-20470</v>
      </c>
      <c r="F149" s="1193" t="s">
        <v>279</v>
      </c>
      <c r="G149" s="1193" t="s">
        <v>2187</v>
      </c>
      <c r="H149" s="948"/>
      <c r="I149" s="951"/>
      <c r="J149" s="951"/>
      <c r="K149" s="951"/>
      <c r="L149" s="150">
        <f t="shared" si="10"/>
        <v>2401</v>
      </c>
      <c r="M149" s="151" t="str">
        <f t="shared" si="11"/>
        <v>DEPOTS FIDUCIE-VENTE CLIENTS</v>
      </c>
      <c r="N149" s="152">
        <f>+IF(OR($Q149=Parametres!$G$2,$Q149=Parametres!$G$3),I149,C149)</f>
        <v>-26050</v>
      </c>
      <c r="O149" s="1084">
        <f>+IF(OR($Q149=Parametres!$G$2,$Q149=Parametres!$G$3),J149,D149)</f>
        <v>5580</v>
      </c>
      <c r="P149" s="152">
        <f>+IF(OR($Q149=Parametres!$G$2,$Q149=Parametres!$G$3),K149,E149)</f>
        <v>-20470</v>
      </c>
      <c r="Q149" s="151" t="str">
        <f t="shared" si="12"/>
        <v>3-Passifs</v>
      </c>
      <c r="R149" s="150" t="str">
        <f t="shared" si="13"/>
        <v>2401</v>
      </c>
      <c r="S149" s="151">
        <f t="shared" si="14"/>
        <v>0</v>
      </c>
      <c r="T149" s="153">
        <f>+VLOOKUP($L149,Data_Validation!$A:$D,1,0)</f>
        <v>2401</v>
      </c>
      <c r="U149" s="153" t="str">
        <f>+VLOOKUP($L149,Data_Validation!$A:$D,3,0)</f>
        <v>Bilan</v>
      </c>
      <c r="V149" s="153" t="str">
        <f>+VLOOKUP($L149,Data_Validation!$A:$D,4,0)</f>
        <v>Dépôts de Client</v>
      </c>
      <c r="W149" s="153" t="str">
        <f>+VLOOKUP($L149,Data_Validation!$A:$E,5,0)</f>
        <v>$</v>
      </c>
      <c r="X149" s="153">
        <f>+VLOOKUP($L149,Data_Validation!$A:$F,6,0)</f>
        <v>0</v>
      </c>
    </row>
    <row r="150" spans="1:24" ht="15" customHeight="1">
      <c r="A150" s="1193" t="s">
        <v>2591</v>
      </c>
      <c r="B150" s="1194">
        <v>2501</v>
      </c>
      <c r="C150" s="1197">
        <v>-31147.99</v>
      </c>
      <c r="D150" s="1197">
        <v>-10088.92</v>
      </c>
      <c r="E150" s="1197">
        <v>-41236.910000000003</v>
      </c>
      <c r="F150" s="1193" t="s">
        <v>279</v>
      </c>
      <c r="G150" s="1193" t="s">
        <v>2592</v>
      </c>
      <c r="H150" s="987"/>
      <c r="I150" s="987"/>
      <c r="J150" s="987"/>
      <c r="K150" s="987"/>
      <c r="L150" s="150">
        <f t="shared" si="10"/>
        <v>2501</v>
      </c>
      <c r="M150" s="151" t="str">
        <f t="shared" si="11"/>
        <v>COMMISSION A PAYER</v>
      </c>
      <c r="N150" s="152">
        <f>+IF(OR($Q150=Parametres!$G$2,$Q150=Parametres!$G$3),I150,C150)</f>
        <v>-31147.99</v>
      </c>
      <c r="O150" s="1084">
        <f>+IF(OR($Q150=Parametres!$G$2,$Q150=Parametres!$G$3),J150,D150)</f>
        <v>-10088.92</v>
      </c>
      <c r="P150" s="152">
        <f>+IF(OR($Q150=Parametres!$G$2,$Q150=Parametres!$G$3),K150,E150)</f>
        <v>-41236.910000000003</v>
      </c>
      <c r="Q150" s="151" t="str">
        <f t="shared" si="12"/>
        <v>3-Passifs</v>
      </c>
      <c r="R150" s="150" t="str">
        <f t="shared" si="13"/>
        <v>2501</v>
      </c>
      <c r="S150" s="151">
        <f t="shared" si="14"/>
        <v>0</v>
      </c>
      <c r="T150" s="153">
        <f>+VLOOKUP($L150,Data_Validation!$A:$D,1,0)</f>
        <v>2501</v>
      </c>
      <c r="U150" s="153" t="str">
        <f>+VLOOKUP($L150,Data_Validation!$A:$D,3,0)</f>
        <v>Bilan</v>
      </c>
      <c r="V150" s="153" t="str">
        <f>+VLOOKUP($L150,Data_Validation!$A:$D,4,0)</f>
        <v>Salaires à Payer</v>
      </c>
      <c r="W150" s="153" t="str">
        <f>+VLOOKUP($L150,Data_Validation!$A:$E,5,0)</f>
        <v>$</v>
      </c>
      <c r="X150" s="153">
        <f>+VLOOKUP($L150,Data_Validation!$A:$F,6,0)</f>
        <v>0</v>
      </c>
    </row>
    <row r="151" spans="1:24" ht="15.75" customHeight="1">
      <c r="A151" s="1193" t="s">
        <v>2903</v>
      </c>
      <c r="B151" s="1194">
        <v>2502</v>
      </c>
      <c r="C151" s="1197">
        <v>636.05999999999995</v>
      </c>
      <c r="D151" s="1197">
        <v>-8244.81</v>
      </c>
      <c r="E151" s="1197">
        <v>-7608.75</v>
      </c>
      <c r="F151" s="1193" t="s">
        <v>279</v>
      </c>
      <c r="G151" s="1193" t="s">
        <v>2904</v>
      </c>
      <c r="H151" s="987"/>
      <c r="I151" s="988"/>
      <c r="J151" s="988"/>
      <c r="K151" s="988"/>
      <c r="L151" s="150">
        <f t="shared" si="10"/>
        <v>2502</v>
      </c>
      <c r="M151" s="151" t="str">
        <f t="shared" si="11"/>
        <v>Compte de depense a payer</v>
      </c>
      <c r="N151" s="152">
        <f>+IF(OR($Q151=Parametres!$G$2,$Q151=Parametres!$G$3),I151,C151)</f>
        <v>636.05999999999995</v>
      </c>
      <c r="O151" s="1084">
        <f>+IF(OR($Q151=Parametres!$G$2,$Q151=Parametres!$G$3),J151,D151)</f>
        <v>-8244.81</v>
      </c>
      <c r="P151" s="152">
        <f>+IF(OR($Q151=Parametres!$G$2,$Q151=Parametres!$G$3),K151,E151)</f>
        <v>-7608.75</v>
      </c>
      <c r="Q151" s="151" t="str">
        <f t="shared" si="12"/>
        <v>3-Passifs</v>
      </c>
      <c r="R151" s="150" t="str">
        <f t="shared" si="13"/>
        <v>250</v>
      </c>
      <c r="S151" s="151">
        <f t="shared" si="14"/>
        <v>0</v>
      </c>
      <c r="T151" s="153">
        <f>+VLOOKUP($L151,Data_Validation!$A:$D,1,0)</f>
        <v>2502</v>
      </c>
      <c r="U151" s="153" t="str">
        <f>+VLOOKUP($L151,Data_Validation!$A:$D,3,0)</f>
        <v>Bilan</v>
      </c>
      <c r="V151" s="153" t="str">
        <f>+VLOOKUP($L151,Data_Validation!$A:$D,4,0)</f>
        <v>Salaires à Payer</v>
      </c>
      <c r="W151" s="153" t="str">
        <f>+VLOOKUP($L151,Data_Validation!$A:$E,5,0)</f>
        <v>$</v>
      </c>
      <c r="X151" s="153">
        <f>+VLOOKUP($L151,Data_Validation!$A:$F,6,0)</f>
        <v>0</v>
      </c>
    </row>
    <row r="152" spans="1:24" ht="15" customHeight="1">
      <c r="A152" s="1193" t="s">
        <v>2051</v>
      </c>
      <c r="B152" s="1194">
        <v>2503</v>
      </c>
      <c r="C152" s="1197">
        <v>-162706.43</v>
      </c>
      <c r="D152" s="1197">
        <v>-45860.94</v>
      </c>
      <c r="E152" s="1197">
        <v>-208567.37</v>
      </c>
      <c r="F152" s="1193" t="s">
        <v>279</v>
      </c>
      <c r="G152" s="1193" t="s">
        <v>2052</v>
      </c>
      <c r="H152" s="987"/>
      <c r="I152" s="987"/>
      <c r="J152" s="987"/>
      <c r="K152" s="987"/>
      <c r="L152" s="150">
        <f t="shared" si="10"/>
        <v>2503</v>
      </c>
      <c r="M152" s="151" t="str">
        <f t="shared" si="11"/>
        <v>SALAIRES DES EMPLOYES</v>
      </c>
      <c r="N152" s="152">
        <f>+IF(OR($Q152=Parametres!$G$2,$Q152=Parametres!$G$3),I152,C152)</f>
        <v>-162706.43</v>
      </c>
      <c r="O152" s="1084">
        <f>+IF(OR($Q152=Parametres!$G$2,$Q152=Parametres!$G$3),J152,D152)</f>
        <v>-45860.94</v>
      </c>
      <c r="P152" s="152">
        <f>+IF(OR($Q152=Parametres!$G$2,$Q152=Parametres!$G$3),K152,E152)</f>
        <v>-208567.37</v>
      </c>
      <c r="Q152" s="151" t="str">
        <f t="shared" si="12"/>
        <v>3-Passifs</v>
      </c>
      <c r="R152" s="150" t="str">
        <f t="shared" si="13"/>
        <v>2503</v>
      </c>
      <c r="S152" s="151">
        <f t="shared" si="14"/>
        <v>0</v>
      </c>
      <c r="T152" s="153">
        <f>+VLOOKUP($L152,Data_Validation!$A:$D,1,0)</f>
        <v>2503</v>
      </c>
      <c r="U152" s="153" t="str">
        <f>+VLOOKUP($L152,Data_Validation!$A:$D,3,0)</f>
        <v>Bilan</v>
      </c>
      <c r="V152" s="153" t="str">
        <f>+VLOOKUP($L152,Data_Validation!$A:$D,4,0)</f>
        <v>Salaires à Payer</v>
      </c>
      <c r="W152" s="153" t="str">
        <f>+VLOOKUP($L152,Data_Validation!$A:$E,5,0)</f>
        <v>$</v>
      </c>
      <c r="X152" s="153">
        <f>+VLOOKUP($L152,Data_Validation!$A:$F,6,0)</f>
        <v>0</v>
      </c>
    </row>
    <row r="153" spans="1:24" ht="15" customHeight="1">
      <c r="A153" s="1193" t="s">
        <v>2091</v>
      </c>
      <c r="B153" s="1194">
        <v>2505</v>
      </c>
      <c r="C153" s="1197">
        <v>0.01</v>
      </c>
      <c r="D153" s="1197" t="s">
        <v>3444</v>
      </c>
      <c r="E153" s="1197">
        <v>0.01</v>
      </c>
      <c r="F153" s="1193" t="s">
        <v>279</v>
      </c>
      <c r="G153" s="1193" t="s">
        <v>2052</v>
      </c>
      <c r="H153" s="987"/>
      <c r="I153" s="988"/>
      <c r="J153" s="988"/>
      <c r="K153" s="988"/>
      <c r="L153" s="150">
        <f t="shared" si="10"/>
        <v>2505</v>
      </c>
      <c r="M153" s="151" t="str">
        <f t="shared" si="11"/>
        <v>JOURS FERIES</v>
      </c>
      <c r="N153" s="152">
        <f>+IF(OR($Q153=Parametres!$G$2,$Q153=Parametres!$G$3),I153,C153)</f>
        <v>0.01</v>
      </c>
      <c r="O153" s="1084" t="str">
        <f>+IF(OR($Q153=Parametres!$G$2,$Q153=Parametres!$G$3),J153,D153)</f>
        <v xml:space="preserve">                       -   </v>
      </c>
      <c r="P153" s="152">
        <f>+IF(OR($Q153=Parametres!$G$2,$Q153=Parametres!$G$3),K153,E153)</f>
        <v>0.01</v>
      </c>
      <c r="Q153" s="151" t="str">
        <f t="shared" si="12"/>
        <v>3-Passifs</v>
      </c>
      <c r="R153" s="150" t="str">
        <f t="shared" si="13"/>
        <v>2503</v>
      </c>
      <c r="S153" s="151">
        <f t="shared" si="14"/>
        <v>0</v>
      </c>
      <c r="T153" s="153">
        <f>+VLOOKUP($L153,Data_Validation!$A:$D,1,0)</f>
        <v>2505</v>
      </c>
      <c r="U153" s="153" t="str">
        <f>+VLOOKUP($L153,Data_Validation!$A:$D,3,0)</f>
        <v>Bilan</v>
      </c>
      <c r="V153" s="153" t="str">
        <f>+VLOOKUP($L153,Data_Validation!$A:$D,4,0)</f>
        <v>Salaires à Payer</v>
      </c>
      <c r="W153" s="153" t="str">
        <f>+VLOOKUP($L153,Data_Validation!$A:$E,5,0)</f>
        <v>$</v>
      </c>
      <c r="X153" s="153">
        <f>+VLOOKUP($L153,Data_Validation!$A:$F,6,0)</f>
        <v>0</v>
      </c>
    </row>
    <row r="154" spans="1:24" ht="15" customHeight="1">
      <c r="A154" s="1193" t="s">
        <v>2087</v>
      </c>
      <c r="B154" s="1194">
        <v>2509</v>
      </c>
      <c r="C154" s="1197">
        <v>-223130.95</v>
      </c>
      <c r="D154" s="1197">
        <v>-15506.47</v>
      </c>
      <c r="E154" s="1197">
        <v>-238637.42</v>
      </c>
      <c r="F154" s="1193" t="s">
        <v>279</v>
      </c>
      <c r="G154" s="1193" t="s">
        <v>2052</v>
      </c>
      <c r="H154" s="987"/>
      <c r="I154" s="987"/>
      <c r="J154" s="987"/>
      <c r="K154" s="987"/>
      <c r="L154" s="150">
        <f t="shared" si="10"/>
        <v>2509</v>
      </c>
      <c r="M154" s="151" t="str">
        <f t="shared" si="11"/>
        <v>SALAIRES DE VACANCES</v>
      </c>
      <c r="N154" s="152">
        <f>+IF(OR($Q154=Parametres!$G$2,$Q154=Parametres!$G$3),I154,C154)</f>
        <v>-223130.95</v>
      </c>
      <c r="O154" s="1084">
        <f>+IF(OR($Q154=Parametres!$G$2,$Q154=Parametres!$G$3),J154,D154)</f>
        <v>-15506.47</v>
      </c>
      <c r="P154" s="152">
        <f>+IF(OR($Q154=Parametres!$G$2,$Q154=Parametres!$G$3),K154,E154)</f>
        <v>-238637.42</v>
      </c>
      <c r="Q154" s="151" t="str">
        <f t="shared" si="12"/>
        <v>3-Passifs</v>
      </c>
      <c r="R154" s="150" t="str">
        <f t="shared" si="13"/>
        <v>2503</v>
      </c>
      <c r="S154" s="151">
        <f t="shared" si="14"/>
        <v>0</v>
      </c>
      <c r="T154" s="153">
        <f>+VLOOKUP($L154,Data_Validation!$A:$D,1,0)</f>
        <v>2509</v>
      </c>
      <c r="U154" s="153" t="str">
        <f>+VLOOKUP($L154,Data_Validation!$A:$D,3,0)</f>
        <v>Bilan</v>
      </c>
      <c r="V154" s="153" t="str">
        <f>+VLOOKUP($L154,Data_Validation!$A:$D,4,0)</f>
        <v>Salaires à Payer</v>
      </c>
      <c r="W154" s="153" t="str">
        <f>+VLOOKUP($L154,Data_Validation!$A:$E,5,0)</f>
        <v>$</v>
      </c>
      <c r="X154" s="153">
        <f>+VLOOKUP($L154,Data_Validation!$A:$F,6,0)</f>
        <v>0</v>
      </c>
    </row>
    <row r="155" spans="1:24" ht="15.75" customHeight="1">
      <c r="A155" s="1193" t="s">
        <v>2181</v>
      </c>
      <c r="B155" s="1194">
        <v>2511</v>
      </c>
      <c r="C155" s="1197">
        <v>-9453.99</v>
      </c>
      <c r="D155" s="1197" t="s">
        <v>3444</v>
      </c>
      <c r="E155" s="1197">
        <v>-9453.99</v>
      </c>
      <c r="F155" s="1193" t="s">
        <v>279</v>
      </c>
      <c r="G155" s="1193" t="s">
        <v>2052</v>
      </c>
      <c r="H155" s="948"/>
      <c r="I155" s="951"/>
      <c r="J155" s="951"/>
      <c r="K155" s="951"/>
      <c r="L155" s="150">
        <f t="shared" si="10"/>
        <v>2511</v>
      </c>
      <c r="M155" s="151" t="str">
        <f t="shared" si="11"/>
        <v>JOURNEE MALADIE</v>
      </c>
      <c r="N155" s="152">
        <f>+IF(OR($Q155=Parametres!$G$2,$Q155=Parametres!$G$3),I155,C155)</f>
        <v>-9453.99</v>
      </c>
      <c r="O155" s="1084" t="str">
        <f>+IF(OR($Q155=Parametres!$G$2,$Q155=Parametres!$G$3),J155,D155)</f>
        <v xml:space="preserve">                       -   </v>
      </c>
      <c r="P155" s="152">
        <f>+IF(OR($Q155=Parametres!$G$2,$Q155=Parametres!$G$3),K155,E155)</f>
        <v>-9453.99</v>
      </c>
      <c r="Q155" s="151" t="str">
        <f t="shared" si="12"/>
        <v>3-Passifs</v>
      </c>
      <c r="R155" s="150" t="str">
        <f t="shared" si="13"/>
        <v>2503</v>
      </c>
      <c r="S155" s="151">
        <f t="shared" si="14"/>
        <v>0</v>
      </c>
      <c r="T155" s="153">
        <f>+VLOOKUP($L155,Data_Validation!$A:$D,1,0)</f>
        <v>2511</v>
      </c>
      <c r="U155" s="153" t="str">
        <f>+VLOOKUP($L155,Data_Validation!$A:$D,3,0)</f>
        <v>Bilan</v>
      </c>
      <c r="V155" s="153" t="str">
        <f>+VLOOKUP($L155,Data_Validation!$A:$D,4,0)</f>
        <v>Salaires à Payer</v>
      </c>
      <c r="W155" s="153" t="str">
        <f>+VLOOKUP($L155,Data_Validation!$A:$E,5,0)</f>
        <v>$</v>
      </c>
      <c r="X155" s="153">
        <f>+VLOOKUP($L155,Data_Validation!$A:$F,6,0)</f>
        <v>0</v>
      </c>
    </row>
    <row r="156" spans="1:24" ht="15" customHeight="1">
      <c r="A156" s="1193" t="s">
        <v>2950</v>
      </c>
      <c r="B156" s="1194">
        <v>2561</v>
      </c>
      <c r="C156" s="1197">
        <v>-15324</v>
      </c>
      <c r="D156" s="1197">
        <v>-13162</v>
      </c>
      <c r="E156" s="1197">
        <v>-28486</v>
      </c>
      <c r="F156" s="1193" t="s">
        <v>279</v>
      </c>
      <c r="G156" s="1193" t="s">
        <v>2951</v>
      </c>
      <c r="H156" s="948"/>
      <c r="I156" s="949"/>
      <c r="J156" s="949"/>
      <c r="K156" s="949"/>
      <c r="L156" s="150">
        <f t="shared" si="10"/>
        <v>2561</v>
      </c>
      <c r="M156" s="151" t="str">
        <f t="shared" si="11"/>
        <v>REVENUE HOLDBACK DIFFERE</v>
      </c>
      <c r="N156" s="152">
        <f>+IF(OR($Q156=Parametres!$G$2,$Q156=Parametres!$G$3),I156,C156)</f>
        <v>-15324</v>
      </c>
      <c r="O156" s="1084">
        <f>+IF(OR($Q156=Parametres!$G$2,$Q156=Parametres!$G$3),J156,D156)</f>
        <v>-13162</v>
      </c>
      <c r="P156" s="152">
        <f>+IF(OR($Q156=Parametres!$G$2,$Q156=Parametres!$G$3),K156,E156)</f>
        <v>-28486</v>
      </c>
      <c r="Q156" s="151" t="str">
        <f t="shared" si="12"/>
        <v>3-Passifs</v>
      </c>
      <c r="R156" s="150" t="str">
        <f t="shared" si="13"/>
        <v>2561</v>
      </c>
      <c r="S156" s="151">
        <f t="shared" si="14"/>
        <v>0</v>
      </c>
      <c r="T156" s="153">
        <f>+VLOOKUP($L156,Data_Validation!$A:$D,1,0)</f>
        <v>2561</v>
      </c>
      <c r="U156" s="153" t="str">
        <f>+VLOOKUP($L156,Data_Validation!$A:$D,3,0)</f>
        <v>Bilan</v>
      </c>
      <c r="V156" s="153" t="str">
        <f>+VLOOKUP($L156,Data_Validation!$A:$D,4,0)</f>
        <v>Autres Courus</v>
      </c>
      <c r="W156" s="153" t="str">
        <f>+VLOOKUP($L156,Data_Validation!$A:$E,5,0)</f>
        <v>$</v>
      </c>
      <c r="X156" s="153">
        <f>+VLOOKUP($L156,Data_Validation!$A:$F,6,0)</f>
        <v>0</v>
      </c>
    </row>
    <row r="157" spans="1:24" ht="15" customHeight="1">
      <c r="A157" s="1193" t="s">
        <v>2955</v>
      </c>
      <c r="B157" s="1194">
        <v>2562</v>
      </c>
      <c r="C157" s="1197">
        <v>-149709</v>
      </c>
      <c r="D157" s="1197">
        <v>-92857.15</v>
      </c>
      <c r="E157" s="1197">
        <v>-242566.15</v>
      </c>
      <c r="F157" s="1193" t="s">
        <v>279</v>
      </c>
      <c r="G157" s="1193" t="s">
        <v>2957</v>
      </c>
      <c r="H157" s="948"/>
      <c r="I157" s="1203"/>
      <c r="J157" s="1203"/>
      <c r="K157" s="1203"/>
      <c r="L157" s="150">
        <f t="shared" si="10"/>
        <v>2562</v>
      </c>
      <c r="M157" s="151" t="str">
        <f t="shared" si="11"/>
        <v>PROVISIONS QG</v>
      </c>
      <c r="N157" s="152">
        <f>+IF(OR($Q157=Parametres!$G$2,$Q157=Parametres!$G$3),I157,C157)</f>
        <v>-149709</v>
      </c>
      <c r="O157" s="1084">
        <f>+IF(OR($Q157=Parametres!$G$2,$Q157=Parametres!$G$3),J157,D157)</f>
        <v>-92857.15</v>
      </c>
      <c r="P157" s="152">
        <f>+IF(OR($Q157=Parametres!$G$2,$Q157=Parametres!$G$3),K157,E157)</f>
        <v>-242566.15</v>
      </c>
      <c r="Q157" s="151" t="str">
        <f t="shared" si="12"/>
        <v>3-Passifs</v>
      </c>
      <c r="R157" s="150" t="str">
        <f t="shared" si="13"/>
        <v>256</v>
      </c>
      <c r="S157" s="151">
        <f t="shared" si="14"/>
        <v>0</v>
      </c>
      <c r="T157" s="153">
        <f>+VLOOKUP($L157,Data_Validation!$A:$D,1,0)</f>
        <v>2562</v>
      </c>
      <c r="U157" s="153" t="str">
        <f>+VLOOKUP($L157,Data_Validation!$A:$D,3,0)</f>
        <v>Bilan</v>
      </c>
      <c r="V157" s="153" t="str">
        <f>+VLOOKUP($L157,Data_Validation!$A:$D,4,0)</f>
        <v>Autres Courus</v>
      </c>
      <c r="W157" s="153" t="str">
        <f>+VLOOKUP($L157,Data_Validation!$A:$E,5,0)</f>
        <v>$</v>
      </c>
      <c r="X157" s="153">
        <f>+VLOOKUP($L157,Data_Validation!$A:$F,6,0)</f>
        <v>0</v>
      </c>
    </row>
    <row r="158" spans="1:24" ht="15" customHeight="1">
      <c r="A158" s="1193" t="s">
        <v>2680</v>
      </c>
      <c r="B158" s="1194">
        <v>2801</v>
      </c>
      <c r="C158" s="1197">
        <v>-7078.75</v>
      </c>
      <c r="D158" s="1197">
        <v>1317.5</v>
      </c>
      <c r="E158" s="1197">
        <v>-5761.25</v>
      </c>
      <c r="F158" s="1193" t="s">
        <v>279</v>
      </c>
      <c r="G158" s="1193" t="s">
        <v>2681</v>
      </c>
      <c r="H158" s="948"/>
      <c r="I158" s="949"/>
      <c r="J158" s="949"/>
      <c r="K158" s="949"/>
      <c r="L158" s="150">
        <f t="shared" si="10"/>
        <v>2801</v>
      </c>
      <c r="M158" s="151" t="str">
        <f t="shared" si="11"/>
        <v>PRET CIBC</v>
      </c>
      <c r="N158" s="152">
        <f>+IF(OR($Q158=Parametres!$G$2,$Q158=Parametres!$G$3),I158,C158)</f>
        <v>-7078.75</v>
      </c>
      <c r="O158" s="1084">
        <f>+IF(OR($Q158=Parametres!$G$2,$Q158=Parametres!$G$3),J158,D158)</f>
        <v>1317.5</v>
      </c>
      <c r="P158" s="152">
        <f>+IF(OR($Q158=Parametres!$G$2,$Q158=Parametres!$G$3),K158,E158)</f>
        <v>-5761.25</v>
      </c>
      <c r="Q158" s="151" t="str">
        <f t="shared" si="12"/>
        <v>3-Passifs</v>
      </c>
      <c r="R158" s="150" t="str">
        <f t="shared" si="13"/>
        <v>2801</v>
      </c>
      <c r="S158" s="151">
        <f t="shared" si="14"/>
        <v>0</v>
      </c>
      <c r="T158" s="153">
        <f>+VLOOKUP($L158,Data_Validation!$A:$D,1,0)</f>
        <v>2801</v>
      </c>
      <c r="U158" s="153" t="str">
        <f>+VLOOKUP($L158,Data_Validation!$A:$D,3,0)</f>
        <v>Bilan</v>
      </c>
      <c r="V158" s="153" t="str">
        <f>+VLOOKUP($L158,Data_Validation!$A:$D,4,0)</f>
        <v>Dette à Long Terme</v>
      </c>
      <c r="W158" s="153" t="str">
        <f>+VLOOKUP($L158,Data_Validation!$A:$E,5,0)</f>
        <v>$</v>
      </c>
      <c r="X158" s="153">
        <f>+VLOOKUP($L158,Data_Validation!$A:$F,6,0)</f>
        <v>0</v>
      </c>
    </row>
    <row r="159" spans="1:24" ht="15.75" customHeight="1">
      <c r="A159" s="1193" t="s">
        <v>824</v>
      </c>
      <c r="B159" s="1194">
        <v>2901</v>
      </c>
      <c r="C159" s="1197">
        <v>-19122.599999999999</v>
      </c>
      <c r="D159" s="1197" t="s">
        <v>3444</v>
      </c>
      <c r="E159" s="1197">
        <v>-19122.599999999999</v>
      </c>
      <c r="F159" s="1193" t="s">
        <v>279</v>
      </c>
      <c r="G159" s="1193" t="s">
        <v>2183</v>
      </c>
      <c r="H159" s="948"/>
      <c r="I159" s="1203"/>
      <c r="J159" s="1203"/>
      <c r="K159" s="1203"/>
      <c r="L159" s="150">
        <f t="shared" si="10"/>
        <v>2901</v>
      </c>
      <c r="M159" s="151" t="str">
        <f t="shared" si="11"/>
        <v>RESERVE CARTES PRIVILEGE</v>
      </c>
      <c r="N159" s="152">
        <f>+IF(OR($Q159=Parametres!$G$2,$Q159=Parametres!$G$3),I159,C159)</f>
        <v>-19122.599999999999</v>
      </c>
      <c r="O159" s="1084" t="str">
        <f>+IF(OR($Q159=Parametres!$G$2,$Q159=Parametres!$G$3),J159,D159)</f>
        <v xml:space="preserve">                       -   </v>
      </c>
      <c r="P159" s="152">
        <f>+IF(OR($Q159=Parametres!$G$2,$Q159=Parametres!$G$3),K159,E159)</f>
        <v>-19122.599999999999</v>
      </c>
      <c r="Q159" s="151" t="str">
        <f t="shared" si="12"/>
        <v>3-Passifs</v>
      </c>
      <c r="R159" s="150" t="str">
        <f t="shared" si="13"/>
        <v>2901</v>
      </c>
      <c r="S159" s="151">
        <f t="shared" si="14"/>
        <v>0</v>
      </c>
      <c r="T159" s="153">
        <f>+VLOOKUP($L159,Data_Validation!$A:$D,1,0)</f>
        <v>2901</v>
      </c>
      <c r="U159" s="153" t="str">
        <f>+VLOOKUP($L159,Data_Validation!$A:$D,3,0)</f>
        <v>Bilan</v>
      </c>
      <c r="V159" s="153" t="str">
        <f>+VLOOKUP($L159,Data_Validation!$A:$D,4,0)</f>
        <v>Autres Courus</v>
      </c>
      <c r="W159" s="153" t="str">
        <f>+VLOOKUP($L159,Data_Validation!$A:$E,5,0)</f>
        <v>$</v>
      </c>
      <c r="X159" s="153">
        <f>+VLOOKUP($L159,Data_Validation!$A:$F,6,0)</f>
        <v>0</v>
      </c>
    </row>
    <row r="160" spans="1:24" ht="15" customHeight="1">
      <c r="A160" s="1193" t="s">
        <v>2414</v>
      </c>
      <c r="B160" s="1194">
        <v>3001</v>
      </c>
      <c r="C160" s="1197">
        <v>-2350000</v>
      </c>
      <c r="D160" s="1197" t="s">
        <v>3444</v>
      </c>
      <c r="E160" s="1197">
        <v>-2350000</v>
      </c>
      <c r="F160" s="1193" t="s">
        <v>828</v>
      </c>
      <c r="G160" s="1193" t="s">
        <v>2415</v>
      </c>
      <c r="H160" s="987"/>
      <c r="I160" s="988"/>
      <c r="J160" s="988"/>
      <c r="K160" s="988"/>
      <c r="L160" s="150">
        <f t="shared" si="10"/>
        <v>3001</v>
      </c>
      <c r="M160" s="151" t="str">
        <f t="shared" si="11"/>
        <v>ACTIONS CATEGORIE 1</v>
      </c>
      <c r="N160" s="152">
        <f>+IF(OR($Q160=Parametres!$G$2,$Q160=Parametres!$G$3),I160,C160)</f>
        <v>-2350000</v>
      </c>
      <c r="O160" s="1084" t="str">
        <f>+IF(OR($Q160=Parametres!$G$2,$Q160=Parametres!$G$3),J160,D160)</f>
        <v xml:space="preserve">                       -   </v>
      </c>
      <c r="P160" s="152">
        <f>+IF(OR($Q160=Parametres!$G$2,$Q160=Parametres!$G$3),K160,E160)</f>
        <v>-2350000</v>
      </c>
      <c r="Q160" s="151" t="str">
        <f t="shared" si="12"/>
        <v>4-Valeur nette</v>
      </c>
      <c r="R160" s="150" t="str">
        <f t="shared" si="13"/>
        <v>3001</v>
      </c>
      <c r="S160" s="151">
        <f t="shared" si="14"/>
        <v>0</v>
      </c>
      <c r="T160" s="153">
        <f>+VLOOKUP($L160,Data_Validation!$A:$D,1,0)</f>
        <v>3001</v>
      </c>
      <c r="U160" s="153" t="str">
        <f>+VLOOKUP($L160,Data_Validation!$A:$D,3,0)</f>
        <v>Bilan</v>
      </c>
      <c r="V160" s="153" t="str">
        <f>+VLOOKUP($L160,Data_Validation!$A:$D,4,0)</f>
        <v>Capital Actions</v>
      </c>
      <c r="W160" s="153" t="str">
        <f>+VLOOKUP($L160,Data_Validation!$A:$E,5,0)</f>
        <v>$</v>
      </c>
      <c r="X160" s="153">
        <f>+VLOOKUP($L160,Data_Validation!$A:$F,6,0)</f>
        <v>0</v>
      </c>
    </row>
    <row r="161" spans="1:24" ht="15" customHeight="1">
      <c r="A161" s="1193" t="s">
        <v>2416</v>
      </c>
      <c r="B161" s="1194">
        <v>3003</v>
      </c>
      <c r="C161" s="1197">
        <v>-1723617</v>
      </c>
      <c r="D161" s="1197" t="s">
        <v>3444</v>
      </c>
      <c r="E161" s="1197">
        <v>-1723617</v>
      </c>
      <c r="F161" s="1193" t="s">
        <v>828</v>
      </c>
      <c r="G161" s="1193" t="s">
        <v>2415</v>
      </c>
      <c r="H161" s="1201"/>
      <c r="I161" s="1204"/>
      <c r="J161" s="1201"/>
      <c r="K161" s="1204"/>
      <c r="L161" s="150">
        <f t="shared" si="10"/>
        <v>3003</v>
      </c>
      <c r="M161" s="151" t="str">
        <f t="shared" si="11"/>
        <v>APPORT / RETRAIT</v>
      </c>
      <c r="N161" s="152">
        <f>+IF(OR($Q161=Parametres!$G$2,$Q161=Parametres!$G$3),I161,C161)</f>
        <v>-1723617</v>
      </c>
      <c r="O161" s="1084" t="str">
        <f>+IF(OR($Q161=Parametres!$G$2,$Q161=Parametres!$G$3),J161,D161)</f>
        <v xml:space="preserve">                       -   </v>
      </c>
      <c r="P161" s="152">
        <f>+IF(OR($Q161=Parametres!$G$2,$Q161=Parametres!$G$3),K161,E161)</f>
        <v>-1723617</v>
      </c>
      <c r="Q161" s="151" t="str">
        <f t="shared" si="12"/>
        <v>4-Valeur nette</v>
      </c>
      <c r="R161" s="150" t="str">
        <f t="shared" si="13"/>
        <v>3001</v>
      </c>
      <c r="S161" s="151">
        <f t="shared" si="14"/>
        <v>0</v>
      </c>
      <c r="T161" s="153">
        <f>+VLOOKUP($L161,Data_Validation!$A:$D,1,0)</f>
        <v>3003</v>
      </c>
      <c r="U161" s="153" t="str">
        <f>+VLOOKUP($L161,Data_Validation!$A:$D,3,0)</f>
        <v>Bilan</v>
      </c>
      <c r="V161" s="153" t="str">
        <f>+VLOOKUP($L161,Data_Validation!$A:$D,4,0)</f>
        <v>Apport</v>
      </c>
      <c r="W161" s="153" t="str">
        <f>+VLOOKUP($L161,Data_Validation!$A:$E,5,0)</f>
        <v>$</v>
      </c>
      <c r="X161" s="153">
        <f>+VLOOKUP($L161,Data_Validation!$A:$F,6,0)</f>
        <v>0</v>
      </c>
    </row>
    <row r="162" spans="1:24" ht="15" customHeight="1">
      <c r="A162" s="1193" t="s">
        <v>2418</v>
      </c>
      <c r="B162" s="1194">
        <v>3007</v>
      </c>
      <c r="C162" s="1197">
        <v>-347547.5</v>
      </c>
      <c r="D162" s="1197" t="s">
        <v>3444</v>
      </c>
      <c r="E162" s="1197">
        <v>-347547.5</v>
      </c>
      <c r="F162" s="1193" t="s">
        <v>828</v>
      </c>
      <c r="G162" s="1193" t="s">
        <v>2415</v>
      </c>
      <c r="H162" s="928"/>
      <c r="I162" s="928"/>
      <c r="J162" s="928"/>
      <c r="K162" s="928"/>
      <c r="L162" s="150">
        <f t="shared" si="10"/>
        <v>3007</v>
      </c>
      <c r="M162" s="151" t="str">
        <f t="shared" si="11"/>
        <v>ACTIONS PARTICIPANTES</v>
      </c>
      <c r="N162" s="152">
        <f>+IF(OR($Q162=Parametres!$G$2,$Q162=Parametres!$G$3),I162,C162)</f>
        <v>-347547.5</v>
      </c>
      <c r="O162" s="1084" t="str">
        <f>+IF(OR($Q162=Parametres!$G$2,$Q162=Parametres!$G$3),J162,D162)</f>
        <v xml:space="preserve">                       -   </v>
      </c>
      <c r="P162" s="152">
        <f>+IF(OR($Q162=Parametres!$G$2,$Q162=Parametres!$G$3),K162,E162)</f>
        <v>-347547.5</v>
      </c>
      <c r="Q162" s="151" t="str">
        <f t="shared" si="12"/>
        <v>4-Valeur nette</v>
      </c>
      <c r="R162" s="150" t="str">
        <f t="shared" si="13"/>
        <v>3001</v>
      </c>
      <c r="S162" s="151">
        <f t="shared" si="14"/>
        <v>0</v>
      </c>
      <c r="T162" s="153">
        <f>+VLOOKUP($L162,Data_Validation!$A:$D,1,0)</f>
        <v>3007</v>
      </c>
      <c r="U162" s="153" t="str">
        <f>+VLOOKUP($L162,Data_Validation!$A:$D,3,0)</f>
        <v>Bilan</v>
      </c>
      <c r="V162" s="153" t="str">
        <f>+VLOOKUP($L162,Data_Validation!$A:$D,4,0)</f>
        <v>Capital Actions</v>
      </c>
      <c r="W162" s="153">
        <f>+VLOOKUP($L162,Data_Validation!$A:$E,5,0)</f>
        <v>0</v>
      </c>
      <c r="X162" s="153">
        <f>+VLOOKUP($L162,Data_Validation!$A:$F,6,0)</f>
        <v>0</v>
      </c>
    </row>
    <row r="163" spans="1:24" ht="15.75" customHeight="1">
      <c r="A163" s="1193" t="s">
        <v>2420</v>
      </c>
      <c r="B163" s="1194">
        <v>3201</v>
      </c>
      <c r="C163" s="1197">
        <v>-3068758.8</v>
      </c>
      <c r="D163" s="1197" t="s">
        <v>3444</v>
      </c>
      <c r="E163" s="1197">
        <v>-3068758.8</v>
      </c>
      <c r="F163" s="1193" t="s">
        <v>828</v>
      </c>
      <c r="G163" s="1193" t="s">
        <v>2415</v>
      </c>
      <c r="H163" s="928"/>
      <c r="I163" s="1205"/>
      <c r="J163" s="1205"/>
      <c r="K163" s="1205"/>
      <c r="L163" s="150">
        <f t="shared" si="10"/>
        <v>3201</v>
      </c>
      <c r="M163" s="151" t="str">
        <f t="shared" si="11"/>
        <v>BENEFICES NON-REPARTIS</v>
      </c>
      <c r="N163" s="152">
        <f>+IF(OR($Q163=Parametres!$G$2,$Q163=Parametres!$G$3),I163,C163)</f>
        <v>-3068758.8</v>
      </c>
      <c r="O163" s="1084" t="str">
        <f>+IF(OR($Q163=Parametres!$G$2,$Q163=Parametres!$G$3),J163,D163)</f>
        <v xml:space="preserve">                       -   </v>
      </c>
      <c r="P163" s="152">
        <f>+IF(OR($Q163=Parametres!$G$2,$Q163=Parametres!$G$3),K163,E163)</f>
        <v>-3068758.8</v>
      </c>
      <c r="Q163" s="151" t="str">
        <f t="shared" si="12"/>
        <v>4-Valeur nette</v>
      </c>
      <c r="R163" s="150" t="str">
        <f t="shared" si="13"/>
        <v>3001</v>
      </c>
      <c r="S163" s="151">
        <f t="shared" si="14"/>
        <v>0</v>
      </c>
      <c r="T163" s="153">
        <f>+VLOOKUP($L163,Data_Validation!$A:$D,1,0)</f>
        <v>3201</v>
      </c>
      <c r="U163" s="153" t="str">
        <f>+VLOOKUP($L163,Data_Validation!$A:$D,3,0)</f>
        <v>Bilan</v>
      </c>
      <c r="V163" s="153" t="str">
        <f>+VLOOKUP($L163,Data_Validation!$A:$D,4,0)</f>
        <v>Bénéfices non répartis</v>
      </c>
      <c r="W163" s="153" t="str">
        <f>+VLOOKUP($L163,Data_Validation!$A:$E,5,0)</f>
        <v>$</v>
      </c>
      <c r="X163" s="153">
        <f>+VLOOKUP($L163,Data_Validation!$A:$F,6,0)</f>
        <v>0</v>
      </c>
    </row>
    <row r="164" spans="1:24" ht="15" customHeight="1">
      <c r="A164" s="1193" t="s">
        <v>2018</v>
      </c>
      <c r="B164" s="1194">
        <v>4100</v>
      </c>
      <c r="C164" s="1197">
        <v>-1438216.72</v>
      </c>
      <c r="D164" s="1197">
        <v>-342788.06</v>
      </c>
      <c r="E164" s="1197">
        <v>-1781004.78</v>
      </c>
      <c r="F164" s="1193" t="s">
        <v>282</v>
      </c>
      <c r="G164" s="1193" t="s">
        <v>2019</v>
      </c>
      <c r="H164" s="948"/>
      <c r="I164" s="1388"/>
      <c r="J164" s="1388"/>
      <c r="K164" s="1388"/>
      <c r="L164" s="150">
        <f t="shared" si="10"/>
        <v>4100</v>
      </c>
      <c r="M164" s="151" t="str">
        <f t="shared" si="11"/>
        <v>VTE - RACHAT BAIL VW</v>
      </c>
      <c r="N164" s="152">
        <f>+IF(OR($Q164=Parametres!$G$2,$Q164=Parametres!$G$3),I164,C164)</f>
        <v>-1438216.72</v>
      </c>
      <c r="O164" s="1084">
        <f>+IF(OR($Q164=Parametres!$G$2,$Q164=Parametres!$G$3),J164,D164)</f>
        <v>-342788.06</v>
      </c>
      <c r="P164" s="152">
        <f>+IF(OR($Q164=Parametres!$G$2,$Q164=Parametres!$G$3),K164,E164)</f>
        <v>-1781004.78</v>
      </c>
      <c r="Q164" s="151" t="str">
        <f t="shared" si="12"/>
        <v>5-Ventes</v>
      </c>
      <c r="R164" s="150" t="str">
        <f t="shared" si="13"/>
        <v>4100</v>
      </c>
      <c r="S164" s="151">
        <f t="shared" si="14"/>
        <v>0</v>
      </c>
      <c r="T164" s="153">
        <f>+VLOOKUP($L164,Data_Validation!$A:$D,1,0)</f>
        <v>4100</v>
      </c>
      <c r="U164" s="153" t="str">
        <f>+VLOOKUP($L164,Data_Validation!$A:$D,3,0)</f>
        <v>Véhicules neufs</v>
      </c>
      <c r="V164" s="153" t="str">
        <f>+VLOOKUP($L164,Data_Validation!$A:$D,4,0)</f>
        <v>Rachat bail</v>
      </c>
      <c r="W164" s="153" t="str">
        <f>+VLOOKUP($L164,Data_Validation!$A:$E,5,0)</f>
        <v>$</v>
      </c>
      <c r="X164" s="153" t="str">
        <f>+VLOOKUP($L164,Data_Validation!$A:$F,6,0)</f>
        <v>Oui</v>
      </c>
    </row>
    <row r="165" spans="1:24" ht="15" customHeight="1">
      <c r="A165" s="1193" t="s">
        <v>2426</v>
      </c>
      <c r="B165" s="1194">
        <v>4109</v>
      </c>
      <c r="C165" s="1197">
        <v>-293759.31</v>
      </c>
      <c r="D165" s="1197">
        <v>-49379.95</v>
      </c>
      <c r="E165" s="1197">
        <v>-343139.26</v>
      </c>
      <c r="F165" s="1193" t="s">
        <v>282</v>
      </c>
      <c r="G165" s="1193" t="s">
        <v>2427</v>
      </c>
      <c r="H165" s="948"/>
      <c r="I165" s="1388"/>
      <c r="J165" s="1388"/>
      <c r="K165" s="1388"/>
      <c r="L165" s="150">
        <f t="shared" si="10"/>
        <v>4109</v>
      </c>
      <c r="M165" s="151" t="str">
        <f t="shared" si="11"/>
        <v>VTE - GOLF R</v>
      </c>
      <c r="N165" s="152">
        <f>+IF(OR($Q165=Parametres!$G$2,$Q165=Parametres!$G$3),I165,C165)</f>
        <v>-293759.31</v>
      </c>
      <c r="O165" s="1084">
        <f>+IF(OR($Q165=Parametres!$G$2,$Q165=Parametres!$G$3),J165,D165)</f>
        <v>-49379.95</v>
      </c>
      <c r="P165" s="152">
        <f>+IF(OR($Q165=Parametres!$G$2,$Q165=Parametres!$G$3),K165,E165)</f>
        <v>-343139.26</v>
      </c>
      <c r="Q165" s="151" t="str">
        <f t="shared" si="12"/>
        <v>5-Ventes</v>
      </c>
      <c r="R165" s="150" t="str">
        <f t="shared" si="13"/>
        <v>4109</v>
      </c>
      <c r="S165" s="151">
        <f t="shared" si="14"/>
        <v>0</v>
      </c>
      <c r="T165" s="153">
        <f>+VLOOKUP($L165,Data_Validation!$A:$D,1,0)</f>
        <v>4109</v>
      </c>
      <c r="U165" s="153" t="str">
        <f>+VLOOKUP($L165,Data_Validation!$A:$D,3,0)</f>
        <v>Véhicules neufs</v>
      </c>
      <c r="V165" s="153" t="str">
        <f>+VLOOKUP($L165,Data_Validation!$A:$D,4,0)</f>
        <v>Autos détail</v>
      </c>
      <c r="W165" s="153" t="str">
        <f>+VLOOKUP($L165,Data_Validation!$A:$E,5,0)</f>
        <v>$</v>
      </c>
      <c r="X165" s="153" t="str">
        <f>+VLOOKUP($L165,Data_Validation!$A:$F,6,0)</f>
        <v>Oui</v>
      </c>
    </row>
    <row r="166" spans="1:24" ht="15" customHeight="1">
      <c r="A166" s="1193" t="s">
        <v>2006</v>
      </c>
      <c r="B166" s="1194">
        <v>4111</v>
      </c>
      <c r="C166" s="1197">
        <v>-186051.27</v>
      </c>
      <c r="D166" s="1197">
        <v>-83353.88</v>
      </c>
      <c r="E166" s="1197">
        <v>-269405.15000000002</v>
      </c>
      <c r="F166" s="1193" t="s">
        <v>282</v>
      </c>
      <c r="G166" s="1193" t="s">
        <v>2007</v>
      </c>
      <c r="H166" s="987"/>
      <c r="I166" s="1389"/>
      <c r="J166" s="1389"/>
      <c r="K166" s="1389"/>
      <c r="L166" s="150">
        <f t="shared" si="10"/>
        <v>4111</v>
      </c>
      <c r="M166" s="151" t="str">
        <f t="shared" si="11"/>
        <v>VTE - JETTA</v>
      </c>
      <c r="N166" s="152">
        <f>+IF(OR($Q166=Parametres!$G$2,$Q166=Parametres!$G$3),I166,C166)</f>
        <v>-186051.27</v>
      </c>
      <c r="O166" s="1084">
        <f>+IF(OR($Q166=Parametres!$G$2,$Q166=Parametres!$G$3),J166,D166)</f>
        <v>-83353.88</v>
      </c>
      <c r="P166" s="152">
        <f>+IF(OR($Q166=Parametres!$G$2,$Q166=Parametres!$G$3),K166,E166)</f>
        <v>-269405.15000000002</v>
      </c>
      <c r="Q166" s="151" t="str">
        <f t="shared" si="12"/>
        <v>5-Ventes</v>
      </c>
      <c r="R166" s="150" t="str">
        <f t="shared" si="13"/>
        <v>4111</v>
      </c>
      <c r="S166" s="151">
        <f t="shared" si="14"/>
        <v>0</v>
      </c>
      <c r="T166" s="153">
        <f>+VLOOKUP($L166,Data_Validation!$A:$D,1,0)</f>
        <v>4111</v>
      </c>
      <c r="U166" s="153" t="str">
        <f>+VLOOKUP($L166,Data_Validation!$A:$D,3,0)</f>
        <v>Véhicules neufs</v>
      </c>
      <c r="V166" s="153" t="str">
        <f>+VLOOKUP($L166,Data_Validation!$A:$D,4,0)</f>
        <v>Autos détail</v>
      </c>
      <c r="W166" s="153" t="str">
        <f>+VLOOKUP($L166,Data_Validation!$A:$E,5,0)</f>
        <v>$</v>
      </c>
      <c r="X166" s="153" t="str">
        <f>+VLOOKUP($L166,Data_Validation!$A:$F,6,0)</f>
        <v>Oui</v>
      </c>
    </row>
    <row r="167" spans="1:24" ht="15" customHeight="1">
      <c r="A167" s="1193" t="s">
        <v>2894</v>
      </c>
      <c r="B167" s="1194">
        <v>4118</v>
      </c>
      <c r="C167" s="1197">
        <v>-1179515</v>
      </c>
      <c r="D167" s="1197">
        <v>-332206.74</v>
      </c>
      <c r="E167" s="1197">
        <v>-1511721.74</v>
      </c>
      <c r="F167" s="1193" t="s">
        <v>282</v>
      </c>
      <c r="G167" s="1193" t="s">
        <v>2895</v>
      </c>
      <c r="H167" s="1201"/>
      <c r="I167" s="1390"/>
      <c r="J167" s="1390"/>
      <c r="K167" s="1390"/>
      <c r="L167" s="150">
        <f t="shared" si="10"/>
        <v>4118</v>
      </c>
      <c r="M167" s="151" t="str">
        <f t="shared" si="11"/>
        <v>VTES -TAOS</v>
      </c>
      <c r="N167" s="152">
        <f>+IF(OR($Q167=Parametres!$G$2,$Q167=Parametres!$G$3),I167,C167)</f>
        <v>-1179515</v>
      </c>
      <c r="O167" s="1084">
        <f>+IF(OR($Q167=Parametres!$G$2,$Q167=Parametres!$G$3),J167,D167)</f>
        <v>-332206.74</v>
      </c>
      <c r="P167" s="152">
        <f>+IF(OR($Q167=Parametres!$G$2,$Q167=Parametres!$G$3),K167,E167)</f>
        <v>-1511721.74</v>
      </c>
      <c r="Q167" s="151" t="str">
        <f t="shared" si="12"/>
        <v>5-Ventes</v>
      </c>
      <c r="R167" s="150" t="str">
        <f t="shared" si="13"/>
        <v>4117</v>
      </c>
      <c r="S167" s="151">
        <f t="shared" si="14"/>
        <v>0</v>
      </c>
      <c r="T167" s="153">
        <f>+VLOOKUP($L167,Data_Validation!$A:$D,1,0)</f>
        <v>4118</v>
      </c>
      <c r="U167" s="153" t="str">
        <f>+VLOOKUP($L167,Data_Validation!$A:$D,3,0)</f>
        <v>Véhicules neufs</v>
      </c>
      <c r="V167" s="153" t="str">
        <f>+VLOOKUP($L167,Data_Validation!$A:$D,4,0)</f>
        <v>Camions détail</v>
      </c>
      <c r="W167" s="153" t="str">
        <f>+VLOOKUP($L167,Data_Validation!$A:$E,5,0)</f>
        <v>$</v>
      </c>
      <c r="X167" s="153" t="str">
        <f>+VLOOKUP($L167,Data_Validation!$A:$F,6,0)</f>
        <v>Oui</v>
      </c>
    </row>
    <row r="168" spans="1:24" ht="15.75" customHeight="1">
      <c r="A168" s="1193" t="s">
        <v>1995</v>
      </c>
      <c r="B168" s="1194">
        <v>4119</v>
      </c>
      <c r="C168" s="1197">
        <v>-914843.12</v>
      </c>
      <c r="D168" s="1197">
        <v>-506400.94</v>
      </c>
      <c r="E168" s="1197">
        <v>-1421244.06</v>
      </c>
      <c r="F168" s="1193" t="s">
        <v>282</v>
      </c>
      <c r="G168" s="1193" t="s">
        <v>1996</v>
      </c>
      <c r="H168" s="987"/>
      <c r="I168" s="1389"/>
      <c r="J168" s="1389"/>
      <c r="K168" s="1389"/>
      <c r="L168" s="150">
        <f t="shared" si="10"/>
        <v>4119</v>
      </c>
      <c r="M168" s="151" t="str">
        <f t="shared" si="11"/>
        <v>VTE - ATLAS</v>
      </c>
      <c r="N168" s="152">
        <f>+IF(OR($Q168=Parametres!$G$2,$Q168=Parametres!$G$3),I168,C168)</f>
        <v>-914843.12</v>
      </c>
      <c r="O168" s="1084">
        <f>+IF(OR($Q168=Parametres!$G$2,$Q168=Parametres!$G$3),J168,D168)</f>
        <v>-506400.94</v>
      </c>
      <c r="P168" s="152">
        <f>+IF(OR($Q168=Parametres!$G$2,$Q168=Parametres!$G$3),K168,E168)</f>
        <v>-1421244.06</v>
      </c>
      <c r="Q168" s="151" t="str">
        <f t="shared" si="12"/>
        <v>5-Ventes</v>
      </c>
      <c r="R168" s="150" t="str">
        <f t="shared" si="13"/>
        <v>4119</v>
      </c>
      <c r="S168" s="151">
        <f t="shared" si="14"/>
        <v>0</v>
      </c>
      <c r="T168" s="153">
        <f>+VLOOKUP($L168,Data_Validation!$A:$D,1,0)</f>
        <v>4119</v>
      </c>
      <c r="U168" s="153" t="str">
        <f>+VLOOKUP($L168,Data_Validation!$A:$D,3,0)</f>
        <v>Véhicules neufs</v>
      </c>
      <c r="V168" s="153" t="str">
        <f>+VLOOKUP($L168,Data_Validation!$A:$D,4,0)</f>
        <v>Camions détail</v>
      </c>
      <c r="W168" s="153" t="str">
        <f>+VLOOKUP($L168,Data_Validation!$A:$E,5,0)</f>
        <v>$</v>
      </c>
      <c r="X168" s="153" t="str">
        <f>+VLOOKUP($L168,Data_Validation!$A:$F,6,0)</f>
        <v>Oui</v>
      </c>
    </row>
    <row r="169" spans="1:24" ht="15" customHeight="1">
      <c r="A169" s="1193" t="s">
        <v>2882</v>
      </c>
      <c r="B169" s="1194">
        <v>4121</v>
      </c>
      <c r="C169" s="1197">
        <v>-93839.4</v>
      </c>
      <c r="D169" s="1197">
        <v>-42319.95</v>
      </c>
      <c r="E169" s="1197">
        <v>-136159.35</v>
      </c>
      <c r="F169" s="1193" t="s">
        <v>282</v>
      </c>
      <c r="G169" s="1193" t="s">
        <v>3258</v>
      </c>
      <c r="H169" s="948"/>
      <c r="I169" s="1391"/>
      <c r="J169" s="1391"/>
      <c r="K169" s="1391"/>
      <c r="L169" s="150">
        <f t="shared" si="10"/>
        <v>4121</v>
      </c>
      <c r="M169" s="151" t="str">
        <f t="shared" si="11"/>
        <v>VTES -VTE - ATLAS CROSS SPORT</v>
      </c>
      <c r="N169" s="152">
        <f>+IF(OR($Q169=Parametres!$G$2,$Q169=Parametres!$G$3),I169,C169)</f>
        <v>-93839.4</v>
      </c>
      <c r="O169" s="1084">
        <f>+IF(OR($Q169=Parametres!$G$2,$Q169=Parametres!$G$3),J169,D169)</f>
        <v>-42319.95</v>
      </c>
      <c r="P169" s="152">
        <f>+IF(OR($Q169=Parametres!$G$2,$Q169=Parametres!$G$3),K169,E169)</f>
        <v>-136159.35</v>
      </c>
      <c r="Q169" s="151" t="str">
        <f t="shared" si="12"/>
        <v>5-Ventes</v>
      </c>
      <c r="R169" s="150" t="str">
        <f t="shared" si="13"/>
        <v>4121</v>
      </c>
      <c r="S169" s="151">
        <f t="shared" si="14"/>
        <v>0</v>
      </c>
      <c r="T169" s="153">
        <f>+VLOOKUP($L169,Data_Validation!$A:$D,1,0)</f>
        <v>4121</v>
      </c>
      <c r="U169" s="153" t="str">
        <f>+VLOOKUP($L169,Data_Validation!$A:$D,3,0)</f>
        <v>Véhicules neufs</v>
      </c>
      <c r="V169" s="153" t="str">
        <f>+VLOOKUP($L169,Data_Validation!$A:$D,4,0)</f>
        <v>Camions détail</v>
      </c>
      <c r="W169" s="153" t="str">
        <f>+VLOOKUP($L169,Data_Validation!$A:$E,5,0)</f>
        <v>$</v>
      </c>
      <c r="X169" s="153" t="str">
        <f>+VLOOKUP($L169,Data_Validation!$A:$F,6,0)</f>
        <v>oui</v>
      </c>
    </row>
    <row r="170" spans="1:24" ht="15" customHeight="1">
      <c r="A170" s="1193" t="s">
        <v>2023</v>
      </c>
      <c r="B170" s="1194">
        <v>4127</v>
      </c>
      <c r="C170" s="1197">
        <v>-146207.95000000001</v>
      </c>
      <c r="D170" s="1197">
        <v>-87125.25</v>
      </c>
      <c r="E170" s="1197">
        <v>-233333.2</v>
      </c>
      <c r="F170" s="1193" t="s">
        <v>282</v>
      </c>
      <c r="G170" s="1193" t="s">
        <v>2024</v>
      </c>
      <c r="H170" s="1196"/>
      <c r="I170" s="1392"/>
      <c r="J170" s="1392"/>
      <c r="K170" s="1392"/>
      <c r="L170" s="150">
        <f t="shared" si="10"/>
        <v>4127</v>
      </c>
      <c r="M170" s="573" t="str">
        <f t="shared" si="11"/>
        <v>VTE - GOLF GTI</v>
      </c>
      <c r="N170" s="152">
        <f>+IF(OR($Q170=Parametres!$G$2,$Q170=Parametres!$G$3),I170,C170)</f>
        <v>-146207.95000000001</v>
      </c>
      <c r="O170" s="1082">
        <f>+IF(OR($Q170=Parametres!$G$2,$Q170=Parametres!$G$3),J170,D170)</f>
        <v>-87125.25</v>
      </c>
      <c r="P170" s="575">
        <f>+IF(OR($Q170=Parametres!$G$2,$Q170=Parametres!$G$3),K170,E170)</f>
        <v>-233333.2</v>
      </c>
      <c r="Q170" s="151" t="str">
        <f t="shared" si="12"/>
        <v>5-Ventes</v>
      </c>
      <c r="R170" s="150" t="str">
        <f t="shared" si="13"/>
        <v>4127</v>
      </c>
      <c r="S170" s="151">
        <f t="shared" si="14"/>
        <v>0</v>
      </c>
      <c r="T170" s="153">
        <f>+VLOOKUP($L170,Data_Validation!$A:$D,1,0)</f>
        <v>4127</v>
      </c>
      <c r="U170" s="153" t="str">
        <f>+VLOOKUP($L170,Data_Validation!$A:$D,3,0)</f>
        <v>Véhicules neufs</v>
      </c>
      <c r="V170" s="153" t="str">
        <f>+VLOOKUP($L170,Data_Validation!$A:$D,4,0)</f>
        <v>Autos détail</v>
      </c>
      <c r="W170" s="153" t="str">
        <f>+VLOOKUP($L170,Data_Validation!$A:$E,5,0)</f>
        <v>$</v>
      </c>
      <c r="X170" s="153" t="str">
        <f>+VLOOKUP($L170,Data_Validation!$A:$F,6,0)</f>
        <v>Oui</v>
      </c>
    </row>
    <row r="171" spans="1:24" ht="15" customHeight="1">
      <c r="A171" s="1193" t="s">
        <v>1991</v>
      </c>
      <c r="B171" s="1194">
        <v>4131</v>
      </c>
      <c r="C171" s="1197">
        <v>-1953070.86</v>
      </c>
      <c r="D171" s="1197">
        <v>-732322.02</v>
      </c>
      <c r="E171" s="1197">
        <v>-2685392.88</v>
      </c>
      <c r="F171" s="1193" t="s">
        <v>282</v>
      </c>
      <c r="G171" s="1193" t="s">
        <v>1992</v>
      </c>
      <c r="H171" s="1196"/>
      <c r="I171" s="1392"/>
      <c r="J171" s="1392"/>
      <c r="K171" s="1392"/>
      <c r="L171" s="150">
        <f t="shared" si="10"/>
        <v>4131</v>
      </c>
      <c r="M171" s="151" t="str">
        <f t="shared" si="11"/>
        <v>VTE - TIGUAN LWB</v>
      </c>
      <c r="N171" s="152">
        <f>+IF(OR($Q171=Parametres!$G$2,$Q171=Parametres!$G$3),I171,C171)</f>
        <v>-1953070.86</v>
      </c>
      <c r="O171" s="1084">
        <f>+IF(OR($Q171=Parametres!$G$2,$Q171=Parametres!$G$3),J171,D171)</f>
        <v>-732322.02</v>
      </c>
      <c r="P171" s="152">
        <f>+IF(OR($Q171=Parametres!$G$2,$Q171=Parametres!$G$3),K171,E171)</f>
        <v>-2685392.88</v>
      </c>
      <c r="Q171" s="151" t="str">
        <f t="shared" si="12"/>
        <v>5-Ventes</v>
      </c>
      <c r="R171" s="150" t="str">
        <f t="shared" si="13"/>
        <v>4131</v>
      </c>
      <c r="S171" s="151">
        <f t="shared" si="14"/>
        <v>0</v>
      </c>
      <c r="T171" s="153">
        <f>+VLOOKUP($L171,Data_Validation!$A:$D,1,0)</f>
        <v>4131</v>
      </c>
      <c r="U171" s="153" t="str">
        <f>+VLOOKUP($L171,Data_Validation!$A:$D,3,0)</f>
        <v>Véhicules neufs</v>
      </c>
      <c r="V171" s="153" t="str">
        <f>+VLOOKUP($L171,Data_Validation!$A:$D,4,0)</f>
        <v>Camions détail</v>
      </c>
      <c r="W171" s="153" t="str">
        <f>+VLOOKUP($L171,Data_Validation!$A:$E,5,0)</f>
        <v>$</v>
      </c>
      <c r="X171" s="153" t="str">
        <f>+VLOOKUP($L171,Data_Validation!$A:$F,6,0)</f>
        <v>Oui</v>
      </c>
    </row>
    <row r="172" spans="1:24" ht="15.75" customHeight="1">
      <c r="A172" s="1193" t="s">
        <v>2432</v>
      </c>
      <c r="B172" s="1194">
        <v>4137</v>
      </c>
      <c r="C172" s="1197">
        <v>-70053</v>
      </c>
      <c r="D172" s="1197" t="s">
        <v>3444</v>
      </c>
      <c r="E172" s="1197">
        <v>-70053</v>
      </c>
      <c r="F172" s="1193" t="s">
        <v>282</v>
      </c>
      <c r="G172" s="1193" t="s">
        <v>2433</v>
      </c>
      <c r="H172" s="1196"/>
      <c r="I172" s="1392"/>
      <c r="J172" s="1392"/>
      <c r="K172" s="1392"/>
      <c r="L172" s="150">
        <f t="shared" si="10"/>
        <v>4137</v>
      </c>
      <c r="M172" s="151" t="str">
        <f t="shared" si="11"/>
        <v>VTE - VW-FLOTTE/VENTES ENTR/EMPLOYE/VEH DEMON</v>
      </c>
      <c r="N172" s="152">
        <f>+IF(OR($Q172=Parametres!$G$2,$Q172=Parametres!$G$3),I172,C172)</f>
        <v>-70053</v>
      </c>
      <c r="O172" s="1082" t="str">
        <f>+IF(OR($Q172=Parametres!$G$2,$Q172=Parametres!$G$3),J172,D172)</f>
        <v xml:space="preserve">                       -   </v>
      </c>
      <c r="P172" s="152">
        <f>+IF(OR($Q172=Parametres!$G$2,$Q172=Parametres!$G$3),K172,E172)</f>
        <v>-70053</v>
      </c>
      <c r="Q172" s="151" t="str">
        <f t="shared" si="12"/>
        <v>5-Ventes</v>
      </c>
      <c r="R172" s="150" t="str">
        <f t="shared" si="13"/>
        <v>4137</v>
      </c>
      <c r="S172" s="151">
        <f t="shared" si="14"/>
        <v>0</v>
      </c>
      <c r="T172" s="153">
        <f>+VLOOKUP($L172,Data_Validation!$A:$D,1,0)</f>
        <v>4137</v>
      </c>
      <c r="U172" s="153" t="str">
        <f>+VLOOKUP($L172,Data_Validation!$A:$D,3,0)</f>
        <v>Véhicules neufs</v>
      </c>
      <c r="V172" s="153" t="str">
        <f>+VLOOKUP($L172,Data_Validation!$A:$D,4,0)</f>
        <v>Flottes</v>
      </c>
      <c r="W172" s="153" t="str">
        <f>+VLOOKUP($L172,Data_Validation!$A:$E,5,0)</f>
        <v>$</v>
      </c>
      <c r="X172" s="153" t="str">
        <f>+VLOOKUP($L172,Data_Validation!$A:$F,6,0)</f>
        <v>Oui</v>
      </c>
    </row>
    <row r="173" spans="1:24" ht="15" customHeight="1">
      <c r="A173" s="1193" t="s">
        <v>1997</v>
      </c>
      <c r="B173" s="1194">
        <v>4139</v>
      </c>
      <c r="C173" s="1195">
        <v>-738805.08</v>
      </c>
      <c r="D173" s="1195">
        <v>-133797.45000000001</v>
      </c>
      <c r="E173" s="1195">
        <v>-872602.53</v>
      </c>
      <c r="F173" s="1193" t="s">
        <v>282</v>
      </c>
      <c r="G173" s="1193" t="s">
        <v>1998</v>
      </c>
      <c r="H173" s="1196"/>
      <c r="I173" s="1393"/>
      <c r="J173" s="1393"/>
      <c r="K173" s="1393"/>
      <c r="L173" s="150">
        <f t="shared" si="10"/>
        <v>4139</v>
      </c>
      <c r="M173" s="151" t="str">
        <f t="shared" si="11"/>
        <v>VTE - VW FLOTTE/VENTE ENTR/EMPLOYE/VEH DEMONS</v>
      </c>
      <c r="N173" s="152">
        <f>+IF(OR($Q173=Parametres!$G$2,$Q173=Parametres!$G$3),I173,C173)</f>
        <v>-738805.08</v>
      </c>
      <c r="O173" s="1082">
        <f>+IF(OR($Q173=Parametres!$G$2,$Q173=Parametres!$G$3),J173,D173)</f>
        <v>-133797.45000000001</v>
      </c>
      <c r="P173" s="152">
        <f>+IF(OR($Q173=Parametres!$G$2,$Q173=Parametres!$G$3),K173,E173)</f>
        <v>-872602.53</v>
      </c>
      <c r="Q173" s="151" t="str">
        <f t="shared" si="12"/>
        <v>5-Ventes</v>
      </c>
      <c r="R173" s="150" t="str">
        <f t="shared" si="13"/>
        <v>4139</v>
      </c>
      <c r="S173" s="151">
        <f t="shared" si="14"/>
        <v>0</v>
      </c>
      <c r="T173" s="153">
        <f>+VLOOKUP($L173,Data_Validation!$A:$D,1,0)</f>
        <v>4139</v>
      </c>
      <c r="U173" s="153" t="str">
        <f>+VLOOKUP($L173,Data_Validation!$A:$D,3,0)</f>
        <v>Véhicules neufs</v>
      </c>
      <c r="V173" s="153" t="str">
        <f>+VLOOKUP($L173,Data_Validation!$A:$D,4,0)</f>
        <v>Ex-Démos et courtoisies</v>
      </c>
      <c r="W173" s="153" t="str">
        <f>+VLOOKUP($L173,Data_Validation!$A:$E,5,0)</f>
        <v>$</v>
      </c>
      <c r="X173" s="153" t="str">
        <f>+VLOOKUP($L173,Data_Validation!$A:$F,6,0)</f>
        <v>Oui</v>
      </c>
    </row>
    <row r="174" spans="1:24" ht="15" customHeight="1">
      <c r="A174" s="1193" t="s">
        <v>3356</v>
      </c>
      <c r="B174" s="1194">
        <v>4144</v>
      </c>
      <c r="C174" s="1195">
        <v>-35129.949999999997</v>
      </c>
      <c r="D174" s="1195">
        <v>-33670.959999999999</v>
      </c>
      <c r="E174" s="1195">
        <v>-68800.91</v>
      </c>
      <c r="F174" s="1193" t="s">
        <v>282</v>
      </c>
      <c r="G174" s="1193" t="s">
        <v>3357</v>
      </c>
      <c r="H174" s="1196"/>
      <c r="I174" s="1393"/>
      <c r="J174" s="1393"/>
      <c r="K174" s="1393"/>
      <c r="L174" s="150">
        <f t="shared" si="10"/>
        <v>4144</v>
      </c>
      <c r="M174" s="151" t="str">
        <f t="shared" si="11"/>
        <v>VTES -JETTA GLI</v>
      </c>
      <c r="N174" s="152">
        <f>+IF(OR($Q174=Parametres!$G$2,$Q174=Parametres!$G$3),I174,C174)</f>
        <v>-35129.949999999997</v>
      </c>
      <c r="O174" s="1082">
        <f>+IF(OR($Q174=Parametres!$G$2,$Q174=Parametres!$G$3),J174,D174)</f>
        <v>-33670.959999999999</v>
      </c>
      <c r="P174" s="152">
        <f>+IF(OR($Q174=Parametres!$G$2,$Q174=Parametres!$G$3),K174,E174)</f>
        <v>-68800.91</v>
      </c>
      <c r="Q174" s="151" t="str">
        <f t="shared" si="12"/>
        <v>5-Ventes</v>
      </c>
      <c r="R174" s="150" t="str">
        <f t="shared" si="13"/>
        <v>414</v>
      </c>
      <c r="S174" s="151">
        <f t="shared" si="14"/>
        <v>0</v>
      </c>
      <c r="T174" s="153">
        <f>+VLOOKUP($L174,Data_Validation!$A:$D,1,0)</f>
        <v>4144</v>
      </c>
      <c r="U174" s="153" t="str">
        <f>+VLOOKUP($L174,Data_Validation!$A:$D,3,0)</f>
        <v>Véhicules neufs</v>
      </c>
      <c r="V174" s="153" t="str">
        <f>+VLOOKUP($L174,Data_Validation!$A:$D,4,0)</f>
        <v>Autos détail</v>
      </c>
      <c r="W174" s="153" t="str">
        <f>+VLOOKUP($L174,Data_Validation!$A:$E,5,0)</f>
        <v>$</v>
      </c>
      <c r="X174" s="153" t="str">
        <f>+VLOOKUP($L174,Data_Validation!$A:$F,6,0)</f>
        <v>Oui</v>
      </c>
    </row>
    <row r="175" spans="1:24" ht="15" customHeight="1">
      <c r="A175" s="1193" t="s">
        <v>1993</v>
      </c>
      <c r="B175" s="1194">
        <v>4201</v>
      </c>
      <c r="C175" s="1195">
        <v>-3106375.92</v>
      </c>
      <c r="D175" s="1195">
        <v>-790896.58</v>
      </c>
      <c r="E175" s="1195">
        <v>-3897272.5</v>
      </c>
      <c r="F175" s="1193" t="s">
        <v>282</v>
      </c>
      <c r="G175" s="1193" t="s">
        <v>1994</v>
      </c>
      <c r="H175" s="1196"/>
      <c r="I175" s="1197"/>
      <c r="J175" s="1197"/>
      <c r="K175" s="1197"/>
      <c r="L175" s="150">
        <f t="shared" si="10"/>
        <v>4201</v>
      </c>
      <c r="M175" s="151" t="str">
        <f t="shared" si="11"/>
        <v>VTE - VEH.USAGE VW DETAIL CERTIFIE</v>
      </c>
      <c r="N175" s="152">
        <f>+IF(OR($Q175=Parametres!$G$2,$Q175=Parametres!$G$3),I175,C175)</f>
        <v>-3106375.92</v>
      </c>
      <c r="O175" s="1084">
        <f>+IF(OR($Q175=Parametres!$G$2,$Q175=Parametres!$G$3),J175,D175)</f>
        <v>-790896.58</v>
      </c>
      <c r="P175" s="152">
        <f>+IF(OR($Q175=Parametres!$G$2,$Q175=Parametres!$G$3),K175,E175)</f>
        <v>-3897272.5</v>
      </c>
      <c r="Q175" s="151" t="str">
        <f t="shared" si="12"/>
        <v>5-Ventes</v>
      </c>
      <c r="R175" s="150" t="str">
        <f t="shared" si="13"/>
        <v>4201</v>
      </c>
      <c r="S175" s="151">
        <f t="shared" si="14"/>
        <v>0</v>
      </c>
      <c r="T175" s="153">
        <f>+VLOOKUP($L175,Data_Validation!$A:$D,1,0)</f>
        <v>4201</v>
      </c>
      <c r="U175" s="153" t="str">
        <f>+VLOOKUP($L175,Data_Validation!$A:$D,3,0)</f>
        <v>Véhicules usagés</v>
      </c>
      <c r="V175" s="153" t="str">
        <f>+VLOOKUP($L175,Data_Validation!$A:$D,4,0)</f>
        <v>Certifié</v>
      </c>
      <c r="W175" s="153" t="str">
        <f>+VLOOKUP($L175,Data_Validation!$A:$E,5,0)</f>
        <v>$</v>
      </c>
      <c r="X175" s="153" t="str">
        <f>+VLOOKUP($L175,Data_Validation!$A:$F,6,0)</f>
        <v>Oui</v>
      </c>
    </row>
    <row r="176" spans="1:24" ht="15.75" customHeight="1">
      <c r="A176" s="1193" t="s">
        <v>2031</v>
      </c>
      <c r="B176" s="1194">
        <v>4285</v>
      </c>
      <c r="C176" s="1195">
        <v>-115694</v>
      </c>
      <c r="D176" s="1195">
        <v>-47277</v>
      </c>
      <c r="E176" s="1195">
        <v>-162971</v>
      </c>
      <c r="F176" s="1193" t="s">
        <v>282</v>
      </c>
      <c r="G176" s="1193" t="s">
        <v>2033</v>
      </c>
      <c r="H176" s="1196"/>
      <c r="I176" s="1197"/>
      <c r="J176" s="1197"/>
      <c r="K176" s="1197"/>
      <c r="L176" s="150">
        <f t="shared" si="10"/>
        <v>4285</v>
      </c>
      <c r="M176" s="151" t="str">
        <f t="shared" si="11"/>
        <v>VEH. D'OCC. AUTRE DETAIL</v>
      </c>
      <c r="N176" s="152">
        <f>+IF(OR($Q176=Parametres!$G$2,$Q176=Parametres!$G$3),I176,C176)</f>
        <v>-115694</v>
      </c>
      <c r="O176" s="1084">
        <f>+IF(OR($Q176=Parametres!$G$2,$Q176=Parametres!$G$3),J176,D176)</f>
        <v>-47277</v>
      </c>
      <c r="P176" s="152">
        <f>+IF(OR($Q176=Parametres!$G$2,$Q176=Parametres!$G$3),K176,E176)</f>
        <v>-162971</v>
      </c>
      <c r="Q176" s="151" t="str">
        <f t="shared" si="12"/>
        <v>5-Ventes</v>
      </c>
      <c r="R176" s="150" t="str">
        <f t="shared" si="13"/>
        <v>4261</v>
      </c>
      <c r="S176" s="151">
        <f t="shared" si="14"/>
        <v>0</v>
      </c>
      <c r="T176" s="153">
        <f>+VLOOKUP($L176,Data_Validation!$A:$D,1,0)</f>
        <v>4285</v>
      </c>
      <c r="U176" s="153" t="str">
        <f>+VLOOKUP($L176,Data_Validation!$A:$D,3,0)</f>
        <v>Véhicules usagés</v>
      </c>
      <c r="V176" s="153" t="str">
        <f>+VLOOKUP($L176,Data_Validation!$A:$D,4,0)</f>
        <v>Non Certifié</v>
      </c>
      <c r="W176" s="153" t="str">
        <f>+VLOOKUP($L176,Data_Validation!$A:$E,5,0)</f>
        <v>$</v>
      </c>
      <c r="X176" s="153" t="str">
        <f>+VLOOKUP($L176,Data_Validation!$A:$F,6,0)</f>
        <v>Oui</v>
      </c>
    </row>
    <row r="177" spans="1:24" ht="15" customHeight="1">
      <c r="A177" s="1193" t="s">
        <v>1999</v>
      </c>
      <c r="B177" s="1194">
        <v>4291</v>
      </c>
      <c r="C177" s="1195">
        <v>-1475316</v>
      </c>
      <c r="D177" s="1195">
        <v>-592950</v>
      </c>
      <c r="E177" s="1195">
        <v>-2068266</v>
      </c>
      <c r="F177" s="1193" t="s">
        <v>282</v>
      </c>
      <c r="G177" s="1193" t="s">
        <v>2001</v>
      </c>
      <c r="H177" s="1196"/>
      <c r="I177" s="1197"/>
      <c r="J177" s="1197"/>
      <c r="K177" s="1197"/>
      <c r="L177" s="150">
        <f t="shared" si="10"/>
        <v>4291</v>
      </c>
      <c r="M177" s="151" t="str">
        <f t="shared" si="11"/>
        <v>VEH. D'OCC. AU GROS</v>
      </c>
      <c r="N177" s="152">
        <f>+IF(OR($Q177=Parametres!$G$2,$Q177=Parametres!$G$3),I177,C177)</f>
        <v>-1475316</v>
      </c>
      <c r="O177" s="1084">
        <f>+IF(OR($Q177=Parametres!$G$2,$Q177=Parametres!$G$3),J177,D177)</f>
        <v>-592950</v>
      </c>
      <c r="P177" s="152">
        <f>+IF(OR($Q177=Parametres!$G$2,$Q177=Parametres!$G$3),K177,E177)</f>
        <v>-2068266</v>
      </c>
      <c r="Q177" s="151" t="str">
        <f t="shared" si="12"/>
        <v>5-Ventes</v>
      </c>
      <c r="R177" s="150" t="str">
        <f t="shared" si="13"/>
        <v>4281</v>
      </c>
      <c r="S177" s="151">
        <f t="shared" si="14"/>
        <v>0</v>
      </c>
      <c r="T177" s="153">
        <f>+VLOOKUP($L177,Data_Validation!$A:$D,1,0)</f>
        <v>4291</v>
      </c>
      <c r="U177" s="153" t="str">
        <f>+VLOOKUP($L177,Data_Validation!$A:$D,3,0)</f>
        <v>Véhicules usagés</v>
      </c>
      <c r="V177" s="153" t="str">
        <f>+VLOOKUP($L177,Data_Validation!$A:$D,4,0)</f>
        <v>Ventes au Gros</v>
      </c>
      <c r="W177" s="153" t="str">
        <f>+VLOOKUP($L177,Data_Validation!$A:$E,5,0)</f>
        <v>$</v>
      </c>
      <c r="X177" s="153" t="str">
        <f>+VLOOKUP($L177,Data_Validation!$A:$F,6,0)</f>
        <v>Oui</v>
      </c>
    </row>
    <row r="178" spans="1:24" ht="15" customHeight="1">
      <c r="A178" s="1198" t="s">
        <v>2004</v>
      </c>
      <c r="B178" s="1194">
        <v>4401</v>
      </c>
      <c r="C178" s="1195">
        <v>-431506.3</v>
      </c>
      <c r="D178" s="1195">
        <v>-169800.64</v>
      </c>
      <c r="E178" s="1195">
        <v>-601306.93999999994</v>
      </c>
      <c r="F178" s="1193" t="s">
        <v>282</v>
      </c>
      <c r="G178" s="1193" t="s">
        <v>2005</v>
      </c>
      <c r="H178" s="1196"/>
      <c r="I178" s="1197"/>
      <c r="J178" s="1197"/>
      <c r="K178" s="1197"/>
      <c r="L178" s="150">
        <f t="shared" si="10"/>
        <v>4401</v>
      </c>
      <c r="M178" s="151" t="str">
        <f t="shared" si="11"/>
        <v>M.O. MECANIQUE-VENTE CLIENTS</v>
      </c>
      <c r="N178" s="152">
        <f>+IF(OR($Q178=Parametres!$G$2,$Q178=Parametres!$G$3),I178,C178)</f>
        <v>-431506.3</v>
      </c>
      <c r="O178" s="1084">
        <f>+IF(OR($Q178=Parametres!$G$2,$Q178=Parametres!$G$3),J178,D178)</f>
        <v>-169800.64</v>
      </c>
      <c r="P178" s="152">
        <f>+IF(OR($Q178=Parametres!$G$2,$Q178=Parametres!$G$3),K178,E178)</f>
        <v>-601306.93999999994</v>
      </c>
      <c r="Q178" s="151" t="str">
        <f t="shared" si="12"/>
        <v>5-Ventes</v>
      </c>
      <c r="R178" s="150" t="str">
        <f t="shared" si="13"/>
        <v>4401</v>
      </c>
      <c r="S178" s="151">
        <f t="shared" si="14"/>
        <v>0</v>
      </c>
      <c r="T178" s="153">
        <f>+VLOOKUP($L178,Data_Validation!$A:$D,1,0)</f>
        <v>4401</v>
      </c>
      <c r="U178" s="153" t="str">
        <f>+VLOOKUP($L178,Data_Validation!$A:$D,3,0)</f>
        <v>Service</v>
      </c>
      <c r="V178" s="153" t="str">
        <f>+VLOOKUP($L178,Data_Validation!$A:$D,4,0)</f>
        <v>M/O Client</v>
      </c>
      <c r="W178" s="153" t="str">
        <f>+VLOOKUP($L178,Data_Validation!$A:$E,5,0)</f>
        <v>$</v>
      </c>
      <c r="X178" s="153" t="str">
        <f>+VLOOKUP($L178,Data_Validation!$A:$F,6,0)</f>
        <v>Oui</v>
      </c>
    </row>
    <row r="179" spans="1:24" ht="15" customHeight="1">
      <c r="A179" s="1193" t="s">
        <v>2184</v>
      </c>
      <c r="B179" s="1194">
        <v>4402</v>
      </c>
      <c r="C179" s="1195">
        <v>-2176.63</v>
      </c>
      <c r="D179" s="1195">
        <v>-2755.12</v>
      </c>
      <c r="E179" s="1195">
        <v>-4931.75</v>
      </c>
      <c r="F179" s="1193" t="s">
        <v>282</v>
      </c>
      <c r="G179" s="1193" t="s">
        <v>2185</v>
      </c>
      <c r="H179" s="1196"/>
      <c r="I179" s="1197"/>
      <c r="J179" s="1197"/>
      <c r="K179" s="1197"/>
      <c r="L179" s="150">
        <f t="shared" si="10"/>
        <v>4402</v>
      </c>
      <c r="M179" s="151" t="str">
        <f t="shared" si="11"/>
        <v>VTE - M.O. ESTHETIQUE CLIENT</v>
      </c>
      <c r="N179" s="152">
        <f>+IF(OR($Q179=Parametres!$G$2,$Q179=Parametres!$G$3),I179,C179)</f>
        <v>-2176.63</v>
      </c>
      <c r="O179" s="1084">
        <f>+IF(OR($Q179=Parametres!$G$2,$Q179=Parametres!$G$3),J179,D179)</f>
        <v>-2755.12</v>
      </c>
      <c r="P179" s="152">
        <f>+IF(OR($Q179=Parametres!$G$2,$Q179=Parametres!$G$3),K179,E179)</f>
        <v>-4931.75</v>
      </c>
      <c r="Q179" s="151" t="str">
        <f t="shared" si="12"/>
        <v>5-Ventes</v>
      </c>
      <c r="R179" s="150" t="str">
        <f t="shared" si="13"/>
        <v>4402</v>
      </c>
      <c r="S179" s="151">
        <f t="shared" si="14"/>
        <v>0</v>
      </c>
      <c r="T179" s="153">
        <f>+VLOOKUP($L179,Data_Validation!$A:$D,1,0)</f>
        <v>4402</v>
      </c>
      <c r="U179" s="153" t="str">
        <f>+VLOOKUP($L179,Data_Validation!$A:$D,3,0)</f>
        <v>Service</v>
      </c>
      <c r="V179" s="153" t="str">
        <f>+VLOOKUP($L179,Data_Validation!$A:$D,4,0)</f>
        <v>M/O Esthétique</v>
      </c>
      <c r="W179" s="153" t="str">
        <f>+VLOOKUP($L179,Data_Validation!$A:$E,5,0)</f>
        <v>$</v>
      </c>
      <c r="X179" s="153" t="str">
        <f>+VLOOKUP($L179,Data_Validation!$A:$F,6,0)</f>
        <v>Oui</v>
      </c>
    </row>
    <row r="180" spans="1:24" ht="15" customHeight="1">
      <c r="A180" s="1193" t="s">
        <v>2034</v>
      </c>
      <c r="B180" s="1194">
        <v>4403</v>
      </c>
      <c r="C180" s="1197">
        <v>-160445.65</v>
      </c>
      <c r="D180" s="1197">
        <v>-39926.589999999997</v>
      </c>
      <c r="E180" s="1197">
        <v>-200372.24</v>
      </c>
      <c r="F180" s="1193" t="s">
        <v>282</v>
      </c>
      <c r="G180" s="1193" t="s">
        <v>2035</v>
      </c>
      <c r="H180" s="1196"/>
      <c r="I180" s="1196"/>
      <c r="J180" s="1196"/>
      <c r="K180" s="1195"/>
      <c r="L180" s="150">
        <f t="shared" si="10"/>
        <v>4403</v>
      </c>
      <c r="M180" s="151" t="str">
        <f t="shared" si="11"/>
        <v>M.O. MECANIQUE-VENTE GAR. MANU</v>
      </c>
      <c r="N180" s="152">
        <f>+IF(OR($Q180=Parametres!$G$2,$Q180=Parametres!$G$3),I180,C180)</f>
        <v>-160445.65</v>
      </c>
      <c r="O180" s="1082">
        <f>+IF(OR($Q180=Parametres!$G$2,$Q180=Parametres!$G$3),J180,D180)</f>
        <v>-39926.589999999997</v>
      </c>
      <c r="P180" s="152">
        <f>+IF(OR($Q180=Parametres!$G$2,$Q180=Parametres!$G$3),K180,E180)</f>
        <v>-200372.24</v>
      </c>
      <c r="Q180" s="151" t="str">
        <f t="shared" si="12"/>
        <v>5-Ventes</v>
      </c>
      <c r="R180" s="150" t="str">
        <f t="shared" si="13"/>
        <v>4403</v>
      </c>
      <c r="S180" s="151">
        <f t="shared" si="14"/>
        <v>0</v>
      </c>
      <c r="T180" s="153">
        <f>+VLOOKUP($L180,Data_Validation!$A:$D,1,0)</f>
        <v>4403</v>
      </c>
      <c r="U180" s="153" t="str">
        <f>+VLOOKUP($L180,Data_Validation!$A:$D,3,0)</f>
        <v>Service</v>
      </c>
      <c r="V180" s="153" t="str">
        <f>+VLOOKUP($L180,Data_Validation!$A:$D,4,0)</f>
        <v>M/O Garantie</v>
      </c>
      <c r="W180" s="153" t="str">
        <f>+VLOOKUP($L180,Data_Validation!$A:$E,5,0)</f>
        <v>$</v>
      </c>
      <c r="X180" s="153" t="str">
        <f>+VLOOKUP($L180,Data_Validation!$A:$F,6,0)</f>
        <v>Oui</v>
      </c>
    </row>
    <row r="181" spans="1:24" ht="15.75" customHeight="1">
      <c r="A181" s="1193" t="s">
        <v>2044</v>
      </c>
      <c r="B181" s="1194">
        <v>4405</v>
      </c>
      <c r="C181" s="1197">
        <v>-161474.57</v>
      </c>
      <c r="D181" s="1197">
        <v>-41930.720000000001</v>
      </c>
      <c r="E181" s="1197">
        <v>-203405.29</v>
      </c>
      <c r="F181" s="1193" t="s">
        <v>282</v>
      </c>
      <c r="G181" s="1193" t="s">
        <v>2045</v>
      </c>
      <c r="H181" s="1196"/>
      <c r="I181" s="1195"/>
      <c r="J181" s="1196"/>
      <c r="K181" s="1195"/>
      <c r="L181" s="150">
        <f t="shared" si="10"/>
        <v>4405</v>
      </c>
      <c r="M181" s="151" t="str">
        <f t="shared" si="11"/>
        <v>M.O. MECANIQUE-VENTE INTERNE</v>
      </c>
      <c r="N181" s="152">
        <f>+IF(OR($Q181=Parametres!$G$2,$Q181=Parametres!$G$3),I181,C181)</f>
        <v>-161474.57</v>
      </c>
      <c r="O181" s="1084">
        <f>+IF(OR($Q181=Parametres!$G$2,$Q181=Parametres!$G$3),J181,D181)</f>
        <v>-41930.720000000001</v>
      </c>
      <c r="P181" s="152">
        <f>+IF(OR($Q181=Parametres!$G$2,$Q181=Parametres!$G$3),K181,E181)</f>
        <v>-203405.29</v>
      </c>
      <c r="Q181" s="151" t="str">
        <f t="shared" si="12"/>
        <v>5-Ventes</v>
      </c>
      <c r="R181" s="150" t="str">
        <f t="shared" si="13"/>
        <v>4405</v>
      </c>
      <c r="S181" s="151">
        <f t="shared" si="14"/>
        <v>0</v>
      </c>
      <c r="T181" s="153">
        <f>+VLOOKUP($L181,Data_Validation!$A:$D,1,0)</f>
        <v>4405</v>
      </c>
      <c r="U181" s="153" t="str">
        <f>+VLOOKUP($L181,Data_Validation!$A:$D,3,0)</f>
        <v>Service</v>
      </c>
      <c r="V181" s="153" t="str">
        <f>+VLOOKUP($L181,Data_Validation!$A:$D,4,0)</f>
        <v>M/O Interne</v>
      </c>
      <c r="W181" s="153" t="str">
        <f>+VLOOKUP($L181,Data_Validation!$A:$E,5,0)</f>
        <v>$</v>
      </c>
      <c r="X181" s="153" t="str">
        <f>+VLOOKUP($L181,Data_Validation!$A:$F,6,0)</f>
        <v>Oui</v>
      </c>
    </row>
    <row r="182" spans="1:24" ht="15.75" customHeight="1">
      <c r="A182" s="1193" t="s">
        <v>2064</v>
      </c>
      <c r="B182" s="1194">
        <v>4451</v>
      </c>
      <c r="C182" s="1197">
        <v>-80382.710000000006</v>
      </c>
      <c r="D182" s="1197">
        <v>-27425.81</v>
      </c>
      <c r="E182" s="1197">
        <v>-107808.52</v>
      </c>
      <c r="F182" s="1193" t="s">
        <v>282</v>
      </c>
      <c r="G182" s="1193" t="s">
        <v>2066</v>
      </c>
      <c r="H182" s="1196"/>
      <c r="I182" s="1199"/>
      <c r="J182" s="1199"/>
      <c r="K182" s="1199"/>
      <c r="L182" s="150">
        <f t="shared" si="10"/>
        <v>4451</v>
      </c>
      <c r="M182" s="151" t="str">
        <f t="shared" si="11"/>
        <v>CARBURANT/HUILE/GRAISSE</v>
      </c>
      <c r="N182" s="152">
        <f>+IF(OR($Q182=Parametres!$G$2,$Q182=Parametres!$G$3),I182,C182)</f>
        <v>-80382.710000000006</v>
      </c>
      <c r="O182" s="1084">
        <f>+IF(OR($Q182=Parametres!$G$2,$Q182=Parametres!$G$3),J182,D182)</f>
        <v>-27425.81</v>
      </c>
      <c r="P182" s="152">
        <f>+IF(OR($Q182=Parametres!$G$2,$Q182=Parametres!$G$3),K182,E182)</f>
        <v>-107808.52</v>
      </c>
      <c r="Q182" s="151" t="str">
        <f t="shared" si="12"/>
        <v>5-Ventes</v>
      </c>
      <c r="R182" s="150" t="str">
        <f t="shared" si="13"/>
        <v>4782</v>
      </c>
      <c r="S182" s="151">
        <f t="shared" si="14"/>
        <v>0</v>
      </c>
      <c r="T182" s="153">
        <f>+VLOOKUP($L182,Data_Validation!$A:$D,1,0)</f>
        <v>4451</v>
      </c>
      <c r="U182" s="153" t="str">
        <f>+VLOOKUP($L182,Data_Validation!$A:$D,3,0)</f>
        <v>Pièces</v>
      </c>
      <c r="V182" s="153" t="str">
        <f>+VLOOKUP($L182,Data_Validation!$A:$D,4,0)</f>
        <v>Huiles et Graisse</v>
      </c>
      <c r="W182" s="153" t="str">
        <f>+VLOOKUP($L182,Data_Validation!$A:$E,5,0)</f>
        <v>$</v>
      </c>
      <c r="X182" s="153" t="str">
        <f>+VLOOKUP($L182,Data_Validation!$A:$F,6,0)</f>
        <v>Oui</v>
      </c>
    </row>
    <row r="183" spans="1:24" ht="15.75" customHeight="1">
      <c r="A183" s="1193" t="s">
        <v>2137</v>
      </c>
      <c r="B183" s="1194">
        <v>4491</v>
      </c>
      <c r="C183" s="1197">
        <v>-4353.28</v>
      </c>
      <c r="D183" s="1197">
        <v>-1486.96</v>
      </c>
      <c r="E183" s="1197">
        <v>-5840.24</v>
      </c>
      <c r="F183" s="1193" t="s">
        <v>282</v>
      </c>
      <c r="G183" s="1193" t="s">
        <v>2138</v>
      </c>
      <c r="H183" s="1196"/>
      <c r="I183" s="1199"/>
      <c r="J183" s="1199"/>
      <c r="K183" s="1199"/>
      <c r="L183" s="150">
        <f t="shared" si="10"/>
        <v>4491</v>
      </c>
      <c r="M183" s="151" t="str">
        <f t="shared" si="11"/>
        <v>REPARATION SOUS-LOC. - GENERAL</v>
      </c>
      <c r="N183" s="152">
        <f>+IF(OR($Q183=Parametres!$G$2,$Q183=Parametres!$G$3),I183,C183)</f>
        <v>-4353.28</v>
      </c>
      <c r="O183" s="1084">
        <f>+IF(OR($Q183=Parametres!$G$2,$Q183=Parametres!$G$3),J183,D183)</f>
        <v>-1486.96</v>
      </c>
      <c r="P183" s="152">
        <f>+IF(OR($Q183=Parametres!$G$2,$Q183=Parametres!$G$3),K183,E183)</f>
        <v>-5840.24</v>
      </c>
      <c r="Q183" s="151" t="str">
        <f t="shared" si="12"/>
        <v>5-Ventes</v>
      </c>
      <c r="R183" s="150" t="str">
        <f t="shared" si="13"/>
        <v>4491</v>
      </c>
      <c r="S183" s="151">
        <f t="shared" si="14"/>
        <v>0</v>
      </c>
      <c r="T183" s="153">
        <f>+VLOOKUP($L183,Data_Validation!$A:$D,1,0)</f>
        <v>4491</v>
      </c>
      <c r="U183" s="153" t="str">
        <f>+VLOOKUP($L183,Data_Validation!$A:$D,3,0)</f>
        <v>Service</v>
      </c>
      <c r="V183" s="153" t="str">
        <f>+VLOOKUP($L183,Data_Validation!$A:$D,4,0)</f>
        <v>Sous-traitement</v>
      </c>
      <c r="W183" s="153" t="str">
        <f>+VLOOKUP($L183,Data_Validation!$A:$E,5,0)</f>
        <v>$</v>
      </c>
      <c r="X183" s="153" t="str">
        <f>+VLOOKUP($L183,Data_Validation!$A:$F,6,0)</f>
        <v>Oui</v>
      </c>
    </row>
    <row r="184" spans="1:24" ht="15.75" customHeight="1">
      <c r="A184" s="1193" t="s">
        <v>2160</v>
      </c>
      <c r="B184" s="1194">
        <v>4493</v>
      </c>
      <c r="C184" s="1197">
        <v>-6274.21</v>
      </c>
      <c r="D184" s="1197">
        <v>-1735.8</v>
      </c>
      <c r="E184" s="1197">
        <v>-8010.01</v>
      </c>
      <c r="F184" s="1193" t="s">
        <v>282</v>
      </c>
      <c r="G184" s="1193" t="s">
        <v>2161</v>
      </c>
      <c r="H184" s="1196"/>
      <c r="I184" s="1195"/>
      <c r="J184" s="1196"/>
      <c r="K184" s="1195"/>
      <c r="L184" s="150">
        <f t="shared" si="10"/>
        <v>4493</v>
      </c>
      <c r="M184" s="151" t="str">
        <f t="shared" si="11"/>
        <v>VTE - SOUS-TRAITANCE GARANTIE</v>
      </c>
      <c r="N184" s="152">
        <f>+IF(OR($Q184=Parametres!$G$2,$Q184=Parametres!$G$3),I184,C184)</f>
        <v>-6274.21</v>
      </c>
      <c r="O184" s="1084">
        <f>+IF(OR($Q184=Parametres!$G$2,$Q184=Parametres!$G$3),J184,D184)</f>
        <v>-1735.8</v>
      </c>
      <c r="P184" s="152">
        <f>+IF(OR($Q184=Parametres!$G$2,$Q184=Parametres!$G$3),K184,E184)</f>
        <v>-8010.01</v>
      </c>
      <c r="Q184" s="151" t="str">
        <f t="shared" si="12"/>
        <v>5-Ventes</v>
      </c>
      <c r="R184" s="150" t="str">
        <f t="shared" si="13"/>
        <v>4493</v>
      </c>
      <c r="S184" s="151">
        <f t="shared" si="14"/>
        <v>0</v>
      </c>
      <c r="T184" s="153">
        <f>+VLOOKUP($L184,Data_Validation!$A:$D,1,0)</f>
        <v>4493</v>
      </c>
      <c r="U184" s="153" t="str">
        <f>+VLOOKUP($L184,Data_Validation!$A:$D,3,0)</f>
        <v>Service</v>
      </c>
      <c r="V184" s="153" t="str">
        <f>+VLOOKUP($L184,Data_Validation!$A:$D,4,0)</f>
        <v>Sous-traitement</v>
      </c>
      <c r="W184" s="153" t="str">
        <f>+VLOOKUP($L184,Data_Validation!$A:$E,5,0)</f>
        <v>$</v>
      </c>
      <c r="X184" s="153" t="str">
        <f>+VLOOKUP($L184,Data_Validation!$A:$F,6,0)</f>
        <v>Oui</v>
      </c>
    </row>
    <row r="185" spans="1:24" ht="15.75" customHeight="1">
      <c r="A185" s="1193" t="s">
        <v>2079</v>
      </c>
      <c r="B185" s="1194">
        <v>4495</v>
      </c>
      <c r="C185" s="1197">
        <v>-61967.65</v>
      </c>
      <c r="D185" s="1197">
        <v>-26329.9</v>
      </c>
      <c r="E185" s="1197">
        <v>-88297.55</v>
      </c>
      <c r="F185" s="1193" t="s">
        <v>282</v>
      </c>
      <c r="G185" s="1193" t="s">
        <v>2080</v>
      </c>
      <c r="H185" s="1196"/>
      <c r="I185" s="1195"/>
      <c r="J185" s="1196"/>
      <c r="K185" s="1195"/>
      <c r="L185" s="150">
        <f t="shared" si="10"/>
        <v>4495</v>
      </c>
      <c r="M185" s="151" t="str">
        <f t="shared" si="11"/>
        <v>VTE - S-TRAITANCE MEC.INTERNE VW</v>
      </c>
      <c r="N185" s="152">
        <f>+IF(OR($Q185=Parametres!$G$2,$Q185=Parametres!$G$3),I185,C185)</f>
        <v>-61967.65</v>
      </c>
      <c r="O185" s="1082">
        <f>+IF(OR($Q185=Parametres!$G$2,$Q185=Parametres!$G$3),J185,D185)</f>
        <v>-26329.9</v>
      </c>
      <c r="P185" s="152">
        <f>+IF(OR($Q185=Parametres!$G$2,$Q185=Parametres!$G$3),K185,E185)</f>
        <v>-88297.55</v>
      </c>
      <c r="Q185" s="151" t="str">
        <f t="shared" si="12"/>
        <v>5-Ventes</v>
      </c>
      <c r="R185" s="150" t="str">
        <f t="shared" si="13"/>
        <v>4495</v>
      </c>
      <c r="S185" s="151">
        <f t="shared" si="14"/>
        <v>0</v>
      </c>
      <c r="T185" s="153">
        <f>+VLOOKUP($L185,Data_Validation!$A:$D,1,0)</f>
        <v>4495</v>
      </c>
      <c r="U185" s="153" t="str">
        <f>+VLOOKUP($L185,Data_Validation!$A:$D,3,0)</f>
        <v>Service</v>
      </c>
      <c r="V185" s="153" t="str">
        <f>+VLOOKUP($L185,Data_Validation!$A:$D,4,0)</f>
        <v>Sous-traitement</v>
      </c>
      <c r="W185" s="153" t="str">
        <f>+VLOOKUP($L185,Data_Validation!$A:$E,5,0)</f>
        <v>$</v>
      </c>
      <c r="X185" s="153" t="str">
        <f>+VLOOKUP($L185,Data_Validation!$A:$F,6,0)</f>
        <v>Oui</v>
      </c>
    </row>
    <row r="186" spans="1:24" ht="15.75" customHeight="1">
      <c r="A186" s="1193" t="s">
        <v>3254</v>
      </c>
      <c r="B186" s="1194">
        <v>4503</v>
      </c>
      <c r="C186" s="1197">
        <v>-4250</v>
      </c>
      <c r="D186" s="1197">
        <v>-1200</v>
      </c>
      <c r="E186" s="1197">
        <v>-5450</v>
      </c>
      <c r="F186" s="1193" t="s">
        <v>282</v>
      </c>
      <c r="G186" s="1193" t="s">
        <v>3255</v>
      </c>
      <c r="H186" s="1196"/>
      <c r="I186" s="1195"/>
      <c r="J186" s="1196"/>
      <c r="K186" s="1195"/>
      <c r="L186" s="150">
        <f t="shared" si="10"/>
        <v>4503</v>
      </c>
      <c r="M186" s="151" t="str">
        <f t="shared" si="11"/>
        <v>VTE - M.O. CARROSSERIE GARANTIE</v>
      </c>
      <c r="N186" s="152">
        <f>+IF(OR($Q186=Parametres!$G$2,$Q186=Parametres!$G$3),I186,C186)</f>
        <v>-4250</v>
      </c>
      <c r="O186" s="1084">
        <f>+IF(OR($Q186=Parametres!$G$2,$Q186=Parametres!$G$3),J186,D186)</f>
        <v>-1200</v>
      </c>
      <c r="P186" s="152">
        <f>+IF(OR($Q186=Parametres!$G$2,$Q186=Parametres!$G$3),K186,E186)</f>
        <v>-5450</v>
      </c>
      <c r="Q186" s="151" t="str">
        <f t="shared" si="12"/>
        <v>5-Ventes</v>
      </c>
      <c r="R186" s="150" t="str">
        <f t="shared" si="13"/>
        <v>4503</v>
      </c>
      <c r="S186" s="151">
        <f t="shared" si="14"/>
        <v>0</v>
      </c>
      <c r="T186" s="153">
        <f>+VLOOKUP($L186,Data_Validation!$A:$D,1,0)</f>
        <v>4503</v>
      </c>
      <c r="U186" s="153" t="str">
        <f>+VLOOKUP($L186,Data_Validation!$A:$D,3,0)</f>
        <v>Carrosserie</v>
      </c>
      <c r="V186" s="153" t="str">
        <f>+VLOOKUP($L186,Data_Validation!$A:$D,4,0)</f>
        <v>M/O Sous-traitement</v>
      </c>
      <c r="W186" s="153" t="str">
        <f>+VLOOKUP($L186,Data_Validation!$A:$E,5,0)</f>
        <v>$</v>
      </c>
      <c r="X186" s="153" t="str">
        <f>+VLOOKUP($L186,Data_Validation!$A:$F,6,0)</f>
        <v>Oui</v>
      </c>
    </row>
    <row r="187" spans="1:24" ht="15" customHeight="1">
      <c r="A187" s="1193" t="s">
        <v>2062</v>
      </c>
      <c r="B187" s="1194">
        <v>4591</v>
      </c>
      <c r="C187" s="1197">
        <v>-135080.13</v>
      </c>
      <c r="D187" s="1197">
        <v>-28697.62</v>
      </c>
      <c r="E187" s="1197">
        <v>-163777.75</v>
      </c>
      <c r="F187" s="1193" t="s">
        <v>282</v>
      </c>
      <c r="G187" s="1193" t="s">
        <v>2063</v>
      </c>
      <c r="H187" s="1196"/>
      <c r="I187" s="1195"/>
      <c r="J187" s="1196"/>
      <c r="K187" s="1195"/>
      <c r="L187" s="150">
        <f t="shared" si="10"/>
        <v>4591</v>
      </c>
      <c r="M187" s="151" t="str">
        <f t="shared" si="11"/>
        <v>VTE - S-TRAIT. CARR.</v>
      </c>
      <c r="N187" s="152">
        <f>+IF(OR($Q187=Parametres!$G$2,$Q187=Parametres!$G$3),I187,C187)</f>
        <v>-135080.13</v>
      </c>
      <c r="O187" s="1084">
        <f>+IF(OR($Q187=Parametres!$G$2,$Q187=Parametres!$G$3),J187,D187)</f>
        <v>-28697.62</v>
      </c>
      <c r="P187" s="152">
        <f>+IF(OR($Q187=Parametres!$G$2,$Q187=Parametres!$G$3),K187,E187)</f>
        <v>-163777.75</v>
      </c>
      <c r="Q187" s="151" t="str">
        <f t="shared" si="12"/>
        <v>5-Ventes</v>
      </c>
      <c r="R187" s="150" t="str">
        <f t="shared" si="13"/>
        <v>4591</v>
      </c>
      <c r="S187" s="151">
        <f t="shared" si="14"/>
        <v>0</v>
      </c>
      <c r="T187" s="153">
        <f>+VLOOKUP($L187,Data_Validation!$A:$D,1,0)</f>
        <v>4591</v>
      </c>
      <c r="U187" s="153" t="str">
        <f>+VLOOKUP($L187,Data_Validation!$A:$D,3,0)</f>
        <v>Carrosserie</v>
      </c>
      <c r="V187" s="153" t="str">
        <f>+VLOOKUP($L187,Data_Validation!$A:$D,4,0)</f>
        <v>M/O Sous-traitement</v>
      </c>
      <c r="W187" s="153" t="str">
        <f>+VLOOKUP($L187,Data_Validation!$A:$E,5,0)</f>
        <v>$</v>
      </c>
      <c r="X187" s="153" t="str">
        <f>+VLOOKUP($L187,Data_Validation!$A:$F,6,0)</f>
        <v>Oui</v>
      </c>
    </row>
    <row r="188" spans="1:24" ht="15" customHeight="1">
      <c r="A188" s="1193" t="s">
        <v>2060</v>
      </c>
      <c r="B188" s="1194">
        <v>4593</v>
      </c>
      <c r="C188" s="1197">
        <v>-248553.05</v>
      </c>
      <c r="D188" s="1197">
        <v>-78487.039999999994</v>
      </c>
      <c r="E188" s="1197">
        <v>-327040.09000000003</v>
      </c>
      <c r="F188" s="1193" t="s">
        <v>282</v>
      </c>
      <c r="G188" s="1193" t="s">
        <v>2061</v>
      </c>
      <c r="H188" s="1196"/>
      <c r="I188" s="1195"/>
      <c r="J188" s="1196"/>
      <c r="K188" s="1195"/>
      <c r="L188" s="150">
        <f t="shared" si="10"/>
        <v>4593</v>
      </c>
      <c r="M188" s="151" t="str">
        <f t="shared" si="11"/>
        <v>VTE - SOUS-TRAITANCE GARANTIE CARR.</v>
      </c>
      <c r="N188" s="152">
        <f>+IF(OR($Q188=Parametres!$G$2,$Q188=Parametres!$G$3),I188,C188)</f>
        <v>-248553.05</v>
      </c>
      <c r="O188" s="1084">
        <f>+IF(OR($Q188=Parametres!$G$2,$Q188=Parametres!$G$3),J188,D188)</f>
        <v>-78487.039999999994</v>
      </c>
      <c r="P188" s="152">
        <f>+IF(OR($Q188=Parametres!$G$2,$Q188=Parametres!$G$3),K188,E188)</f>
        <v>-327040.09000000003</v>
      </c>
      <c r="Q188" s="151" t="str">
        <f t="shared" si="12"/>
        <v>5-Ventes</v>
      </c>
      <c r="R188" s="150" t="str">
        <f t="shared" si="13"/>
        <v>4593</v>
      </c>
      <c r="S188" s="151">
        <f t="shared" si="14"/>
        <v>0</v>
      </c>
      <c r="T188" s="153">
        <f>+VLOOKUP($L188,Data_Validation!$A:$D,1,0)</f>
        <v>4593</v>
      </c>
      <c r="U188" s="153" t="str">
        <f>+VLOOKUP($L188,Data_Validation!$A:$D,3,0)</f>
        <v>Carrosserie</v>
      </c>
      <c r="V188" s="153" t="str">
        <f>+VLOOKUP($L188,Data_Validation!$A:$D,4,0)</f>
        <v>M/O Sous-traitement</v>
      </c>
      <c r="W188" s="153" t="str">
        <f>+VLOOKUP($L188,Data_Validation!$A:$E,5,0)</f>
        <v>$</v>
      </c>
      <c r="X188" s="153" t="str">
        <f>+VLOOKUP($L188,Data_Validation!$A:$F,6,0)</f>
        <v>Oui</v>
      </c>
    </row>
    <row r="189" spans="1:24" ht="15" customHeight="1">
      <c r="A189" s="1193" t="s">
        <v>2093</v>
      </c>
      <c r="B189" s="1194">
        <v>4595</v>
      </c>
      <c r="C189" s="1197">
        <v>-23467.7</v>
      </c>
      <c r="D189" s="1197">
        <v>-3137.75</v>
      </c>
      <c r="E189" s="1197">
        <v>-26605.45</v>
      </c>
      <c r="F189" s="1193" t="s">
        <v>282</v>
      </c>
      <c r="G189" s="1193" t="s">
        <v>2094</v>
      </c>
      <c r="H189" s="1196"/>
      <c r="I189" s="1195"/>
      <c r="J189" s="1195"/>
      <c r="K189" s="1195"/>
      <c r="L189" s="150">
        <f t="shared" si="10"/>
        <v>4595</v>
      </c>
      <c r="M189" s="151" t="str">
        <f t="shared" si="11"/>
        <v>VTE - SOUS-TRAITANCE INTERNE CARR.</v>
      </c>
      <c r="N189" s="152">
        <f>+IF(OR($Q189=Parametres!$G$2,$Q189=Parametres!$G$3),I189,C189)</f>
        <v>-23467.7</v>
      </c>
      <c r="O189" s="1084">
        <f>+IF(OR($Q189=Parametres!$G$2,$Q189=Parametres!$G$3),J189,D189)</f>
        <v>-3137.75</v>
      </c>
      <c r="P189" s="152">
        <f>+IF(OR($Q189=Parametres!$G$2,$Q189=Parametres!$G$3),K189,E189)</f>
        <v>-26605.45</v>
      </c>
      <c r="Q189" s="151" t="str">
        <f t="shared" si="12"/>
        <v>5-Ventes</v>
      </c>
      <c r="R189" s="150" t="str">
        <f t="shared" si="13"/>
        <v>4595</v>
      </c>
      <c r="S189" s="151">
        <f t="shared" si="14"/>
        <v>0</v>
      </c>
      <c r="T189" s="153">
        <f>+VLOOKUP($L189,Data_Validation!$A:$D,1,0)</f>
        <v>4595</v>
      </c>
      <c r="U189" s="153" t="str">
        <f>+VLOOKUP($L189,Data_Validation!$A:$D,3,0)</f>
        <v>Carrosserie</v>
      </c>
      <c r="V189" s="153" t="str">
        <f>+VLOOKUP($L189,Data_Validation!$A:$D,4,0)</f>
        <v>M/O Sous-traitement</v>
      </c>
      <c r="W189" s="153" t="str">
        <f>+VLOOKUP($L189,Data_Validation!$A:$E,5,0)</f>
        <v>$</v>
      </c>
      <c r="X189" s="153" t="str">
        <f>+VLOOKUP($L189,Data_Validation!$A:$F,6,0)</f>
        <v>Oui</v>
      </c>
    </row>
    <row r="190" spans="1:24" ht="15" customHeight="1">
      <c r="A190" s="1193" t="s">
        <v>2016</v>
      </c>
      <c r="B190" s="1194">
        <v>4701</v>
      </c>
      <c r="C190" s="1195">
        <v>-235063.69</v>
      </c>
      <c r="D190" s="1195">
        <v>-81768</v>
      </c>
      <c r="E190" s="1195">
        <v>-316831.69</v>
      </c>
      <c r="F190" s="1193" t="s">
        <v>282</v>
      </c>
      <c r="G190" s="1193" t="s">
        <v>2017</v>
      </c>
      <c r="H190" s="1196"/>
      <c r="I190" s="1197"/>
      <c r="J190" s="1197"/>
      <c r="K190" s="1197"/>
      <c r="L190" s="150">
        <f t="shared" si="10"/>
        <v>4701</v>
      </c>
      <c r="M190" s="151" t="str">
        <f t="shared" si="11"/>
        <v>VTE - PIECE/ACC B.R. CLIENT VW</v>
      </c>
      <c r="N190" s="152">
        <f>+IF(OR($Q190=Parametres!$G$2,$Q190=Parametres!$G$3),I190,C190)</f>
        <v>-235063.69</v>
      </c>
      <c r="O190" s="1084">
        <f>+IF(OR($Q190=Parametres!$G$2,$Q190=Parametres!$G$3),J190,D190)</f>
        <v>-81768</v>
      </c>
      <c r="P190" s="152">
        <f>+IF(OR($Q190=Parametres!$G$2,$Q190=Parametres!$G$3),K190,E190)</f>
        <v>-316831.69</v>
      </c>
      <c r="Q190" s="151" t="str">
        <f t="shared" si="12"/>
        <v>5-Ventes</v>
      </c>
      <c r="R190" s="150" t="str">
        <f t="shared" si="13"/>
        <v>4701</v>
      </c>
      <c r="S190" s="151">
        <f t="shared" si="14"/>
        <v>0</v>
      </c>
      <c r="T190" s="153">
        <f>+VLOOKUP($L190,Data_Validation!$A:$D,1,0)</f>
        <v>4701</v>
      </c>
      <c r="U190" s="153" t="str">
        <f>+VLOOKUP($L190,Data_Validation!$A:$D,3,0)</f>
        <v>Pièces</v>
      </c>
      <c r="V190" s="153" t="str">
        <f>+VLOOKUP($L190,Data_Validation!$A:$D,4,0)</f>
        <v>Pièces Ro Clients</v>
      </c>
      <c r="W190" s="153" t="str">
        <f>+VLOOKUP($L190,Data_Validation!$A:$E,5,0)</f>
        <v>$</v>
      </c>
      <c r="X190" s="153" t="str">
        <f>+VLOOKUP($L190,Data_Validation!$A:$F,6,0)</f>
        <v>Oui</v>
      </c>
    </row>
    <row r="191" spans="1:24" ht="15" customHeight="1">
      <c r="A191" s="1193" t="s">
        <v>2143</v>
      </c>
      <c r="B191" s="1194">
        <v>4702</v>
      </c>
      <c r="C191" s="1195">
        <v>-2033.05</v>
      </c>
      <c r="D191" s="1195">
        <v>-872.65</v>
      </c>
      <c r="E191" s="1195">
        <v>-2905.7</v>
      </c>
      <c r="F191" s="1193" t="s">
        <v>282</v>
      </c>
      <c r="G191" s="1193" t="s">
        <v>2144</v>
      </c>
      <c r="H191" s="1196"/>
      <c r="I191" s="1197"/>
      <c r="J191" s="1197"/>
      <c r="K191" s="1197"/>
      <c r="L191" s="150">
        <f t="shared" si="10"/>
        <v>4702</v>
      </c>
      <c r="M191" s="151" t="str">
        <f t="shared" si="11"/>
        <v>VTE - SHOP SUPPLY VW</v>
      </c>
      <c r="N191" s="152">
        <f>+IF(OR($Q191=Parametres!$G$2,$Q191=Parametres!$G$3),I191,C191)</f>
        <v>-2033.05</v>
      </c>
      <c r="O191" s="1082">
        <f>+IF(OR($Q191=Parametres!$G$2,$Q191=Parametres!$G$3),J191,D191)</f>
        <v>-872.65</v>
      </c>
      <c r="P191" s="152">
        <f>+IF(OR($Q191=Parametres!$G$2,$Q191=Parametres!$G$3),K191,E191)</f>
        <v>-2905.7</v>
      </c>
      <c r="Q191" s="151" t="str">
        <f t="shared" si="12"/>
        <v>5-Ventes</v>
      </c>
      <c r="R191" s="150" t="str">
        <f t="shared" si="13"/>
        <v>4702</v>
      </c>
      <c r="S191" s="151">
        <f t="shared" si="14"/>
        <v>0</v>
      </c>
      <c r="T191" s="153">
        <f>+VLOOKUP($L191,Data_Validation!$A:$D,1,0)</f>
        <v>4702</v>
      </c>
      <c r="U191" s="153" t="str">
        <f>+VLOOKUP($L191,Data_Validation!$A:$D,3,0)</f>
        <v>Service</v>
      </c>
      <c r="V191" s="153" t="str">
        <f>+VLOOKUP($L191,Data_Validation!$A:$D,4,0)</f>
        <v>M/O Client</v>
      </c>
      <c r="W191" s="153" t="str">
        <f>+VLOOKUP($L191,Data_Validation!$A:$E,5,0)</f>
        <v>$</v>
      </c>
      <c r="X191" s="153" t="str">
        <f>+VLOOKUP($L191,Data_Validation!$A:$F,6,0)</f>
        <v>Oui</v>
      </c>
    </row>
    <row r="192" spans="1:24" ht="15" customHeight="1">
      <c r="A192" s="1193" t="s">
        <v>2036</v>
      </c>
      <c r="B192" s="1194">
        <v>4703</v>
      </c>
      <c r="C192" s="1197">
        <v>-245798.57</v>
      </c>
      <c r="D192" s="1197">
        <v>-33824.31</v>
      </c>
      <c r="E192" s="1197">
        <v>-279622.88</v>
      </c>
      <c r="F192" s="1193" t="s">
        <v>282</v>
      </c>
      <c r="G192" s="1193" t="s">
        <v>2037</v>
      </c>
      <c r="H192" s="1196"/>
      <c r="I192" s="1195"/>
      <c r="J192" s="1195"/>
      <c r="K192" s="1195"/>
      <c r="L192" s="150">
        <f t="shared" si="10"/>
        <v>4703</v>
      </c>
      <c r="M192" s="151" t="str">
        <f t="shared" si="11"/>
        <v>VTE - PIECE/ACC B.R. GARANTIE VW</v>
      </c>
      <c r="N192" s="152">
        <f>+IF(OR($Q192=Parametres!$G$2,$Q192=Parametres!$G$3),I192,C192)</f>
        <v>-245798.57</v>
      </c>
      <c r="O192" s="1082">
        <f>+IF(OR($Q192=Parametres!$G$2,$Q192=Parametres!$G$3),J192,D192)</f>
        <v>-33824.31</v>
      </c>
      <c r="P192" s="152">
        <f>+IF(OR($Q192=Parametres!$G$2,$Q192=Parametres!$G$3),K192,E192)</f>
        <v>-279622.88</v>
      </c>
      <c r="Q192" s="151" t="str">
        <f t="shared" si="12"/>
        <v>5-Ventes</v>
      </c>
      <c r="R192" s="150" t="str">
        <f t="shared" si="13"/>
        <v>4703</v>
      </c>
      <c r="S192" s="151">
        <f t="shared" si="14"/>
        <v>0</v>
      </c>
      <c r="T192" s="153">
        <f>+VLOOKUP($L192,Data_Validation!$A:$D,1,0)</f>
        <v>4703</v>
      </c>
      <c r="U192" s="153" t="str">
        <f>+VLOOKUP($L192,Data_Validation!$A:$D,3,0)</f>
        <v>Pièces</v>
      </c>
      <c r="V192" s="153" t="str">
        <f>+VLOOKUP($L192,Data_Validation!$A:$D,4,0)</f>
        <v>P/A Garantie</v>
      </c>
      <c r="W192" s="153" t="str">
        <f>+VLOOKUP($L192,Data_Validation!$A:$E,5,0)</f>
        <v>$</v>
      </c>
      <c r="X192" s="153" t="str">
        <f>+VLOOKUP($L192,Data_Validation!$A:$F,6,0)</f>
        <v>Oui</v>
      </c>
    </row>
    <row r="193" spans="1:24" ht="15" customHeight="1">
      <c r="A193" s="1193" t="s">
        <v>2040</v>
      </c>
      <c r="B193" s="1194">
        <v>4705</v>
      </c>
      <c r="C193" s="1197">
        <v>-150810.26</v>
      </c>
      <c r="D193" s="1197">
        <v>-49568.800000000003</v>
      </c>
      <c r="E193" s="1197">
        <v>-200379.06</v>
      </c>
      <c r="F193" s="1193" t="s">
        <v>282</v>
      </c>
      <c r="G193" s="1193" t="s">
        <v>2041</v>
      </c>
      <c r="H193" s="1196"/>
      <c r="I193" s="1195"/>
      <c r="J193" s="1196"/>
      <c r="K193" s="1195"/>
      <c r="L193" s="150">
        <f t="shared" si="10"/>
        <v>4705</v>
      </c>
      <c r="M193" s="151" t="str">
        <f t="shared" si="11"/>
        <v>VTE - PIECE/ACC B.R. INTERNE VW</v>
      </c>
      <c r="N193" s="152">
        <f>+IF(OR($Q193=Parametres!$G$2,$Q193=Parametres!$G$3),I193,C193)</f>
        <v>-150810.26</v>
      </c>
      <c r="O193" s="1082">
        <f>+IF(OR($Q193=Parametres!$G$2,$Q193=Parametres!$G$3),J193,D193)</f>
        <v>-49568.800000000003</v>
      </c>
      <c r="P193" s="152">
        <f>+IF(OR($Q193=Parametres!$G$2,$Q193=Parametres!$G$3),K193,E193)</f>
        <v>-200379.06</v>
      </c>
      <c r="Q193" s="151" t="str">
        <f t="shared" si="12"/>
        <v>5-Ventes</v>
      </c>
      <c r="R193" s="150" t="str">
        <f t="shared" si="13"/>
        <v>4705</v>
      </c>
      <c r="S193" s="151">
        <f t="shared" si="14"/>
        <v>0</v>
      </c>
      <c r="T193" s="153">
        <f>+VLOOKUP($L193,Data_Validation!$A:$D,1,0)</f>
        <v>4705</v>
      </c>
      <c r="U193" s="153" t="str">
        <f>+VLOOKUP($L193,Data_Validation!$A:$D,3,0)</f>
        <v>Pièces</v>
      </c>
      <c r="V193" s="153" t="str">
        <f>+VLOOKUP($L193,Data_Validation!$A:$D,4,0)</f>
        <v>Ventes Internes</v>
      </c>
      <c r="W193" s="153" t="str">
        <f>+VLOOKUP($L193,Data_Validation!$A:$E,5,0)</f>
        <v>$</v>
      </c>
      <c r="X193" s="153" t="str">
        <f>+VLOOKUP($L193,Data_Validation!$A:$F,6,0)</f>
        <v>Oui</v>
      </c>
    </row>
    <row r="194" spans="1:24" ht="15.75" customHeight="1">
      <c r="A194" s="1193" t="s">
        <v>2143</v>
      </c>
      <c r="B194" s="1194">
        <v>4706</v>
      </c>
      <c r="C194" s="1197">
        <v>-2458.9</v>
      </c>
      <c r="D194" s="1197">
        <v>-1070.33</v>
      </c>
      <c r="E194" s="1197">
        <v>-3529.23</v>
      </c>
      <c r="F194" s="1193" t="s">
        <v>282</v>
      </c>
      <c r="G194" s="1193" t="s">
        <v>2162</v>
      </c>
      <c r="H194" s="1196"/>
      <c r="I194" s="1195"/>
      <c r="J194" s="1196"/>
      <c r="K194" s="1195"/>
      <c r="L194" s="150">
        <f t="shared" ref="L194:L257" si="15">+B194</f>
        <v>4706</v>
      </c>
      <c r="M194" s="151" t="str">
        <f t="shared" ref="M194:M257" si="16">+A194</f>
        <v>VTE - SHOP SUPPLY VW</v>
      </c>
      <c r="N194" s="152">
        <f>+IF(OR($Q194=Parametres!$G$2,$Q194=Parametres!$G$3),I194,C194)</f>
        <v>-2458.9</v>
      </c>
      <c r="O194" s="1084">
        <f>+IF(OR($Q194=Parametres!$G$2,$Q194=Parametres!$G$3),J194,D194)</f>
        <v>-1070.33</v>
      </c>
      <c r="P194" s="152">
        <f>+IF(OR($Q194=Parametres!$G$2,$Q194=Parametres!$G$3),K194,E194)</f>
        <v>-3529.23</v>
      </c>
      <c r="Q194" s="151" t="str">
        <f t="shared" ref="Q194:Q257" si="17">+F194</f>
        <v>5-Ventes</v>
      </c>
      <c r="R194" s="150" t="str">
        <f t="shared" ref="R194:R257" si="18">+G194</f>
        <v>4706</v>
      </c>
      <c r="S194" s="151">
        <f t="shared" ref="S194:S257" si="19">+H194</f>
        <v>0</v>
      </c>
      <c r="T194" s="153">
        <f>+VLOOKUP($L194,Data_Validation!$A:$D,1,0)</f>
        <v>4706</v>
      </c>
      <c r="U194" s="153" t="str">
        <f>+VLOOKUP($L194,Data_Validation!$A:$D,3,0)</f>
        <v>Service</v>
      </c>
      <c r="V194" s="153" t="str">
        <f>+VLOOKUP($L194,Data_Validation!$A:$D,4,0)</f>
        <v>M/O Interne</v>
      </c>
      <c r="W194" s="153" t="str">
        <f>+VLOOKUP($L194,Data_Validation!$A:$E,5,0)</f>
        <v>$</v>
      </c>
      <c r="X194" s="153" t="str">
        <f>+VLOOKUP($L194,Data_Validation!$A:$F,6,0)</f>
        <v>Oui</v>
      </c>
    </row>
    <row r="195" spans="1:24" ht="15" customHeight="1">
      <c r="A195" s="1193" t="s">
        <v>2107</v>
      </c>
      <c r="B195" s="1194">
        <v>4711</v>
      </c>
      <c r="C195" s="1195">
        <v>-9208.58</v>
      </c>
      <c r="D195" s="1195">
        <v>-2160.41</v>
      </c>
      <c r="E195" s="1195">
        <v>-11368.99</v>
      </c>
      <c r="F195" s="1193" t="s">
        <v>282</v>
      </c>
      <c r="G195" s="1193" t="s">
        <v>332</v>
      </c>
      <c r="H195" s="1196"/>
      <c r="I195" s="1197"/>
      <c r="J195" s="1197"/>
      <c r="K195" s="1197"/>
      <c r="L195" s="150">
        <f t="shared" si="15"/>
        <v>4711</v>
      </c>
      <c r="M195" s="151" t="str">
        <f t="shared" si="16"/>
        <v>VTE - AUTRE PIECE/ACC/CARR B.R. CLIENT</v>
      </c>
      <c r="N195" s="152">
        <f>+IF(OR($Q195=Parametres!$G$2,$Q195=Parametres!$G$3),I195,C195)</f>
        <v>-9208.58</v>
      </c>
      <c r="O195" s="1085">
        <f>+IF(OR($Q195=Parametres!$G$2,$Q195=Parametres!$G$3),J195,D195)</f>
        <v>-2160.41</v>
      </c>
      <c r="P195" s="152">
        <f>+IF(OR($Q195=Parametres!$G$2,$Q195=Parametres!$G$3),K195,E195)</f>
        <v>-11368.99</v>
      </c>
      <c r="Q195" s="151" t="str">
        <f t="shared" si="17"/>
        <v>5-Ventes</v>
      </c>
      <c r="R195" s="150" t="str">
        <f t="shared" si="18"/>
        <v>84711</v>
      </c>
      <c r="S195" s="151">
        <f t="shared" si="19"/>
        <v>0</v>
      </c>
      <c r="T195" s="153">
        <f>+VLOOKUP($L195,Data_Validation!$A:$D,1,0)</f>
        <v>4711</v>
      </c>
      <c r="U195" s="153" t="str">
        <f>+VLOOKUP($L195,Data_Validation!$A:$D,3,0)</f>
        <v>Pièces</v>
      </c>
      <c r="V195" s="153" t="str">
        <f>+VLOOKUP($L195,Data_Validation!$A:$D,4,0)</f>
        <v>Pièces Ro Clients</v>
      </c>
      <c r="W195" s="153" t="str">
        <f>+VLOOKUP($L195,Data_Validation!$A:$E,5,0)</f>
        <v>$</v>
      </c>
      <c r="X195" s="153" t="str">
        <f>+VLOOKUP($L195,Data_Validation!$A:$F,6,0)</f>
        <v>Oui</v>
      </c>
    </row>
    <row r="196" spans="1:24" ht="15" customHeight="1">
      <c r="A196" s="1193" t="s">
        <v>2100</v>
      </c>
      <c r="B196" s="1194">
        <v>4731</v>
      </c>
      <c r="C196" s="1195">
        <v>-36187.17</v>
      </c>
      <c r="D196" s="1195">
        <v>-3423.22</v>
      </c>
      <c r="E196" s="1195">
        <v>-39610.39</v>
      </c>
      <c r="F196" s="1193" t="s">
        <v>282</v>
      </c>
      <c r="G196" s="1193" t="s">
        <v>2101</v>
      </c>
      <c r="H196" s="1196"/>
      <c r="I196" s="1197"/>
      <c r="J196" s="1197"/>
      <c r="K196" s="1197"/>
      <c r="L196" s="150">
        <f t="shared" si="15"/>
        <v>4731</v>
      </c>
      <c r="M196" s="151" t="str">
        <f t="shared" si="16"/>
        <v>VTE - PIECES-BON REPAR.-PEINT/DEBOS</v>
      </c>
      <c r="N196" s="152">
        <f>+IF(OR($Q196=Parametres!$G$2,$Q196=Parametres!$G$3),I196,C196)</f>
        <v>-36187.17</v>
      </c>
      <c r="O196" s="1084">
        <f>+IF(OR($Q196=Parametres!$G$2,$Q196=Parametres!$G$3),J196,D196)</f>
        <v>-3423.22</v>
      </c>
      <c r="P196" s="152">
        <f>+IF(OR($Q196=Parametres!$G$2,$Q196=Parametres!$G$3),K196,E196)</f>
        <v>-39610.39</v>
      </c>
      <c r="Q196" s="151" t="str">
        <f t="shared" si="17"/>
        <v>5-Ventes</v>
      </c>
      <c r="R196" s="150" t="str">
        <f t="shared" si="18"/>
        <v>4731</v>
      </c>
      <c r="S196" s="151">
        <f t="shared" si="19"/>
        <v>0</v>
      </c>
      <c r="T196" s="153">
        <f>+VLOOKUP($L196,Data_Validation!$A:$D,1,0)</f>
        <v>4731</v>
      </c>
      <c r="U196" s="153" t="str">
        <f>+VLOOKUP($L196,Data_Validation!$A:$D,3,0)</f>
        <v>Pièces</v>
      </c>
      <c r="V196" s="153" t="str">
        <f>+VLOOKUP($L196,Data_Validation!$A:$D,4,0)</f>
        <v>Pièces Ro Carrosserie</v>
      </c>
      <c r="W196" s="153" t="str">
        <f>+VLOOKUP($L196,Data_Validation!$A:$E,5,0)</f>
        <v>$</v>
      </c>
      <c r="X196" s="153" t="str">
        <f>+VLOOKUP($L196,Data_Validation!$A:$F,6,0)</f>
        <v>Oui</v>
      </c>
    </row>
    <row r="197" spans="1:24" ht="15" customHeight="1">
      <c r="A197" s="1193" t="s">
        <v>2083</v>
      </c>
      <c r="B197" s="1194">
        <v>4733</v>
      </c>
      <c r="C197" s="1195">
        <v>-185704.38</v>
      </c>
      <c r="D197" s="1195">
        <v>-62932.37</v>
      </c>
      <c r="E197" s="1195">
        <v>-248636.75</v>
      </c>
      <c r="F197" s="1193" t="s">
        <v>282</v>
      </c>
      <c r="G197" s="1193" t="s">
        <v>2084</v>
      </c>
      <c r="H197" s="1196"/>
      <c r="I197" s="1197"/>
      <c r="J197" s="1197"/>
      <c r="K197" s="1197"/>
      <c r="L197" s="150">
        <f t="shared" si="15"/>
        <v>4733</v>
      </c>
      <c r="M197" s="151" t="str">
        <f t="shared" si="16"/>
        <v>VTE - P&amp;A B.T. GARANTIE CAR.</v>
      </c>
      <c r="N197" s="152">
        <f>+IF(OR($Q197=Parametres!$G$2,$Q197=Parametres!$G$3),I197,C197)</f>
        <v>-185704.38</v>
      </c>
      <c r="O197" s="1082">
        <f>+IF(OR($Q197=Parametres!$G$2,$Q197=Parametres!$G$3),J197,D197)</f>
        <v>-62932.37</v>
      </c>
      <c r="P197" s="152">
        <f>+IF(OR($Q197=Parametres!$G$2,$Q197=Parametres!$G$3),K197,E197)</f>
        <v>-248636.75</v>
      </c>
      <c r="Q197" s="151" t="str">
        <f t="shared" si="17"/>
        <v>5-Ventes</v>
      </c>
      <c r="R197" s="150" t="str">
        <f t="shared" si="18"/>
        <v>4733</v>
      </c>
      <c r="S197" s="151">
        <f t="shared" si="19"/>
        <v>0</v>
      </c>
      <c r="T197" s="153">
        <f>+VLOOKUP($L197,Data_Validation!$A:$D,1,0)</f>
        <v>4733</v>
      </c>
      <c r="U197" s="153" t="str">
        <f>+VLOOKUP($L197,Data_Validation!$A:$D,3,0)</f>
        <v>Pièces</v>
      </c>
      <c r="V197" s="153" t="str">
        <f>+VLOOKUP($L197,Data_Validation!$A:$D,4,0)</f>
        <v>Pièces Ro Carrosserie</v>
      </c>
      <c r="W197" s="153" t="str">
        <f>+VLOOKUP($L197,Data_Validation!$A:$E,5,0)</f>
        <v>$</v>
      </c>
      <c r="X197" s="153" t="str">
        <f>+VLOOKUP($L197,Data_Validation!$A:$F,6,0)</f>
        <v>Oui</v>
      </c>
    </row>
    <row r="198" spans="1:24" ht="15" customHeight="1">
      <c r="A198" s="1193" t="s">
        <v>2158</v>
      </c>
      <c r="B198" s="1194">
        <v>4735</v>
      </c>
      <c r="C198" s="1195">
        <v>-4579.3</v>
      </c>
      <c r="D198" s="1195">
        <v>-645.5</v>
      </c>
      <c r="E198" s="1195">
        <v>-5224.8</v>
      </c>
      <c r="F198" s="1193" t="s">
        <v>282</v>
      </c>
      <c r="G198" s="1193" t="s">
        <v>2159</v>
      </c>
      <c r="H198" s="1196"/>
      <c r="I198" s="1197"/>
      <c r="J198" s="1197"/>
      <c r="K198" s="1197"/>
      <c r="L198" s="150">
        <f t="shared" si="15"/>
        <v>4735</v>
      </c>
      <c r="M198" s="151" t="str">
        <f t="shared" si="16"/>
        <v>VTE - P&amp;A B.T. INTERNE CARROS.</v>
      </c>
      <c r="N198" s="152">
        <f>+IF(OR($Q198=Parametres!$G$2,$Q198=Parametres!$G$3),I198,C198)</f>
        <v>-4579.3</v>
      </c>
      <c r="O198" s="1084">
        <f>+IF(OR($Q198=Parametres!$G$2,$Q198=Parametres!$G$3),J198,D198)</f>
        <v>-645.5</v>
      </c>
      <c r="P198" s="152">
        <f>+IF(OR($Q198=Parametres!$G$2,$Q198=Parametres!$G$3),K198,E198)</f>
        <v>-5224.8</v>
      </c>
      <c r="Q198" s="151" t="str">
        <f t="shared" si="17"/>
        <v>5-Ventes</v>
      </c>
      <c r="R198" s="150" t="str">
        <f t="shared" si="18"/>
        <v>4735</v>
      </c>
      <c r="S198" s="151">
        <f t="shared" si="19"/>
        <v>0</v>
      </c>
      <c r="T198" s="153">
        <f>+VLOOKUP($L198,Data_Validation!$A:$D,1,0)</f>
        <v>4735</v>
      </c>
      <c r="U198" s="153" t="str">
        <f>+VLOOKUP($L198,Data_Validation!$A:$D,3,0)</f>
        <v>Pièces</v>
      </c>
      <c r="V198" s="153" t="str">
        <f>+VLOOKUP($L198,Data_Validation!$A:$D,4,0)</f>
        <v>Pièces Ro Carrosserie</v>
      </c>
      <c r="W198" s="153" t="str">
        <f>+VLOOKUP($L198,Data_Validation!$A:$E,5,0)</f>
        <v>$</v>
      </c>
      <c r="X198" s="153" t="str">
        <f>+VLOOKUP($L198,Data_Validation!$A:$F,6,0)</f>
        <v>Oui</v>
      </c>
    </row>
    <row r="199" spans="1:24" ht="15.75" customHeight="1">
      <c r="A199" s="1193" t="s">
        <v>2075</v>
      </c>
      <c r="B199" s="1194">
        <v>4761</v>
      </c>
      <c r="C199" s="1195">
        <v>-58636.5</v>
      </c>
      <c r="D199" s="1195">
        <v>-18487.63</v>
      </c>
      <c r="E199" s="1195">
        <v>-77124.13</v>
      </c>
      <c r="F199" s="1193" t="s">
        <v>282</v>
      </c>
      <c r="G199" s="1193" t="s">
        <v>2076</v>
      </c>
      <c r="H199" s="1196"/>
      <c r="I199" s="1197"/>
      <c r="J199" s="1197"/>
      <c r="K199" s="1197"/>
      <c r="L199" s="150">
        <f t="shared" si="15"/>
        <v>4761</v>
      </c>
      <c r="M199" s="151" t="str">
        <f t="shared" si="16"/>
        <v>VTE - P&amp;A VW COMPTOIR - DETAIL</v>
      </c>
      <c r="N199" s="152">
        <f>+IF(OR($Q199=Parametres!$G$2,$Q199=Parametres!$G$3),I199,C199)</f>
        <v>-58636.5</v>
      </c>
      <c r="O199" s="1084">
        <f>+IF(OR($Q199=Parametres!$G$2,$Q199=Parametres!$G$3),J199,D199)</f>
        <v>-18487.63</v>
      </c>
      <c r="P199" s="152">
        <f>+IF(OR($Q199=Parametres!$G$2,$Q199=Parametres!$G$3),K199,E199)</f>
        <v>-77124.13</v>
      </c>
      <c r="Q199" s="151" t="str">
        <f t="shared" si="17"/>
        <v>5-Ventes</v>
      </c>
      <c r="R199" s="150" t="str">
        <f t="shared" si="18"/>
        <v>4761</v>
      </c>
      <c r="S199" s="151">
        <f t="shared" si="19"/>
        <v>0</v>
      </c>
      <c r="T199" s="153">
        <f>+VLOOKUP($L199,Data_Validation!$A:$D,1,0)</f>
        <v>4761</v>
      </c>
      <c r="U199" s="153" t="str">
        <f>+VLOOKUP($L199,Data_Validation!$A:$D,3,0)</f>
        <v>Pièces</v>
      </c>
      <c r="V199" s="153" t="str">
        <f>+VLOOKUP($L199,Data_Validation!$A:$D,4,0)</f>
        <v>Ventes Détails</v>
      </c>
      <c r="W199" s="153" t="str">
        <f>+VLOOKUP($L199,Data_Validation!$A:$E,5,0)</f>
        <v>$</v>
      </c>
      <c r="X199" s="153" t="str">
        <f>+VLOOKUP($L199,Data_Validation!$A:$F,6,0)</f>
        <v>Oui</v>
      </c>
    </row>
    <row r="200" spans="1:24" ht="15" customHeight="1">
      <c r="A200" s="1193" t="s">
        <v>2038</v>
      </c>
      <c r="B200" s="1194">
        <v>4763</v>
      </c>
      <c r="C200" s="1195">
        <v>-295296.90999999997</v>
      </c>
      <c r="D200" s="1195">
        <v>-77684.11</v>
      </c>
      <c r="E200" s="1195">
        <v>-372981.02</v>
      </c>
      <c r="F200" s="1193" t="s">
        <v>282</v>
      </c>
      <c r="G200" s="1193" t="s">
        <v>2039</v>
      </c>
      <c r="H200" s="1196"/>
      <c r="I200" s="1197"/>
      <c r="J200" s="1197"/>
      <c r="K200" s="1197"/>
      <c r="L200" s="150">
        <f t="shared" si="15"/>
        <v>4763</v>
      </c>
      <c r="M200" s="151" t="str">
        <f t="shared" si="16"/>
        <v>VTE - P&amp;A VW COMPTOIR GROS - ECHANGE</v>
      </c>
      <c r="N200" s="152">
        <f>+IF(OR($Q200=Parametres!$G$2,$Q200=Parametres!$G$3),I200,C200)</f>
        <v>-295296.90999999997</v>
      </c>
      <c r="O200" s="1084">
        <f>+IF(OR($Q200=Parametres!$G$2,$Q200=Parametres!$G$3),J200,D200)</f>
        <v>-77684.11</v>
      </c>
      <c r="P200" s="152">
        <f>+IF(OR($Q200=Parametres!$G$2,$Q200=Parametres!$G$3),K200,E200)</f>
        <v>-372981.02</v>
      </c>
      <c r="Q200" s="151" t="str">
        <f t="shared" si="17"/>
        <v>5-Ventes</v>
      </c>
      <c r="R200" s="150" t="str">
        <f t="shared" si="18"/>
        <v>4763</v>
      </c>
      <c r="S200" s="151">
        <f t="shared" si="19"/>
        <v>0</v>
      </c>
      <c r="T200" s="153">
        <f>+VLOOKUP($L200,Data_Validation!$A:$D,1,0)</f>
        <v>4763</v>
      </c>
      <c r="U200" s="153" t="str">
        <f>+VLOOKUP($L200,Data_Validation!$A:$D,3,0)</f>
        <v>Pièces</v>
      </c>
      <c r="V200" s="153" t="str">
        <f>+VLOOKUP($L200,Data_Validation!$A:$D,4,0)</f>
        <v>Ventes de Gros</v>
      </c>
      <c r="W200" s="153" t="str">
        <f>+VLOOKUP($L200,Data_Validation!$A:$E,5,0)</f>
        <v>$</v>
      </c>
      <c r="X200" s="153" t="str">
        <f>+VLOOKUP($L200,Data_Validation!$A:$F,6,0)</f>
        <v>Oui</v>
      </c>
    </row>
    <row r="201" spans="1:24" ht="15" customHeight="1">
      <c r="A201" s="1193" t="s">
        <v>2027</v>
      </c>
      <c r="B201" s="1194">
        <v>4781</v>
      </c>
      <c r="C201" s="1197">
        <v>-113591.07</v>
      </c>
      <c r="D201" s="1197">
        <v>-38052.43</v>
      </c>
      <c r="E201" s="1197">
        <v>-151643.5</v>
      </c>
      <c r="F201" s="1193" t="s">
        <v>282</v>
      </c>
      <c r="G201" s="1193" t="s">
        <v>2028</v>
      </c>
      <c r="H201" s="1196"/>
      <c r="I201" s="1195"/>
      <c r="J201" s="1195"/>
      <c r="K201" s="1195"/>
      <c r="L201" s="150">
        <f t="shared" si="15"/>
        <v>4781</v>
      </c>
      <c r="M201" s="151" t="str">
        <f t="shared" si="16"/>
        <v>VENTES PNEUS</v>
      </c>
      <c r="N201" s="152">
        <f>+IF(OR($Q201=Parametres!$G$2,$Q201=Parametres!$G$3),I201,C201)</f>
        <v>-113591.07</v>
      </c>
      <c r="O201" s="1084">
        <f>+IF(OR($Q201=Parametres!$G$2,$Q201=Parametres!$G$3),J201,D201)</f>
        <v>-38052.43</v>
      </c>
      <c r="P201" s="152">
        <f>+IF(OR($Q201=Parametres!$G$2,$Q201=Parametres!$G$3),K201,E201)</f>
        <v>-151643.5</v>
      </c>
      <c r="Q201" s="151" t="str">
        <f t="shared" si="17"/>
        <v>5-Ventes</v>
      </c>
      <c r="R201" s="150" t="str">
        <f t="shared" si="18"/>
        <v>4781</v>
      </c>
      <c r="S201" s="151">
        <f t="shared" si="19"/>
        <v>0</v>
      </c>
      <c r="T201" s="153">
        <f>+VLOOKUP($L201,Data_Validation!$A:$D,1,0)</f>
        <v>4781</v>
      </c>
      <c r="U201" s="153" t="str">
        <f>+VLOOKUP($L201,Data_Validation!$A:$D,3,0)</f>
        <v>Pièces</v>
      </c>
      <c r="V201" s="153" t="str">
        <f>+VLOOKUP($L201,Data_Validation!$A:$D,4,0)</f>
        <v>Ventes Pneus</v>
      </c>
      <c r="W201" s="153" t="str">
        <f>+VLOOKUP($L201,Data_Validation!$A:$E,5,0)</f>
        <v>$</v>
      </c>
      <c r="X201" s="153" t="str">
        <f>+VLOOKUP($L201,Data_Validation!$A:$F,6,0)</f>
        <v>Oui</v>
      </c>
    </row>
    <row r="202" spans="1:24" ht="15" customHeight="1">
      <c r="A202" s="1193" t="s">
        <v>2113</v>
      </c>
      <c r="B202" s="1194">
        <v>4785</v>
      </c>
      <c r="C202" s="1197">
        <v>-568.38</v>
      </c>
      <c r="D202" s="1197" t="s">
        <v>3444</v>
      </c>
      <c r="E202" s="1197">
        <v>-568.38</v>
      </c>
      <c r="F202" s="1193" t="s">
        <v>282</v>
      </c>
      <c r="G202" s="1193" t="s">
        <v>2028</v>
      </c>
      <c r="H202" s="1196"/>
      <c r="I202" s="1195"/>
      <c r="J202" s="1196"/>
      <c r="K202" s="1195"/>
      <c r="L202" s="150">
        <f t="shared" si="15"/>
        <v>4785</v>
      </c>
      <c r="M202" s="151" t="str">
        <f t="shared" si="16"/>
        <v>VTE - VW PNEUS</v>
      </c>
      <c r="N202" s="152">
        <f>+IF(OR($Q202=Parametres!$G$2,$Q202=Parametres!$G$3),I202,C202)</f>
        <v>-568.38</v>
      </c>
      <c r="O202" s="1084" t="str">
        <f>+IF(OR($Q202=Parametres!$G$2,$Q202=Parametres!$G$3),J202,D202)</f>
        <v xml:space="preserve">                       -   </v>
      </c>
      <c r="P202" s="152">
        <f>+IF(OR($Q202=Parametres!$G$2,$Q202=Parametres!$G$3),K202,E202)</f>
        <v>-568.38</v>
      </c>
      <c r="Q202" s="151" t="str">
        <f t="shared" si="17"/>
        <v>5-Ventes</v>
      </c>
      <c r="R202" s="150" t="str">
        <f t="shared" si="18"/>
        <v>4781</v>
      </c>
      <c r="S202" s="151">
        <f t="shared" si="19"/>
        <v>0</v>
      </c>
      <c r="T202" s="153">
        <f>+VLOOKUP($L202,Data_Validation!$A:$D,1,0)</f>
        <v>4785</v>
      </c>
      <c r="U202" s="153" t="str">
        <f>+VLOOKUP($L202,Data_Validation!$A:$D,3,0)</f>
        <v>Pièces</v>
      </c>
      <c r="V202" s="153" t="str">
        <f>+VLOOKUP($L202,Data_Validation!$A:$D,4,0)</f>
        <v>Ventes Pneus</v>
      </c>
      <c r="W202" s="153" t="str">
        <f>+VLOOKUP($L202,Data_Validation!$A:$E,5,0)</f>
        <v>$</v>
      </c>
      <c r="X202" s="153" t="str">
        <f>+VLOOKUP($L202,Data_Validation!$A:$F,6,0)</f>
        <v>Oui</v>
      </c>
    </row>
    <row r="203" spans="1:24" ht="15" customHeight="1">
      <c r="A203" s="1193" t="s">
        <v>2831</v>
      </c>
      <c r="B203" s="1194">
        <v>5100</v>
      </c>
      <c r="C203" s="1195">
        <v>1394848.92</v>
      </c>
      <c r="D203" s="1195">
        <v>332635</v>
      </c>
      <c r="E203" s="1195">
        <v>1727483.92</v>
      </c>
      <c r="F203" s="1193" t="s">
        <v>421</v>
      </c>
      <c r="G203" s="1193" t="s">
        <v>2019</v>
      </c>
      <c r="H203" s="1196"/>
      <c r="I203" s="1393"/>
      <c r="J203" s="1393"/>
      <c r="K203" s="1393"/>
      <c r="L203" s="150">
        <f t="shared" si="15"/>
        <v>5100</v>
      </c>
      <c r="M203" s="151" t="str">
        <f t="shared" si="16"/>
        <v>C/V - RACHAT DE BAIL</v>
      </c>
      <c r="N203" s="152">
        <f>+IF(OR($Q203=Parametres!$G$2,$Q203=Parametres!$G$3),I203,C203)</f>
        <v>1394848.92</v>
      </c>
      <c r="O203" s="1084">
        <f>+IF(OR($Q203=Parametres!$G$2,$Q203=Parametres!$G$3),J203,D203)</f>
        <v>332635</v>
      </c>
      <c r="P203" s="152">
        <f>+IF(OR($Q203=Parametres!$G$2,$Q203=Parametres!$G$3),K203,E203)</f>
        <v>1727483.92</v>
      </c>
      <c r="Q203" s="151" t="str">
        <f t="shared" si="17"/>
        <v>6-Coût des ventes</v>
      </c>
      <c r="R203" s="150" t="str">
        <f t="shared" si="18"/>
        <v>4100</v>
      </c>
      <c r="S203" s="151">
        <f t="shared" si="19"/>
        <v>0</v>
      </c>
      <c r="T203" s="153">
        <f>+VLOOKUP($L203,Data_Validation!$A:$D,1,0)</f>
        <v>5100</v>
      </c>
      <c r="U203" s="153" t="str">
        <f>+VLOOKUP($L203,Data_Validation!$A:$D,3,0)</f>
        <v>Véhicules neufs</v>
      </c>
      <c r="V203" s="153" t="str">
        <f>+VLOOKUP($L203,Data_Validation!$A:$D,4,0)</f>
        <v>Rachat bail</v>
      </c>
      <c r="W203" s="153" t="str">
        <f>+VLOOKUP($L203,Data_Validation!$A:$E,5,0)</f>
        <v>$</v>
      </c>
      <c r="X203" s="153">
        <f>+VLOOKUP($L203,Data_Validation!$A:$F,6,0)</f>
        <v>0</v>
      </c>
    </row>
    <row r="204" spans="1:24" ht="15" customHeight="1">
      <c r="A204" s="1193" t="s">
        <v>2441</v>
      </c>
      <c r="B204" s="1194">
        <v>5109</v>
      </c>
      <c r="C204" s="1197">
        <v>262967.09000000003</v>
      </c>
      <c r="D204" s="1197">
        <v>45658.83</v>
      </c>
      <c r="E204" s="1197">
        <v>308625.91999999998</v>
      </c>
      <c r="F204" s="1193" t="s">
        <v>421</v>
      </c>
      <c r="G204" s="1193" t="s">
        <v>2427</v>
      </c>
      <c r="H204" s="1196"/>
      <c r="I204" s="1392"/>
      <c r="J204" s="1392"/>
      <c r="K204" s="1392"/>
      <c r="L204" s="150">
        <f t="shared" si="15"/>
        <v>5109</v>
      </c>
      <c r="M204" s="151" t="str">
        <f t="shared" si="16"/>
        <v>C/V - GOLF R</v>
      </c>
      <c r="N204" s="152">
        <f>+IF(OR($Q204=Parametres!$G$2,$Q204=Parametres!$G$3),I204,C204)</f>
        <v>262967.09000000003</v>
      </c>
      <c r="O204" s="1084">
        <f>+IF(OR($Q204=Parametres!$G$2,$Q204=Parametres!$G$3),J204,D204)</f>
        <v>45658.83</v>
      </c>
      <c r="P204" s="152">
        <f>+IF(OR($Q204=Parametres!$G$2,$Q204=Parametres!$G$3),K204,E204)</f>
        <v>308625.91999999998</v>
      </c>
      <c r="Q204" s="151" t="str">
        <f t="shared" si="17"/>
        <v>6-Coût des ventes</v>
      </c>
      <c r="R204" s="150" t="str">
        <f t="shared" si="18"/>
        <v>4109</v>
      </c>
      <c r="S204" s="151">
        <f t="shared" si="19"/>
        <v>0</v>
      </c>
      <c r="T204" s="153">
        <f>+VLOOKUP($L204,Data_Validation!$A:$D,1,0)</f>
        <v>5109</v>
      </c>
      <c r="U204" s="153" t="str">
        <f>+VLOOKUP($L204,Data_Validation!$A:$D,3,0)</f>
        <v>Véhicules neufs</v>
      </c>
      <c r="V204" s="153" t="str">
        <f>+VLOOKUP($L204,Data_Validation!$A:$D,4,0)</f>
        <v>Autos détail</v>
      </c>
      <c r="W204" s="153" t="str">
        <f>+VLOOKUP($L204,Data_Validation!$A:$E,5,0)</f>
        <v>$</v>
      </c>
      <c r="X204" s="153">
        <f>+VLOOKUP($L204,Data_Validation!$A:$F,6,0)</f>
        <v>0</v>
      </c>
    </row>
    <row r="205" spans="1:24" ht="15" customHeight="1">
      <c r="A205" s="1193" t="s">
        <v>2835</v>
      </c>
      <c r="B205" s="1194">
        <v>5111</v>
      </c>
      <c r="C205" s="1197">
        <v>175392.39</v>
      </c>
      <c r="D205" s="1197">
        <v>73696.19</v>
      </c>
      <c r="E205" s="1197">
        <v>249088.58</v>
      </c>
      <c r="F205" s="1193" t="s">
        <v>421</v>
      </c>
      <c r="G205" s="1193" t="s">
        <v>2007</v>
      </c>
      <c r="H205" s="1196"/>
      <c r="I205" s="1392"/>
      <c r="J205" s="1392"/>
      <c r="K205" s="1392"/>
      <c r="L205" s="150">
        <f t="shared" si="15"/>
        <v>5111</v>
      </c>
      <c r="M205" s="151" t="str">
        <f t="shared" si="16"/>
        <v>C/V - JETTA</v>
      </c>
      <c r="N205" s="152">
        <f>+IF(OR($Q205=Parametres!$G$2,$Q205=Parametres!$G$3),I205,C205)</f>
        <v>175392.39</v>
      </c>
      <c r="O205" s="1084">
        <f>+IF(OR($Q205=Parametres!$G$2,$Q205=Parametres!$G$3),J205,D205)</f>
        <v>73696.19</v>
      </c>
      <c r="P205" s="152">
        <f>+IF(OR($Q205=Parametres!$G$2,$Q205=Parametres!$G$3),K205,E205)</f>
        <v>249088.58</v>
      </c>
      <c r="Q205" s="151" t="str">
        <f t="shared" si="17"/>
        <v>6-Coût des ventes</v>
      </c>
      <c r="R205" s="150" t="str">
        <f t="shared" si="18"/>
        <v>4111</v>
      </c>
      <c r="S205" s="151">
        <f t="shared" si="19"/>
        <v>0</v>
      </c>
      <c r="T205" s="153">
        <f>+VLOOKUP($L205,Data_Validation!$A:$D,1,0)</f>
        <v>5111</v>
      </c>
      <c r="U205" s="153" t="str">
        <f>+VLOOKUP($L205,Data_Validation!$A:$D,3,0)</f>
        <v>Véhicules neufs</v>
      </c>
      <c r="V205" s="153" t="str">
        <f>+VLOOKUP($L205,Data_Validation!$A:$D,4,0)</f>
        <v>Autos détail</v>
      </c>
      <c r="W205" s="153" t="str">
        <f>+VLOOKUP($L205,Data_Validation!$A:$E,5,0)</f>
        <v>$</v>
      </c>
      <c r="X205" s="153">
        <f>+VLOOKUP($L205,Data_Validation!$A:$F,6,0)</f>
        <v>0</v>
      </c>
    </row>
    <row r="206" spans="1:24" ht="15.75" customHeight="1">
      <c r="A206" s="1193" t="s">
        <v>2898</v>
      </c>
      <c r="B206" s="1194">
        <v>5118</v>
      </c>
      <c r="C206" s="1195">
        <v>1099073.6599999999</v>
      </c>
      <c r="D206" s="1195">
        <v>305730.65000000002</v>
      </c>
      <c r="E206" s="1195">
        <v>1404804.31</v>
      </c>
      <c r="F206" s="1193" t="s">
        <v>421</v>
      </c>
      <c r="G206" s="1193" t="s">
        <v>1523</v>
      </c>
      <c r="H206" s="1196"/>
      <c r="I206" s="1393"/>
      <c r="J206" s="1393"/>
      <c r="K206" s="1393"/>
      <c r="L206" s="150">
        <f t="shared" si="15"/>
        <v>5118</v>
      </c>
      <c r="M206" s="151" t="str">
        <f t="shared" si="16"/>
        <v>C/V - TAOS</v>
      </c>
      <c r="N206" s="152">
        <f>+IF(OR($Q206=Parametres!$G$2,$Q206=Parametres!$G$3),I206,C206)</f>
        <v>1099073.6599999999</v>
      </c>
      <c r="O206" s="1082">
        <f>+IF(OR($Q206=Parametres!$G$2,$Q206=Parametres!$G$3),J206,D206)</f>
        <v>305730.65000000002</v>
      </c>
      <c r="P206" s="152">
        <f>+IF(OR($Q206=Parametres!$G$2,$Q206=Parametres!$G$3),K206,E206)</f>
        <v>1404804.31</v>
      </c>
      <c r="Q206" s="151" t="str">
        <f t="shared" si="17"/>
        <v>6-Coût des ventes</v>
      </c>
      <c r="R206" s="150" t="str">
        <f t="shared" si="18"/>
        <v>511</v>
      </c>
      <c r="S206" s="151">
        <f t="shared" si="19"/>
        <v>0</v>
      </c>
      <c r="T206" s="153">
        <f>+VLOOKUP($L206,Data_Validation!$A:$D,1,0)</f>
        <v>5118</v>
      </c>
      <c r="U206" s="153" t="str">
        <f>+VLOOKUP($L206,Data_Validation!$A:$D,3,0)</f>
        <v>Véhicules neufs</v>
      </c>
      <c r="V206" s="153" t="str">
        <f>+VLOOKUP($L206,Data_Validation!$A:$D,4,0)</f>
        <v>Camions détail</v>
      </c>
      <c r="W206" s="153" t="str">
        <f>+VLOOKUP($L206,Data_Validation!$A:$E,5,0)</f>
        <v>$</v>
      </c>
      <c r="X206" s="153">
        <f>+VLOOKUP($L206,Data_Validation!$A:$F,6,0)</f>
        <v>0</v>
      </c>
    </row>
    <row r="207" spans="1:24" ht="15" customHeight="1">
      <c r="A207" s="1193" t="s">
        <v>2841</v>
      </c>
      <c r="B207" s="1194">
        <v>5119</v>
      </c>
      <c r="C207" s="1197">
        <v>837252.61</v>
      </c>
      <c r="D207" s="1197">
        <v>461154.63</v>
      </c>
      <c r="E207" s="1197">
        <v>1298407.24</v>
      </c>
      <c r="F207" s="1193" t="s">
        <v>421</v>
      </c>
      <c r="G207" s="1193" t="s">
        <v>1996</v>
      </c>
      <c r="H207" s="1196"/>
      <c r="I207" s="1392"/>
      <c r="J207" s="1392"/>
      <c r="K207" s="1392"/>
      <c r="L207" s="150">
        <f t="shared" si="15"/>
        <v>5119</v>
      </c>
      <c r="M207" s="151" t="str">
        <f t="shared" si="16"/>
        <v>C/V - ATLAS</v>
      </c>
      <c r="N207" s="152">
        <f>+IF(OR($Q207=Parametres!$G$2,$Q207=Parametres!$G$3),I207,C207)</f>
        <v>837252.61</v>
      </c>
      <c r="O207" s="1084">
        <f>+IF(OR($Q207=Parametres!$G$2,$Q207=Parametres!$G$3),J207,D207)</f>
        <v>461154.63</v>
      </c>
      <c r="P207" s="152">
        <f>+IF(OR($Q207=Parametres!$G$2,$Q207=Parametres!$G$3),K207,E207)</f>
        <v>1298407.24</v>
      </c>
      <c r="Q207" s="151" t="str">
        <f t="shared" si="17"/>
        <v>6-Coût des ventes</v>
      </c>
      <c r="R207" s="150" t="str">
        <f t="shared" si="18"/>
        <v>4119</v>
      </c>
      <c r="S207" s="151">
        <f t="shared" si="19"/>
        <v>0</v>
      </c>
      <c r="T207" s="153">
        <f>+VLOOKUP($L207,Data_Validation!$A:$D,1,0)</f>
        <v>5119</v>
      </c>
      <c r="U207" s="153" t="str">
        <f>+VLOOKUP($L207,Data_Validation!$A:$D,3,0)</f>
        <v>Véhicules neufs</v>
      </c>
      <c r="V207" s="153" t="str">
        <f>+VLOOKUP($L207,Data_Validation!$A:$D,4,0)</f>
        <v>Camions détail</v>
      </c>
      <c r="W207" s="153" t="str">
        <f>+VLOOKUP($L207,Data_Validation!$A:$E,5,0)</f>
        <v>$</v>
      </c>
      <c r="X207" s="153">
        <f>+VLOOKUP($L207,Data_Validation!$A:$F,6,0)</f>
        <v>0</v>
      </c>
    </row>
    <row r="208" spans="1:24" ht="15" customHeight="1">
      <c r="A208" s="1193" t="s">
        <v>2885</v>
      </c>
      <c r="B208" s="1194">
        <v>5121</v>
      </c>
      <c r="C208" s="1195">
        <v>88622.33</v>
      </c>
      <c r="D208" s="1195">
        <v>37515.519999999997</v>
      </c>
      <c r="E208" s="1195">
        <v>126137.85</v>
      </c>
      <c r="F208" s="1193" t="s">
        <v>421</v>
      </c>
      <c r="G208" s="1193" t="s">
        <v>3258</v>
      </c>
      <c r="H208" s="1196"/>
      <c r="I208" s="1393"/>
      <c r="J208" s="1393"/>
      <c r="K208" s="1393"/>
      <c r="L208" s="150">
        <f t="shared" si="15"/>
        <v>5121</v>
      </c>
      <c r="M208" s="151" t="str">
        <f t="shared" si="16"/>
        <v>C/V - ATLAS CROSS SPORT</v>
      </c>
      <c r="N208" s="152">
        <f>+IF(OR($Q208=Parametres!$G$2,$Q208=Parametres!$G$3),I208,C208)</f>
        <v>88622.33</v>
      </c>
      <c r="O208" s="1084">
        <f>+IF(OR($Q208=Parametres!$G$2,$Q208=Parametres!$G$3),J208,D208)</f>
        <v>37515.519999999997</v>
      </c>
      <c r="P208" s="152">
        <f>+IF(OR($Q208=Parametres!$G$2,$Q208=Parametres!$G$3),K208,E208)</f>
        <v>126137.85</v>
      </c>
      <c r="Q208" s="151" t="str">
        <f t="shared" si="17"/>
        <v>6-Coût des ventes</v>
      </c>
      <c r="R208" s="150" t="str">
        <f t="shared" si="18"/>
        <v>4121</v>
      </c>
      <c r="S208" s="151">
        <f t="shared" si="19"/>
        <v>0</v>
      </c>
      <c r="T208" s="153">
        <f>+VLOOKUP($L208,Data_Validation!$A:$D,1,0)</f>
        <v>5121</v>
      </c>
      <c r="U208" s="153" t="str">
        <f>+VLOOKUP($L208,Data_Validation!$A:$D,3,0)</f>
        <v>Véhicules neufs</v>
      </c>
      <c r="V208" s="153" t="str">
        <f>+VLOOKUP($L208,Data_Validation!$A:$D,4,0)</f>
        <v>Camions détail</v>
      </c>
      <c r="W208" s="153" t="str">
        <f>+VLOOKUP($L208,Data_Validation!$A:$E,5,0)</f>
        <v>$</v>
      </c>
      <c r="X208" s="153">
        <f>+VLOOKUP($L208,Data_Validation!$A:$F,6,0)</f>
        <v>0</v>
      </c>
    </row>
    <row r="209" spans="1:24" ht="15" customHeight="1">
      <c r="A209" s="1193" t="s">
        <v>2827</v>
      </c>
      <c r="B209" s="1194">
        <v>5127</v>
      </c>
      <c r="C209" s="1197">
        <v>137542.21</v>
      </c>
      <c r="D209" s="1197">
        <v>81607.899999999994</v>
      </c>
      <c r="E209" s="1197">
        <v>219150.11</v>
      </c>
      <c r="F209" s="1193" t="s">
        <v>421</v>
      </c>
      <c r="G209" s="1193" t="s">
        <v>2024</v>
      </c>
      <c r="H209" s="1196"/>
      <c r="I209" s="1392"/>
      <c r="J209" s="1392"/>
      <c r="K209" s="1392"/>
      <c r="L209" s="150">
        <f t="shared" si="15"/>
        <v>5127</v>
      </c>
      <c r="M209" s="151" t="str">
        <f t="shared" si="16"/>
        <v>C/V - GOLF GTI</v>
      </c>
      <c r="N209" s="152">
        <f>+IF(OR($Q209=Parametres!$G$2,$Q209=Parametres!$G$3),I209,C209)</f>
        <v>137542.21</v>
      </c>
      <c r="O209" s="1084">
        <f>+IF(OR($Q209=Parametres!$G$2,$Q209=Parametres!$G$3),J209,D209)</f>
        <v>81607.899999999994</v>
      </c>
      <c r="P209" s="152">
        <f>+IF(OR($Q209=Parametres!$G$2,$Q209=Parametres!$G$3),K209,E209)</f>
        <v>219150.11</v>
      </c>
      <c r="Q209" s="151" t="str">
        <f t="shared" si="17"/>
        <v>6-Coût des ventes</v>
      </c>
      <c r="R209" s="150" t="str">
        <f t="shared" si="18"/>
        <v>4127</v>
      </c>
      <c r="S209" s="151">
        <f t="shared" si="19"/>
        <v>0</v>
      </c>
      <c r="T209" s="153">
        <f>+VLOOKUP($L209,Data_Validation!$A:$D,1,0)</f>
        <v>5127</v>
      </c>
      <c r="U209" s="153" t="str">
        <f>+VLOOKUP($L209,Data_Validation!$A:$D,3,0)</f>
        <v>Véhicules neufs</v>
      </c>
      <c r="V209" s="153" t="str">
        <f>+VLOOKUP($L209,Data_Validation!$A:$D,4,0)</f>
        <v>Autos détail</v>
      </c>
      <c r="W209" s="153" t="str">
        <f>+VLOOKUP($L209,Data_Validation!$A:$E,5,0)</f>
        <v>$</v>
      </c>
      <c r="X209" s="153">
        <f>+VLOOKUP($L209,Data_Validation!$A:$F,6,0)</f>
        <v>0</v>
      </c>
    </row>
    <row r="210" spans="1:24" ht="15" customHeight="1">
      <c r="A210" s="1193" t="s">
        <v>2846</v>
      </c>
      <c r="B210" s="1194">
        <v>5131</v>
      </c>
      <c r="C210" s="1195">
        <v>1820990.54</v>
      </c>
      <c r="D210" s="1195">
        <v>672639.31</v>
      </c>
      <c r="E210" s="1195">
        <v>2493629.85</v>
      </c>
      <c r="F210" s="1193" t="s">
        <v>421</v>
      </c>
      <c r="G210" s="1193" t="s">
        <v>1992</v>
      </c>
      <c r="H210" s="1196"/>
      <c r="I210" s="1393"/>
      <c r="J210" s="1393"/>
      <c r="K210" s="1393"/>
      <c r="L210" s="150">
        <f t="shared" si="15"/>
        <v>5131</v>
      </c>
      <c r="M210" s="151" t="str">
        <f t="shared" si="16"/>
        <v>C/V - TIGUAN LWB</v>
      </c>
      <c r="N210" s="152">
        <f>+IF(OR($Q210=Parametres!$G$2,$Q210=Parametres!$G$3),I210,C210)</f>
        <v>1820990.54</v>
      </c>
      <c r="O210" s="1084">
        <f>+IF(OR($Q210=Parametres!$G$2,$Q210=Parametres!$G$3),J210,D210)</f>
        <v>672639.31</v>
      </c>
      <c r="P210" s="152">
        <f>+IF(OR($Q210=Parametres!$G$2,$Q210=Parametres!$G$3),K210,E210)</f>
        <v>2493629.85</v>
      </c>
      <c r="Q210" s="151" t="str">
        <f t="shared" si="17"/>
        <v>6-Coût des ventes</v>
      </c>
      <c r="R210" s="150" t="str">
        <f t="shared" si="18"/>
        <v>4131</v>
      </c>
      <c r="S210" s="151">
        <f t="shared" si="19"/>
        <v>0</v>
      </c>
      <c r="T210" s="153">
        <f>+VLOOKUP($L210,Data_Validation!$A:$D,1,0)</f>
        <v>5131</v>
      </c>
      <c r="U210" s="153" t="str">
        <f>+VLOOKUP($L210,Data_Validation!$A:$D,3,0)</f>
        <v>Véhicules neufs</v>
      </c>
      <c r="V210" s="153" t="str">
        <f>+VLOOKUP($L210,Data_Validation!$A:$D,4,0)</f>
        <v>Camions détail</v>
      </c>
      <c r="W210" s="153" t="str">
        <f>+VLOOKUP($L210,Data_Validation!$A:$E,5,0)</f>
        <v>$</v>
      </c>
      <c r="X210" s="153">
        <f>+VLOOKUP($L210,Data_Validation!$A:$F,6,0)</f>
        <v>0</v>
      </c>
    </row>
    <row r="211" spans="1:24" ht="15.75" customHeight="1">
      <c r="A211" s="1193" t="s">
        <v>2447</v>
      </c>
      <c r="B211" s="1194">
        <v>5137</v>
      </c>
      <c r="C211" s="1197">
        <v>67839.39</v>
      </c>
      <c r="D211" s="1197" t="s">
        <v>3444</v>
      </c>
      <c r="E211" s="1197">
        <v>67839.39</v>
      </c>
      <c r="F211" s="1193" t="s">
        <v>421</v>
      </c>
      <c r="G211" s="1193" t="s">
        <v>2433</v>
      </c>
      <c r="H211" s="1196"/>
      <c r="I211" s="1392"/>
      <c r="J211" s="1392"/>
      <c r="K211" s="1392"/>
      <c r="L211" s="150">
        <f t="shared" si="15"/>
        <v>5137</v>
      </c>
      <c r="M211" s="151" t="str">
        <f t="shared" si="16"/>
        <v>C/V - VW FLOTTE/VENTE ENTR/EMPLOYE/VEH DEMONS</v>
      </c>
      <c r="N211" s="152">
        <f>+IF(OR($Q211=Parametres!$G$2,$Q211=Parametres!$G$3),I211,C211)</f>
        <v>67839.39</v>
      </c>
      <c r="O211" s="1084" t="str">
        <f>+IF(OR($Q211=Parametres!$G$2,$Q211=Parametres!$G$3),J211,D211)</f>
        <v xml:space="preserve">                       -   </v>
      </c>
      <c r="P211" s="152">
        <f>+IF(OR($Q211=Parametres!$G$2,$Q211=Parametres!$G$3),K211,E211)</f>
        <v>67839.39</v>
      </c>
      <c r="Q211" s="151" t="str">
        <f t="shared" si="17"/>
        <v>6-Coût des ventes</v>
      </c>
      <c r="R211" s="150" t="str">
        <f t="shared" si="18"/>
        <v>4137</v>
      </c>
      <c r="S211" s="151">
        <f t="shared" si="19"/>
        <v>0</v>
      </c>
      <c r="T211" s="153">
        <f>+VLOOKUP($L211,Data_Validation!$A:$D,1,0)</f>
        <v>5137</v>
      </c>
      <c r="U211" s="153" t="str">
        <f>+VLOOKUP($L211,Data_Validation!$A:$D,3,0)</f>
        <v>Véhicules neufs</v>
      </c>
      <c r="V211" s="153" t="str">
        <f>+VLOOKUP($L211,Data_Validation!$A:$D,4,0)</f>
        <v>Flottes</v>
      </c>
      <c r="W211" s="153" t="str">
        <f>+VLOOKUP($L211,Data_Validation!$A:$E,5,0)</f>
        <v>$</v>
      </c>
      <c r="X211" s="153">
        <f>+VLOOKUP($L211,Data_Validation!$A:$F,6,0)</f>
        <v>0</v>
      </c>
    </row>
    <row r="212" spans="1:24" ht="15" customHeight="1">
      <c r="A212" s="1193" t="s">
        <v>2447</v>
      </c>
      <c r="B212" s="1194">
        <v>5139</v>
      </c>
      <c r="C212" s="1195">
        <v>680163.71</v>
      </c>
      <c r="D212" s="1195">
        <v>116202.1</v>
      </c>
      <c r="E212" s="1195">
        <v>796365.81</v>
      </c>
      <c r="F212" s="1193" t="s">
        <v>421</v>
      </c>
      <c r="G212" s="1193" t="s">
        <v>1998</v>
      </c>
      <c r="H212" s="1196"/>
      <c r="I212" s="1393"/>
      <c r="J212" s="1393"/>
      <c r="K212" s="1393"/>
      <c r="L212" s="150">
        <f t="shared" si="15"/>
        <v>5139</v>
      </c>
      <c r="M212" s="151" t="str">
        <f t="shared" si="16"/>
        <v>C/V - VW FLOTTE/VENTE ENTR/EMPLOYE/VEH DEMONS</v>
      </c>
      <c r="N212" s="152">
        <f>+IF(OR($Q212=Parametres!$G$2,$Q212=Parametres!$G$3),I212,C212)</f>
        <v>680163.71</v>
      </c>
      <c r="O212" s="1084">
        <f>+IF(OR($Q212=Parametres!$G$2,$Q212=Parametres!$G$3),J212,D212)</f>
        <v>116202.1</v>
      </c>
      <c r="P212" s="152">
        <f>+IF(OR($Q212=Parametres!$G$2,$Q212=Parametres!$G$3),K212,E212)</f>
        <v>796365.81</v>
      </c>
      <c r="Q212" s="151" t="str">
        <f t="shared" si="17"/>
        <v>6-Coût des ventes</v>
      </c>
      <c r="R212" s="150" t="str">
        <f t="shared" si="18"/>
        <v>4139</v>
      </c>
      <c r="S212" s="151">
        <f t="shared" si="19"/>
        <v>0</v>
      </c>
      <c r="T212" s="153">
        <f>+VLOOKUP($L212,Data_Validation!$A:$D,1,0)</f>
        <v>5139</v>
      </c>
      <c r="U212" s="153" t="str">
        <f>+VLOOKUP($L212,Data_Validation!$A:$D,3,0)</f>
        <v>Véhicules neufs</v>
      </c>
      <c r="V212" s="153" t="str">
        <f>+VLOOKUP($L212,Data_Validation!$A:$D,4,0)</f>
        <v>Ex-Démos et courtoisies</v>
      </c>
      <c r="W212" s="153" t="str">
        <f>+VLOOKUP($L212,Data_Validation!$A:$E,5,0)</f>
        <v>$</v>
      </c>
      <c r="X212" s="153">
        <f>+VLOOKUP($L212,Data_Validation!$A:$F,6,0)</f>
        <v>0</v>
      </c>
    </row>
    <row r="213" spans="1:24" ht="15" customHeight="1">
      <c r="A213" s="1193" t="s">
        <v>3360</v>
      </c>
      <c r="B213" s="1194">
        <v>5144</v>
      </c>
      <c r="C213" s="1197">
        <v>32515</v>
      </c>
      <c r="D213" s="1197">
        <v>30189.919999999998</v>
      </c>
      <c r="E213" s="1197">
        <v>62704.92</v>
      </c>
      <c r="F213" s="1193" t="s">
        <v>421</v>
      </c>
      <c r="G213" s="1193" t="s">
        <v>2323</v>
      </c>
      <c r="H213" s="1196"/>
      <c r="I213" s="1392"/>
      <c r="J213" s="1392"/>
      <c r="K213" s="1392"/>
      <c r="L213" s="150">
        <f t="shared" si="15"/>
        <v>5144</v>
      </c>
      <c r="M213" s="151" t="str">
        <f t="shared" si="16"/>
        <v>C/V - JETTA GLI</v>
      </c>
      <c r="N213" s="152">
        <f>+IF(OR($Q213=Parametres!$G$2,$Q213=Parametres!$G$3),I213,C213)</f>
        <v>32515</v>
      </c>
      <c r="O213" s="1084">
        <f>+IF(OR($Q213=Parametres!$G$2,$Q213=Parametres!$G$3),J213,D213)</f>
        <v>30189.919999999998</v>
      </c>
      <c r="P213" s="152">
        <f>+IF(OR($Q213=Parametres!$G$2,$Q213=Parametres!$G$3),K213,E213)</f>
        <v>62704.92</v>
      </c>
      <c r="Q213" s="151" t="str">
        <f t="shared" si="17"/>
        <v>6-Coût des ventes</v>
      </c>
      <c r="R213" s="150" t="str">
        <f t="shared" si="18"/>
        <v>514</v>
      </c>
      <c r="S213" s="151">
        <f t="shared" si="19"/>
        <v>0</v>
      </c>
      <c r="T213" s="153">
        <f>+VLOOKUP($L213,Data_Validation!$A:$D,1,0)</f>
        <v>5144</v>
      </c>
      <c r="U213" s="153" t="str">
        <f>+VLOOKUP($L213,Data_Validation!$A:$D,3,0)</f>
        <v>Véhicules neufs</v>
      </c>
      <c r="V213" s="153" t="str">
        <f>+VLOOKUP($L213,Data_Validation!$A:$D,4,0)</f>
        <v>Autos détail</v>
      </c>
      <c r="W213" s="153" t="str">
        <f>+VLOOKUP($L213,Data_Validation!$A:$E,5,0)</f>
        <v>$</v>
      </c>
      <c r="X213" s="153">
        <f>+VLOOKUP($L213,Data_Validation!$A:$F,6,0)</f>
        <v>0</v>
      </c>
    </row>
    <row r="214" spans="1:24" ht="15" customHeight="1">
      <c r="A214" s="1193" t="s">
        <v>2843</v>
      </c>
      <c r="B214" s="1194">
        <v>5201</v>
      </c>
      <c r="C214" s="1195">
        <v>2581559.9500000002</v>
      </c>
      <c r="D214" s="1195">
        <v>666646.48</v>
      </c>
      <c r="E214" s="1195">
        <v>3248206.43</v>
      </c>
      <c r="F214" s="1193" t="s">
        <v>421</v>
      </c>
      <c r="G214" s="1193" t="s">
        <v>1994</v>
      </c>
      <c r="H214" s="1196"/>
      <c r="I214" s="1197"/>
      <c r="J214" s="1197"/>
      <c r="K214" s="1197"/>
      <c r="L214" s="150">
        <f t="shared" si="15"/>
        <v>5201</v>
      </c>
      <c r="M214" s="151" t="str">
        <f t="shared" si="16"/>
        <v>C/V - VEH.USAGE VW DETAIL CERTIFIE</v>
      </c>
      <c r="N214" s="152">
        <f>+IF(OR($Q214=Parametres!$G$2,$Q214=Parametres!$G$3),I214,C214)</f>
        <v>2581559.9500000002</v>
      </c>
      <c r="O214" s="1084">
        <f>+IF(OR($Q214=Parametres!$G$2,$Q214=Parametres!$G$3),J214,D214)</f>
        <v>666646.48</v>
      </c>
      <c r="P214" s="152">
        <f>+IF(OR($Q214=Parametres!$G$2,$Q214=Parametres!$G$3),K214,E214)</f>
        <v>3248206.43</v>
      </c>
      <c r="Q214" s="151" t="str">
        <f t="shared" si="17"/>
        <v>6-Coût des ventes</v>
      </c>
      <c r="R214" s="150" t="str">
        <f t="shared" si="18"/>
        <v>4201</v>
      </c>
      <c r="S214" s="151">
        <f t="shared" si="19"/>
        <v>0</v>
      </c>
      <c r="T214" s="153">
        <f>+VLOOKUP($L214,Data_Validation!$A:$D,1,0)</f>
        <v>5201</v>
      </c>
      <c r="U214" s="153" t="str">
        <f>+VLOOKUP($L214,Data_Validation!$A:$D,3,0)</f>
        <v>Véhicules usagés</v>
      </c>
      <c r="V214" s="153" t="str">
        <f>+VLOOKUP($L214,Data_Validation!$A:$D,4,0)</f>
        <v>Certifié</v>
      </c>
      <c r="W214" s="153" t="str">
        <f>+VLOOKUP($L214,Data_Validation!$A:$E,5,0)</f>
        <v>$</v>
      </c>
      <c r="X214" s="153">
        <f>+VLOOKUP($L214,Data_Validation!$A:$F,6,0)</f>
        <v>0</v>
      </c>
    </row>
    <row r="215" spans="1:24" ht="15.75" customHeight="1">
      <c r="A215" s="1193" t="s">
        <v>2821</v>
      </c>
      <c r="B215" s="1194">
        <v>5203</v>
      </c>
      <c r="C215" s="1197">
        <v>250385.79</v>
      </c>
      <c r="D215" s="1197">
        <v>60451.16</v>
      </c>
      <c r="E215" s="1197">
        <v>310836.95</v>
      </c>
      <c r="F215" s="1193" t="s">
        <v>421</v>
      </c>
      <c r="G215" s="1193" t="s">
        <v>1994</v>
      </c>
      <c r="H215" s="1196"/>
      <c r="I215" s="1195"/>
      <c r="J215" s="1196"/>
      <c r="K215" s="1195"/>
      <c r="L215" s="150">
        <f t="shared" si="15"/>
        <v>5203</v>
      </c>
      <c r="M215" s="151" t="str">
        <f t="shared" si="16"/>
        <v>C/V - RECOND USAGE VW CERT.</v>
      </c>
      <c r="N215" s="152">
        <f>+IF(OR($Q215=Parametres!$G$2,$Q215=Parametres!$G$3),I215,C215)</f>
        <v>250385.79</v>
      </c>
      <c r="O215" s="1084">
        <f>+IF(OR($Q215=Parametres!$G$2,$Q215=Parametres!$G$3),J215,D215)</f>
        <v>60451.16</v>
      </c>
      <c r="P215" s="152">
        <f>+IF(OR($Q215=Parametres!$G$2,$Q215=Parametres!$G$3),K215,E215)</f>
        <v>310836.95</v>
      </c>
      <c r="Q215" s="151" t="str">
        <f t="shared" si="17"/>
        <v>6-Coût des ventes</v>
      </c>
      <c r="R215" s="150" t="str">
        <f t="shared" si="18"/>
        <v>4201</v>
      </c>
      <c r="S215" s="151">
        <f t="shared" si="19"/>
        <v>0</v>
      </c>
      <c r="T215" s="153">
        <f>+VLOOKUP($L215,Data_Validation!$A:$D,1,0)</f>
        <v>5203</v>
      </c>
      <c r="U215" s="153" t="str">
        <f>+VLOOKUP($L215,Data_Validation!$A:$D,3,0)</f>
        <v>Véhicules usagés</v>
      </c>
      <c r="V215" s="153" t="str">
        <f>+VLOOKUP($L215,Data_Validation!$A:$D,4,0)</f>
        <v>Certifié</v>
      </c>
      <c r="W215" s="153" t="str">
        <f>+VLOOKUP($L215,Data_Validation!$A:$E,5,0)</f>
        <v>$</v>
      </c>
      <c r="X215" s="153">
        <f>+VLOOKUP($L215,Data_Validation!$A:$F,6,0)</f>
        <v>0</v>
      </c>
    </row>
    <row r="216" spans="1:24" ht="15" customHeight="1">
      <c r="A216" s="1193" t="s">
        <v>2031</v>
      </c>
      <c r="B216" s="1194">
        <v>5285</v>
      </c>
      <c r="C216" s="1195">
        <v>98077.42</v>
      </c>
      <c r="D216" s="1195">
        <v>40840</v>
      </c>
      <c r="E216" s="1195">
        <v>138917.42000000001</v>
      </c>
      <c r="F216" s="1193" t="s">
        <v>421</v>
      </c>
      <c r="G216" s="1193" t="s">
        <v>2033</v>
      </c>
      <c r="H216" s="1196"/>
      <c r="I216" s="1197"/>
      <c r="J216" s="1197"/>
      <c r="K216" s="1197"/>
      <c r="L216" s="150">
        <f t="shared" si="15"/>
        <v>5285</v>
      </c>
      <c r="M216" s="151" t="str">
        <f t="shared" si="16"/>
        <v>VEH. D'OCC. AUTRE DETAIL</v>
      </c>
      <c r="N216" s="152">
        <f>+IF(OR($Q216=Parametres!$G$2,$Q216=Parametres!$G$3),I216,C216)</f>
        <v>98077.42</v>
      </c>
      <c r="O216" s="1084">
        <f>+IF(OR($Q216=Parametres!$G$2,$Q216=Parametres!$G$3),J216,D216)</f>
        <v>40840</v>
      </c>
      <c r="P216" s="152">
        <f>+IF(OR($Q216=Parametres!$G$2,$Q216=Parametres!$G$3),K216,E216)</f>
        <v>138917.42000000001</v>
      </c>
      <c r="Q216" s="151" t="str">
        <f t="shared" si="17"/>
        <v>6-Coût des ventes</v>
      </c>
      <c r="R216" s="150" t="str">
        <f t="shared" si="18"/>
        <v>4261</v>
      </c>
      <c r="S216" s="151">
        <f t="shared" si="19"/>
        <v>0</v>
      </c>
      <c r="T216" s="153">
        <f>+VLOOKUP($L216,Data_Validation!$A:$D,1,0)</f>
        <v>5285</v>
      </c>
      <c r="U216" s="153" t="str">
        <f>+VLOOKUP($L216,Data_Validation!$A:$D,3,0)</f>
        <v>Véhicules usagés</v>
      </c>
      <c r="V216" s="153" t="str">
        <f>+VLOOKUP($L216,Data_Validation!$A:$D,4,0)</f>
        <v>Non Certifié</v>
      </c>
      <c r="W216" s="153" t="str">
        <f>+VLOOKUP($L216,Data_Validation!$A:$E,5,0)</f>
        <v>$</v>
      </c>
      <c r="X216" s="153">
        <f>+VLOOKUP($L216,Data_Validation!$A:$F,6,0)</f>
        <v>0</v>
      </c>
    </row>
    <row r="217" spans="1:24" ht="15" customHeight="1">
      <c r="A217" s="1193" t="s">
        <v>2663</v>
      </c>
      <c r="B217" s="1194">
        <v>5286</v>
      </c>
      <c r="C217" s="1197">
        <v>6297.72</v>
      </c>
      <c r="D217" s="1197">
        <v>4517.88</v>
      </c>
      <c r="E217" s="1197">
        <v>10815.6</v>
      </c>
      <c r="F217" s="1193" t="s">
        <v>421</v>
      </c>
      <c r="G217" s="1193" t="s">
        <v>2033</v>
      </c>
      <c r="H217" s="1196"/>
      <c r="I217" s="1195"/>
      <c r="J217" s="1196"/>
      <c r="K217" s="1195"/>
      <c r="L217" s="150">
        <f t="shared" si="15"/>
        <v>5286</v>
      </c>
      <c r="M217" s="151" t="str">
        <f t="shared" si="16"/>
        <v>RECOND. AUTRE DETAIL</v>
      </c>
      <c r="N217" s="152">
        <f>+IF(OR($Q217=Parametres!$G$2,$Q217=Parametres!$G$3),I217,C217)</f>
        <v>6297.72</v>
      </c>
      <c r="O217" s="1084">
        <f>+IF(OR($Q217=Parametres!$G$2,$Q217=Parametres!$G$3),J217,D217)</f>
        <v>4517.88</v>
      </c>
      <c r="P217" s="152">
        <f>+IF(OR($Q217=Parametres!$G$2,$Q217=Parametres!$G$3),K217,E217)</f>
        <v>10815.6</v>
      </c>
      <c r="Q217" s="151" t="str">
        <f t="shared" si="17"/>
        <v>6-Coût des ventes</v>
      </c>
      <c r="R217" s="150" t="str">
        <f t="shared" si="18"/>
        <v>4261</v>
      </c>
      <c r="S217" s="151">
        <f t="shared" si="19"/>
        <v>0</v>
      </c>
      <c r="T217" s="153">
        <f>+VLOOKUP($L217,Data_Validation!$A:$D,1,0)</f>
        <v>5286</v>
      </c>
      <c r="U217" s="153" t="str">
        <f>+VLOOKUP($L217,Data_Validation!$A:$D,3,0)</f>
        <v>Véhicules usagés</v>
      </c>
      <c r="V217" s="153" t="str">
        <f>+VLOOKUP($L217,Data_Validation!$A:$D,4,0)</f>
        <v>Non Certifié</v>
      </c>
      <c r="W217" s="153" t="str">
        <f>+VLOOKUP($L217,Data_Validation!$A:$E,5,0)</f>
        <v>$</v>
      </c>
      <c r="X217" s="153">
        <f>+VLOOKUP($L217,Data_Validation!$A:$F,6,0)</f>
        <v>0</v>
      </c>
    </row>
    <row r="218" spans="1:24" ht="15" customHeight="1">
      <c r="A218" s="1193" t="s">
        <v>1999</v>
      </c>
      <c r="B218" s="1194">
        <v>5291</v>
      </c>
      <c r="C218" s="1195">
        <v>1422276.09</v>
      </c>
      <c r="D218" s="1195">
        <v>584451.25</v>
      </c>
      <c r="E218" s="1195">
        <v>2006727.34</v>
      </c>
      <c r="F218" s="1193" t="s">
        <v>421</v>
      </c>
      <c r="G218" s="1193" t="s">
        <v>2001</v>
      </c>
      <c r="H218" s="1196"/>
      <c r="I218" s="1197"/>
      <c r="J218" s="1197"/>
      <c r="K218" s="1197"/>
      <c r="L218" s="150">
        <f t="shared" si="15"/>
        <v>5291</v>
      </c>
      <c r="M218" s="151" t="str">
        <f t="shared" si="16"/>
        <v>VEH. D'OCC. AU GROS</v>
      </c>
      <c r="N218" s="152">
        <f>+IF(OR($Q218=Parametres!$G$2,$Q218=Parametres!$G$3),I218,C218)</f>
        <v>1422276.09</v>
      </c>
      <c r="O218" s="1084">
        <f>+IF(OR($Q218=Parametres!$G$2,$Q218=Parametres!$G$3),J218,D218)</f>
        <v>584451.25</v>
      </c>
      <c r="P218" s="152">
        <f>+IF(OR($Q218=Parametres!$G$2,$Q218=Parametres!$G$3),K218,E218)</f>
        <v>2006727.34</v>
      </c>
      <c r="Q218" s="151" t="str">
        <f t="shared" si="17"/>
        <v>6-Coût des ventes</v>
      </c>
      <c r="R218" s="150" t="str">
        <f t="shared" si="18"/>
        <v>4281</v>
      </c>
      <c r="S218" s="151">
        <f t="shared" si="19"/>
        <v>0</v>
      </c>
      <c r="T218" s="153">
        <f>+VLOOKUP($L218,Data_Validation!$A:$D,1,0)</f>
        <v>5291</v>
      </c>
      <c r="U218" s="153" t="str">
        <f>+VLOOKUP($L218,Data_Validation!$A:$D,3,0)</f>
        <v>Véhicules usagés</v>
      </c>
      <c r="V218" s="153" t="str">
        <f>+VLOOKUP($L218,Data_Validation!$A:$D,4,0)</f>
        <v>Ventes au Gros</v>
      </c>
      <c r="W218" s="153" t="str">
        <f>+VLOOKUP($L218,Data_Validation!$A:$E,5,0)</f>
        <v>$</v>
      </c>
      <c r="X218" s="153">
        <f>+VLOOKUP($L218,Data_Validation!$A:$F,6,0)</f>
        <v>0</v>
      </c>
    </row>
    <row r="219" spans="1:24" ht="15.75" customHeight="1">
      <c r="A219" s="1193" t="s">
        <v>2819</v>
      </c>
      <c r="B219" s="1194">
        <v>5401</v>
      </c>
      <c r="C219" s="1197">
        <v>98139.14</v>
      </c>
      <c r="D219" s="1197">
        <v>36270.03</v>
      </c>
      <c r="E219" s="1197">
        <v>134409.17000000001</v>
      </c>
      <c r="F219" s="1193" t="s">
        <v>421</v>
      </c>
      <c r="G219" s="1193" t="s">
        <v>2005</v>
      </c>
      <c r="H219" s="1196"/>
      <c r="I219" s="1195"/>
      <c r="J219" s="1196"/>
      <c r="K219" s="1195"/>
      <c r="L219" s="150">
        <f t="shared" si="15"/>
        <v>5401</v>
      </c>
      <c r="M219" s="151" t="str">
        <f t="shared" si="16"/>
        <v>COUT M.O. MECANIQUE CLIENTS</v>
      </c>
      <c r="N219" s="152">
        <f>+IF(OR($Q219=Parametres!$G$2,$Q219=Parametres!$G$3),I219,C219)</f>
        <v>98139.14</v>
      </c>
      <c r="O219" s="1084">
        <f>+IF(OR($Q219=Parametres!$G$2,$Q219=Parametres!$G$3),J219,D219)</f>
        <v>36270.03</v>
      </c>
      <c r="P219" s="152">
        <f>+IF(OR($Q219=Parametres!$G$2,$Q219=Parametres!$G$3),K219,E219)</f>
        <v>134409.17000000001</v>
      </c>
      <c r="Q219" s="151" t="str">
        <f t="shared" si="17"/>
        <v>6-Coût des ventes</v>
      </c>
      <c r="R219" s="150" t="str">
        <f t="shared" si="18"/>
        <v>4401</v>
      </c>
      <c r="S219" s="151">
        <f t="shared" si="19"/>
        <v>0</v>
      </c>
      <c r="T219" s="153">
        <f>+VLOOKUP($L219,Data_Validation!$A:$D,1,0)</f>
        <v>5401</v>
      </c>
      <c r="U219" s="153" t="str">
        <f>+VLOOKUP($L219,Data_Validation!$A:$D,3,0)</f>
        <v>Service</v>
      </c>
      <c r="V219" s="153" t="str">
        <f>+VLOOKUP($L219,Data_Validation!$A:$D,4,0)</f>
        <v>M/O Client</v>
      </c>
      <c r="W219" s="153" t="str">
        <f>+VLOOKUP($L219,Data_Validation!$A:$E,5,0)</f>
        <v>$</v>
      </c>
      <c r="X219" s="153">
        <f>+VLOOKUP($L219,Data_Validation!$A:$F,6,0)</f>
        <v>0</v>
      </c>
    </row>
    <row r="220" spans="1:24" ht="15" customHeight="1">
      <c r="A220" s="1193" t="s">
        <v>2557</v>
      </c>
      <c r="B220" s="1194">
        <v>5402</v>
      </c>
      <c r="C220" s="1197">
        <v>93.16</v>
      </c>
      <c r="D220" s="1197">
        <v>430</v>
      </c>
      <c r="E220" s="1197">
        <v>523.16</v>
      </c>
      <c r="F220" s="1193" t="s">
        <v>421</v>
      </c>
      <c r="G220" s="1193" t="s">
        <v>2185</v>
      </c>
      <c r="H220" s="1201"/>
      <c r="I220" s="1206"/>
      <c r="J220" s="1201"/>
      <c r="K220" s="1206"/>
      <c r="L220" s="150">
        <f t="shared" si="15"/>
        <v>5402</v>
      </c>
      <c r="M220" s="151" t="str">
        <f t="shared" si="16"/>
        <v>C/V - M.O. ESTHETIQUE CLIENT</v>
      </c>
      <c r="N220" s="152">
        <f>+IF(OR($Q220=Parametres!$G$2,$Q220=Parametres!$G$3),I220,C220)</f>
        <v>93.16</v>
      </c>
      <c r="O220" s="1084">
        <f>+IF(OR($Q220=Parametres!$G$2,$Q220=Parametres!$G$3),J220,D220)</f>
        <v>430</v>
      </c>
      <c r="P220" s="152">
        <f>+IF(OR($Q220=Parametres!$G$2,$Q220=Parametres!$G$3),K220,E220)</f>
        <v>523.16</v>
      </c>
      <c r="Q220" s="151" t="str">
        <f t="shared" si="17"/>
        <v>6-Coût des ventes</v>
      </c>
      <c r="R220" s="150" t="str">
        <f t="shared" si="18"/>
        <v>4402</v>
      </c>
      <c r="S220" s="151">
        <f t="shared" si="19"/>
        <v>0</v>
      </c>
      <c r="T220" s="153">
        <f>+VLOOKUP($L220,Data_Validation!$A:$D,1,0)</f>
        <v>5402</v>
      </c>
      <c r="U220" s="153" t="str">
        <f>+VLOOKUP($L220,Data_Validation!$A:$D,3,0)</f>
        <v>Service</v>
      </c>
      <c r="V220" s="153" t="str">
        <f>+VLOOKUP($L220,Data_Validation!$A:$D,4,0)</f>
        <v>M/O Esthétique</v>
      </c>
      <c r="W220" s="153" t="str">
        <f>+VLOOKUP($L220,Data_Validation!$A:$E,5,0)</f>
        <v>$</v>
      </c>
      <c r="X220" s="153">
        <f>+VLOOKUP($L220,Data_Validation!$A:$F,6,0)</f>
        <v>0</v>
      </c>
    </row>
    <row r="221" spans="1:24" ht="15" customHeight="1">
      <c r="A221" s="1193" t="s">
        <v>2782</v>
      </c>
      <c r="B221" s="1194">
        <v>5403</v>
      </c>
      <c r="C221" s="1197">
        <v>47595.13</v>
      </c>
      <c r="D221" s="1197">
        <v>10365.790000000001</v>
      </c>
      <c r="E221" s="1197">
        <v>57960.92</v>
      </c>
      <c r="F221" s="1193" t="s">
        <v>421</v>
      </c>
      <c r="G221" s="1193" t="s">
        <v>2035</v>
      </c>
      <c r="H221" s="1201"/>
      <c r="I221" s="1206"/>
      <c r="J221" s="1201"/>
      <c r="K221" s="1206"/>
      <c r="L221" s="150">
        <f t="shared" si="15"/>
        <v>5403</v>
      </c>
      <c r="M221" s="151" t="str">
        <f t="shared" si="16"/>
        <v>COUT MEC VENTE GARANTIE MANUF</v>
      </c>
      <c r="N221" s="152">
        <f>+IF(OR($Q221=Parametres!$G$2,$Q221=Parametres!$G$3),I221,C221)</f>
        <v>47595.13</v>
      </c>
      <c r="O221" s="1084">
        <f>+IF(OR($Q221=Parametres!$G$2,$Q221=Parametres!$G$3),J221,D221)</f>
        <v>10365.790000000001</v>
      </c>
      <c r="P221" s="152">
        <f>+IF(OR($Q221=Parametres!$G$2,$Q221=Parametres!$G$3),K221,E221)</f>
        <v>57960.92</v>
      </c>
      <c r="Q221" s="151" t="str">
        <f t="shared" si="17"/>
        <v>6-Coût des ventes</v>
      </c>
      <c r="R221" s="150" t="str">
        <f t="shared" si="18"/>
        <v>4403</v>
      </c>
      <c r="S221" s="151">
        <f t="shared" si="19"/>
        <v>0</v>
      </c>
      <c r="T221" s="153">
        <f>+VLOOKUP($L221,Data_Validation!$A:$D,1,0)</f>
        <v>5403</v>
      </c>
      <c r="U221" s="153" t="str">
        <f>+VLOOKUP($L221,Data_Validation!$A:$D,3,0)</f>
        <v>Service</v>
      </c>
      <c r="V221" s="153" t="str">
        <f>+VLOOKUP($L221,Data_Validation!$A:$D,4,0)</f>
        <v>M/O Garantie</v>
      </c>
      <c r="W221" s="153" t="str">
        <f>+VLOOKUP($L221,Data_Validation!$A:$E,5,0)</f>
        <v>$</v>
      </c>
      <c r="X221" s="153">
        <f>+VLOOKUP($L221,Data_Validation!$A:$F,6,0)</f>
        <v>0</v>
      </c>
    </row>
    <row r="222" spans="1:24" ht="15" customHeight="1">
      <c r="A222" s="1193" t="s">
        <v>2768</v>
      </c>
      <c r="B222" s="1194">
        <v>5405</v>
      </c>
      <c r="C222" s="1197">
        <v>47879.839999999997</v>
      </c>
      <c r="D222" s="1197">
        <v>12116.8</v>
      </c>
      <c r="E222" s="1197">
        <v>59996.639999999999</v>
      </c>
      <c r="F222" s="1193" t="s">
        <v>421</v>
      </c>
      <c r="G222" s="1193" t="s">
        <v>2045</v>
      </c>
      <c r="H222" s="1201"/>
      <c r="I222" s="1206"/>
      <c r="J222" s="1201"/>
      <c r="K222" s="1206"/>
      <c r="L222" s="150">
        <f t="shared" si="15"/>
        <v>5405</v>
      </c>
      <c r="M222" s="151" t="str">
        <f t="shared" si="16"/>
        <v>C D V VENTES M OINTERNE</v>
      </c>
      <c r="N222" s="152">
        <f>+IF(OR($Q222=Parametres!$G$2,$Q222=Parametres!$G$3),I222,C222)</f>
        <v>47879.839999999997</v>
      </c>
      <c r="O222" s="1082">
        <f>+IF(OR($Q222=Parametres!$G$2,$Q222=Parametres!$G$3),J222,D222)</f>
        <v>12116.8</v>
      </c>
      <c r="P222" s="152">
        <f>+IF(OR($Q222=Parametres!$G$2,$Q222=Parametres!$G$3),K222,E222)</f>
        <v>59996.639999999999</v>
      </c>
      <c r="Q222" s="151" t="str">
        <f t="shared" si="17"/>
        <v>6-Coût des ventes</v>
      </c>
      <c r="R222" s="150" t="str">
        <f t="shared" si="18"/>
        <v>4405</v>
      </c>
      <c r="S222" s="151">
        <f t="shared" si="19"/>
        <v>0</v>
      </c>
      <c r="T222" s="153">
        <f>+VLOOKUP($L222,Data_Validation!$A:$D,1,0)</f>
        <v>5405</v>
      </c>
      <c r="U222" s="153" t="str">
        <f>+VLOOKUP($L222,Data_Validation!$A:$D,3,0)</f>
        <v>Service</v>
      </c>
      <c r="V222" s="153" t="str">
        <f>+VLOOKUP($L222,Data_Validation!$A:$D,4,0)</f>
        <v>M/O Interne</v>
      </c>
      <c r="W222" s="153" t="str">
        <f>+VLOOKUP($L222,Data_Validation!$A:$E,5,0)</f>
        <v>$</v>
      </c>
      <c r="X222" s="153">
        <f>+VLOOKUP($L222,Data_Validation!$A:$F,6,0)</f>
        <v>0</v>
      </c>
    </row>
    <row r="223" spans="1:24" ht="15" customHeight="1">
      <c r="A223" s="1193" t="s">
        <v>2716</v>
      </c>
      <c r="B223" s="1194">
        <v>5416</v>
      </c>
      <c r="C223" s="1197">
        <v>10253.719999999999</v>
      </c>
      <c r="D223" s="1197">
        <v>2987.28</v>
      </c>
      <c r="E223" s="1197">
        <v>13241</v>
      </c>
      <c r="F223" s="1193" t="s">
        <v>421</v>
      </c>
      <c r="G223" s="1193" t="s">
        <v>2718</v>
      </c>
      <c r="H223" s="1201"/>
      <c r="I223" s="1206"/>
      <c r="J223" s="1201"/>
      <c r="K223" s="1206"/>
      <c r="L223" s="150">
        <f t="shared" si="15"/>
        <v>5416</v>
      </c>
      <c r="M223" s="151" t="str">
        <f t="shared" si="16"/>
        <v>C/V - TEMPS MORT M.O. SERVICE</v>
      </c>
      <c r="N223" s="152">
        <f>+IF(OR($Q223=Parametres!$G$2,$Q223=Parametres!$G$3),I223,C223)</f>
        <v>10253.719999999999</v>
      </c>
      <c r="O223" s="1084">
        <f>+IF(OR($Q223=Parametres!$G$2,$Q223=Parametres!$G$3),J223,D223)</f>
        <v>2987.28</v>
      </c>
      <c r="P223" s="152">
        <f>+IF(OR($Q223=Parametres!$G$2,$Q223=Parametres!$G$3),K223,E223)</f>
        <v>13241</v>
      </c>
      <c r="Q223" s="151" t="str">
        <f t="shared" si="17"/>
        <v>6-Coût des ventes</v>
      </c>
      <c r="R223" s="150" t="str">
        <f t="shared" si="18"/>
        <v>4416</v>
      </c>
      <c r="S223" s="151">
        <f t="shared" si="19"/>
        <v>0</v>
      </c>
      <c r="T223" s="153">
        <f>+VLOOKUP($L223,Data_Validation!$A:$D,1,0)</f>
        <v>5416</v>
      </c>
      <c r="U223" s="153" t="str">
        <f>+VLOOKUP($L223,Data_Validation!$A:$D,3,0)</f>
        <v>Service</v>
      </c>
      <c r="V223" s="153" t="str">
        <f>+VLOOKUP($L223,Data_Validation!$A:$D,4,0)</f>
        <v>Ajustement M/O</v>
      </c>
      <c r="W223" s="153" t="str">
        <f>+VLOOKUP($L223,Data_Validation!$A:$E,5,0)</f>
        <v>$</v>
      </c>
      <c r="X223" s="153">
        <f>+VLOOKUP($L223,Data_Validation!$A:$F,6,0)</f>
        <v>0</v>
      </c>
    </row>
    <row r="224" spans="1:24" ht="15" customHeight="1">
      <c r="A224" s="1193" t="s">
        <v>2064</v>
      </c>
      <c r="B224" s="1194">
        <v>5451</v>
      </c>
      <c r="C224" s="1197">
        <v>55519.24</v>
      </c>
      <c r="D224" s="1197">
        <v>19032.349999999999</v>
      </c>
      <c r="E224" s="1197">
        <v>74551.59</v>
      </c>
      <c r="F224" s="1193" t="s">
        <v>421</v>
      </c>
      <c r="G224" s="1193" t="s">
        <v>2066</v>
      </c>
      <c r="H224" s="948"/>
      <c r="I224" s="951"/>
      <c r="J224" s="951"/>
      <c r="K224" s="951"/>
      <c r="L224" s="150">
        <f t="shared" si="15"/>
        <v>5451</v>
      </c>
      <c r="M224" s="151" t="str">
        <f t="shared" si="16"/>
        <v>CARBURANT/HUILE/GRAISSE</v>
      </c>
      <c r="N224" s="152">
        <f>+IF(OR($Q224=Parametres!$G$2,$Q224=Parametres!$G$3),I224,C224)</f>
        <v>55519.24</v>
      </c>
      <c r="O224" s="1084">
        <f>+IF(OR($Q224=Parametres!$G$2,$Q224=Parametres!$G$3),J224,D224)</f>
        <v>19032.349999999999</v>
      </c>
      <c r="P224" s="152">
        <f>+IF(OR($Q224=Parametres!$G$2,$Q224=Parametres!$G$3),K224,E224)</f>
        <v>74551.59</v>
      </c>
      <c r="Q224" s="151" t="str">
        <f t="shared" si="17"/>
        <v>6-Coût des ventes</v>
      </c>
      <c r="R224" s="150" t="str">
        <f t="shared" si="18"/>
        <v>4782</v>
      </c>
      <c r="S224" s="151">
        <f t="shared" si="19"/>
        <v>0</v>
      </c>
      <c r="T224" s="153">
        <f>+VLOOKUP($L224,Data_Validation!$A:$D,1,0)</f>
        <v>5451</v>
      </c>
      <c r="U224" s="153" t="str">
        <f>+VLOOKUP($L224,Data_Validation!$A:$D,3,0)</f>
        <v>Pièces</v>
      </c>
      <c r="V224" s="153" t="str">
        <f>+VLOOKUP($L224,Data_Validation!$A:$D,4,0)</f>
        <v>Huiles et Graisse</v>
      </c>
      <c r="W224" s="153" t="str">
        <f>+VLOOKUP($L224,Data_Validation!$A:$E,5,0)</f>
        <v>$</v>
      </c>
      <c r="X224" s="153">
        <f>+VLOOKUP($L224,Data_Validation!$A:$F,6,0)</f>
        <v>0</v>
      </c>
    </row>
    <row r="225" spans="1:24" ht="15.75" customHeight="1">
      <c r="A225" s="1193" t="s">
        <v>2137</v>
      </c>
      <c r="B225" s="1194">
        <v>5491</v>
      </c>
      <c r="C225" s="1197">
        <v>3051.15</v>
      </c>
      <c r="D225" s="1197">
        <v>1143.22</v>
      </c>
      <c r="E225" s="1197">
        <v>4194.37</v>
      </c>
      <c r="F225" s="1193" t="s">
        <v>421</v>
      </c>
      <c r="G225" s="1193" t="s">
        <v>2138</v>
      </c>
      <c r="H225" s="948"/>
      <c r="I225" s="1207"/>
      <c r="J225" s="949"/>
      <c r="K225" s="1207"/>
      <c r="L225" s="150">
        <f t="shared" si="15"/>
        <v>5491</v>
      </c>
      <c r="M225" s="151" t="str">
        <f t="shared" si="16"/>
        <v>REPARATION SOUS-LOC. - GENERAL</v>
      </c>
      <c r="N225" s="152">
        <f>+IF(OR($Q225=Parametres!$G$2,$Q225=Parametres!$G$3),I225,C225)</f>
        <v>3051.15</v>
      </c>
      <c r="O225" s="1084">
        <f>+IF(OR($Q225=Parametres!$G$2,$Q225=Parametres!$G$3),J225,D225)</f>
        <v>1143.22</v>
      </c>
      <c r="P225" s="152">
        <f>+IF(OR($Q225=Parametres!$G$2,$Q225=Parametres!$G$3),K225,E225)</f>
        <v>4194.37</v>
      </c>
      <c r="Q225" s="151" t="str">
        <f t="shared" si="17"/>
        <v>6-Coût des ventes</v>
      </c>
      <c r="R225" s="150" t="str">
        <f t="shared" si="18"/>
        <v>4491</v>
      </c>
      <c r="S225" s="151">
        <f t="shared" si="19"/>
        <v>0</v>
      </c>
      <c r="T225" s="153">
        <f>+VLOOKUP($L225,Data_Validation!$A:$D,1,0)</f>
        <v>5491</v>
      </c>
      <c r="U225" s="153" t="str">
        <f>+VLOOKUP($L225,Data_Validation!$A:$D,3,0)</f>
        <v>Service</v>
      </c>
      <c r="V225" s="153" t="str">
        <f>+VLOOKUP($L225,Data_Validation!$A:$D,4,0)</f>
        <v>Sous-traitement</v>
      </c>
      <c r="W225" s="153" t="str">
        <f>+VLOOKUP($L225,Data_Validation!$A:$E,5,0)</f>
        <v>$</v>
      </c>
      <c r="X225" s="153">
        <f>+VLOOKUP($L225,Data_Validation!$A:$F,6,0)</f>
        <v>0</v>
      </c>
    </row>
    <row r="226" spans="1:24" ht="15" customHeight="1">
      <c r="A226" s="1193" t="s">
        <v>2678</v>
      </c>
      <c r="B226" s="1194">
        <v>5493</v>
      </c>
      <c r="C226" s="1197">
        <v>6835.39</v>
      </c>
      <c r="D226" s="1197">
        <v>1809.05</v>
      </c>
      <c r="E226" s="1197">
        <v>8644.44</v>
      </c>
      <c r="F226" s="1193" t="s">
        <v>421</v>
      </c>
      <c r="G226" s="1193" t="s">
        <v>2161</v>
      </c>
      <c r="H226" s="1201"/>
      <c r="I226" s="1206"/>
      <c r="J226" s="1201"/>
      <c r="K226" s="1206"/>
      <c r="L226" s="150">
        <f t="shared" si="15"/>
        <v>5493</v>
      </c>
      <c r="M226" s="151" t="str">
        <f t="shared" si="16"/>
        <v>C/V - SOUS-TRAITANCE GARANTIE</v>
      </c>
      <c r="N226" s="152">
        <f>+IF(OR($Q226=Parametres!$G$2,$Q226=Parametres!$G$3),I226,C226)</f>
        <v>6835.39</v>
      </c>
      <c r="O226" s="1084">
        <f>+IF(OR($Q226=Parametres!$G$2,$Q226=Parametres!$G$3),J226,D226)</f>
        <v>1809.05</v>
      </c>
      <c r="P226" s="152">
        <f>+IF(OR($Q226=Parametres!$G$2,$Q226=Parametres!$G$3),K226,E226)</f>
        <v>8644.44</v>
      </c>
      <c r="Q226" s="151" t="str">
        <f t="shared" si="17"/>
        <v>6-Coût des ventes</v>
      </c>
      <c r="R226" s="150" t="str">
        <f t="shared" si="18"/>
        <v>4493</v>
      </c>
      <c r="S226" s="151">
        <f t="shared" si="19"/>
        <v>0</v>
      </c>
      <c r="T226" s="153">
        <f>+VLOOKUP($L226,Data_Validation!$A:$D,1,0)</f>
        <v>5493</v>
      </c>
      <c r="U226" s="153" t="str">
        <f>+VLOOKUP($L226,Data_Validation!$A:$D,3,0)</f>
        <v>Service</v>
      </c>
      <c r="V226" s="153" t="str">
        <f>+VLOOKUP($L226,Data_Validation!$A:$D,4,0)</f>
        <v>Sous-traitement</v>
      </c>
      <c r="W226" s="153" t="str">
        <f>+VLOOKUP($L226,Data_Validation!$A:$E,5,0)</f>
        <v>$</v>
      </c>
      <c r="X226" s="153">
        <f>+VLOOKUP($L226,Data_Validation!$A:$F,6,0)</f>
        <v>0</v>
      </c>
    </row>
    <row r="227" spans="1:24" ht="15" customHeight="1">
      <c r="A227" s="1193" t="s">
        <v>2780</v>
      </c>
      <c r="B227" s="1194">
        <v>5495</v>
      </c>
      <c r="C227" s="1197">
        <v>46506.3</v>
      </c>
      <c r="D227" s="1197">
        <v>19851</v>
      </c>
      <c r="E227" s="1197">
        <v>66357.3</v>
      </c>
      <c r="F227" s="1193" t="s">
        <v>421</v>
      </c>
      <c r="G227" s="1193" t="s">
        <v>2080</v>
      </c>
      <c r="H227" s="1201"/>
      <c r="I227" s="1202"/>
      <c r="J227" s="1202"/>
      <c r="K227" s="1202"/>
      <c r="L227" s="150">
        <f t="shared" si="15"/>
        <v>5495</v>
      </c>
      <c r="M227" s="151" t="str">
        <f t="shared" si="16"/>
        <v>C/V - SOUS-TRAITANCE INTERNE</v>
      </c>
      <c r="N227" s="152">
        <f>+IF(OR($Q227=Parametres!$G$2,$Q227=Parametres!$G$3),I227,C227)</f>
        <v>46506.3</v>
      </c>
      <c r="O227" s="1082">
        <f>+IF(OR($Q227=Parametres!$G$2,$Q227=Parametres!$G$3),J227,D227)</f>
        <v>19851</v>
      </c>
      <c r="P227" s="152">
        <f>+IF(OR($Q227=Parametres!$G$2,$Q227=Parametres!$G$3),K227,E227)</f>
        <v>66357.3</v>
      </c>
      <c r="Q227" s="151" t="str">
        <f t="shared" si="17"/>
        <v>6-Coût des ventes</v>
      </c>
      <c r="R227" s="150" t="str">
        <f t="shared" si="18"/>
        <v>4495</v>
      </c>
      <c r="S227" s="151">
        <f t="shared" si="19"/>
        <v>0</v>
      </c>
      <c r="T227" s="153">
        <f>+VLOOKUP($L227,Data_Validation!$A:$D,1,0)</f>
        <v>5495</v>
      </c>
      <c r="U227" s="153" t="str">
        <f>+VLOOKUP($L227,Data_Validation!$A:$D,3,0)</f>
        <v>Service</v>
      </c>
      <c r="V227" s="153" t="str">
        <f>+VLOOKUP($L227,Data_Validation!$A:$D,4,0)</f>
        <v>Sous-traitement</v>
      </c>
      <c r="W227" s="153" t="str">
        <f>+VLOOKUP($L227,Data_Validation!$A:$E,5,0)</f>
        <v>$</v>
      </c>
      <c r="X227" s="153">
        <f>+VLOOKUP($L227,Data_Validation!$A:$F,6,0)</f>
        <v>0</v>
      </c>
    </row>
    <row r="228" spans="1:24" ht="15" customHeight="1">
      <c r="A228" s="1193" t="s">
        <v>2789</v>
      </c>
      <c r="B228" s="1194">
        <v>5591</v>
      </c>
      <c r="C228" s="1197">
        <v>49500.959999999999</v>
      </c>
      <c r="D228" s="1197">
        <v>10296.450000000001</v>
      </c>
      <c r="E228" s="1197">
        <v>59797.41</v>
      </c>
      <c r="F228" s="1193" t="s">
        <v>421</v>
      </c>
      <c r="G228" s="1193" t="s">
        <v>2063</v>
      </c>
      <c r="H228" s="1201"/>
      <c r="I228" s="1201"/>
      <c r="J228" s="1201"/>
      <c r="K228" s="1201"/>
      <c r="L228" s="150">
        <f t="shared" si="15"/>
        <v>5591</v>
      </c>
      <c r="M228" s="151" t="str">
        <f t="shared" si="16"/>
        <v>C/V - S-TRAIT. CARR.</v>
      </c>
      <c r="N228" s="152">
        <f>+IF(OR($Q228=Parametres!$G$2,$Q228=Parametres!$G$3),I228,C228)</f>
        <v>49500.959999999999</v>
      </c>
      <c r="O228" s="1082">
        <f>+IF(OR($Q228=Parametres!$G$2,$Q228=Parametres!$G$3),J228,D228)</f>
        <v>10296.450000000001</v>
      </c>
      <c r="P228" s="152">
        <f>+IF(OR($Q228=Parametres!$G$2,$Q228=Parametres!$G$3),K228,E228)</f>
        <v>59797.41</v>
      </c>
      <c r="Q228" s="151" t="str">
        <f t="shared" si="17"/>
        <v>6-Coût des ventes</v>
      </c>
      <c r="R228" s="150" t="str">
        <f t="shared" si="18"/>
        <v>4591</v>
      </c>
      <c r="S228" s="151">
        <f t="shared" si="19"/>
        <v>0</v>
      </c>
      <c r="T228" s="153">
        <f>+VLOOKUP($L228,Data_Validation!$A:$D,1,0)</f>
        <v>5591</v>
      </c>
      <c r="U228" s="153" t="str">
        <f>+VLOOKUP($L228,Data_Validation!$A:$D,3,0)</f>
        <v>Carrosserie</v>
      </c>
      <c r="V228" s="153" t="str">
        <f>+VLOOKUP($L228,Data_Validation!$A:$D,4,0)</f>
        <v>M/O Sous-traitement</v>
      </c>
      <c r="W228" s="153" t="str">
        <f>+VLOOKUP($L228,Data_Validation!$A:$E,5,0)</f>
        <v>$</v>
      </c>
      <c r="X228" s="153">
        <f>+VLOOKUP($L228,Data_Validation!$A:$F,6,0)</f>
        <v>0</v>
      </c>
    </row>
    <row r="229" spans="1:24" ht="15.75" customHeight="1">
      <c r="A229" s="1193" t="s">
        <v>2799</v>
      </c>
      <c r="B229" s="1194">
        <v>5593</v>
      </c>
      <c r="C229" s="1197">
        <v>248665.44</v>
      </c>
      <c r="D229" s="1197">
        <v>78487.039999999994</v>
      </c>
      <c r="E229" s="1197">
        <v>327152.48</v>
      </c>
      <c r="F229" s="1193" t="s">
        <v>421</v>
      </c>
      <c r="G229" s="1193" t="s">
        <v>2061</v>
      </c>
      <c r="H229" s="1201"/>
      <c r="I229" s="1206"/>
      <c r="J229" s="1201"/>
      <c r="K229" s="1206"/>
      <c r="L229" s="150">
        <f t="shared" si="15"/>
        <v>5593</v>
      </c>
      <c r="M229" s="151" t="str">
        <f t="shared" si="16"/>
        <v>C/V - S-TRAIT.GARANTIE CARROS.</v>
      </c>
      <c r="N229" s="152">
        <f>+IF(OR($Q229=Parametres!$G$2,$Q229=Parametres!$G$3),I229,C229)</f>
        <v>248665.44</v>
      </c>
      <c r="O229" s="1084">
        <f>+IF(OR($Q229=Parametres!$G$2,$Q229=Parametres!$G$3),J229,D229)</f>
        <v>78487.039999999994</v>
      </c>
      <c r="P229" s="152">
        <f>+IF(OR($Q229=Parametres!$G$2,$Q229=Parametres!$G$3),K229,E229)</f>
        <v>327152.48</v>
      </c>
      <c r="Q229" s="151" t="str">
        <f t="shared" si="17"/>
        <v>6-Coût des ventes</v>
      </c>
      <c r="R229" s="150" t="str">
        <f t="shared" si="18"/>
        <v>4593</v>
      </c>
      <c r="S229" s="151">
        <f t="shared" si="19"/>
        <v>0</v>
      </c>
      <c r="T229" s="153">
        <f>+VLOOKUP($L229,Data_Validation!$A:$D,1,0)</f>
        <v>5593</v>
      </c>
      <c r="U229" s="153" t="str">
        <f>+VLOOKUP($L229,Data_Validation!$A:$D,3,0)</f>
        <v>Carrosserie</v>
      </c>
      <c r="V229" s="153" t="str">
        <f>+VLOOKUP($L229,Data_Validation!$A:$D,4,0)</f>
        <v>M/O Sous-traitement</v>
      </c>
      <c r="W229" s="153" t="str">
        <f>+VLOOKUP($L229,Data_Validation!$A:$E,5,0)</f>
        <v>$</v>
      </c>
      <c r="X229" s="153">
        <f>+VLOOKUP($L229,Data_Validation!$A:$F,6,0)</f>
        <v>0</v>
      </c>
    </row>
    <row r="230" spans="1:24" ht="15" customHeight="1">
      <c r="A230" s="1193" t="s">
        <v>2758</v>
      </c>
      <c r="B230" s="1194">
        <v>5595</v>
      </c>
      <c r="C230" s="1197">
        <v>18297.09</v>
      </c>
      <c r="D230" s="1197">
        <v>2470.2199999999998</v>
      </c>
      <c r="E230" s="1197">
        <v>20767.310000000001</v>
      </c>
      <c r="F230" s="1193" t="s">
        <v>421</v>
      </c>
      <c r="G230" s="1193" t="s">
        <v>2094</v>
      </c>
      <c r="H230" s="1201"/>
      <c r="I230" s="1201"/>
      <c r="J230" s="1201"/>
      <c r="K230" s="1201"/>
      <c r="L230" s="150">
        <f t="shared" si="15"/>
        <v>5595</v>
      </c>
      <c r="M230" s="151" t="str">
        <f t="shared" si="16"/>
        <v>C/V - S-TRAIT.INTERNE CARROS.</v>
      </c>
      <c r="N230" s="152">
        <f>+IF(OR($Q230=Parametres!$G$2,$Q230=Parametres!$G$3),I230,C230)</f>
        <v>18297.09</v>
      </c>
      <c r="O230" s="1084">
        <f>+IF(OR($Q230=Parametres!$G$2,$Q230=Parametres!$G$3),J230,D230)</f>
        <v>2470.2199999999998</v>
      </c>
      <c r="P230" s="152">
        <f>+IF(OR($Q230=Parametres!$G$2,$Q230=Parametres!$G$3),K230,E230)</f>
        <v>20767.310000000001</v>
      </c>
      <c r="Q230" s="151" t="str">
        <f t="shared" si="17"/>
        <v>6-Coût des ventes</v>
      </c>
      <c r="R230" s="150" t="str">
        <f t="shared" si="18"/>
        <v>4595</v>
      </c>
      <c r="S230" s="151">
        <f t="shared" si="19"/>
        <v>0</v>
      </c>
      <c r="T230" s="153">
        <f>+VLOOKUP($L230,Data_Validation!$A:$D,1,0)</f>
        <v>5595</v>
      </c>
      <c r="U230" s="153" t="str">
        <f>+VLOOKUP($L230,Data_Validation!$A:$D,3,0)</f>
        <v>Carrosserie</v>
      </c>
      <c r="V230" s="153" t="str">
        <f>+VLOOKUP($L230,Data_Validation!$A:$D,4,0)</f>
        <v>M/O Sous-traitement</v>
      </c>
      <c r="W230" s="153" t="str">
        <f>+VLOOKUP($L230,Data_Validation!$A:$E,5,0)</f>
        <v>$</v>
      </c>
      <c r="X230" s="153">
        <f>+VLOOKUP($L230,Data_Validation!$A:$F,6,0)</f>
        <v>0</v>
      </c>
    </row>
    <row r="231" spans="1:24" ht="15" customHeight="1">
      <c r="A231" s="1193" t="s">
        <v>2823</v>
      </c>
      <c r="B231" s="1194">
        <v>5701</v>
      </c>
      <c r="C231" s="1197">
        <v>150045.82</v>
      </c>
      <c r="D231" s="1197">
        <v>52258.51</v>
      </c>
      <c r="E231" s="1197">
        <v>202304.33</v>
      </c>
      <c r="F231" s="1193" t="s">
        <v>421</v>
      </c>
      <c r="G231" s="1193" t="s">
        <v>2017</v>
      </c>
      <c r="H231" s="1201"/>
      <c r="I231" s="1202"/>
      <c r="J231" s="1202"/>
      <c r="K231" s="1202"/>
      <c r="L231" s="150">
        <f t="shared" si="15"/>
        <v>5701</v>
      </c>
      <c r="M231" s="151" t="str">
        <f t="shared" si="16"/>
        <v>C/V - PIECE/ACC B.R. CLIENT VW</v>
      </c>
      <c r="N231" s="152">
        <f>+IF(OR($Q231=Parametres!$G$2,$Q231=Parametres!$G$3),I231,C231)</f>
        <v>150045.82</v>
      </c>
      <c r="O231" s="1084">
        <f>+IF(OR($Q231=Parametres!$G$2,$Q231=Parametres!$G$3),J231,D231)</f>
        <v>52258.51</v>
      </c>
      <c r="P231" s="152">
        <f>+IF(OR($Q231=Parametres!$G$2,$Q231=Parametres!$G$3),K231,E231)</f>
        <v>202304.33</v>
      </c>
      <c r="Q231" s="151" t="str">
        <f t="shared" si="17"/>
        <v>6-Coût des ventes</v>
      </c>
      <c r="R231" s="150" t="str">
        <f t="shared" si="18"/>
        <v>4701</v>
      </c>
      <c r="S231" s="151">
        <f t="shared" si="19"/>
        <v>0</v>
      </c>
      <c r="T231" s="153">
        <f>+VLOOKUP($L231,Data_Validation!$A:$D,1,0)</f>
        <v>5701</v>
      </c>
      <c r="U231" s="153" t="str">
        <f>+VLOOKUP($L231,Data_Validation!$A:$D,3,0)</f>
        <v>Pièces</v>
      </c>
      <c r="V231" s="153" t="str">
        <f>+VLOOKUP($L231,Data_Validation!$A:$D,4,0)</f>
        <v>Pièces Ro Clients</v>
      </c>
      <c r="W231" s="153" t="str">
        <f>+VLOOKUP($L231,Data_Validation!$A:$E,5,0)</f>
        <v>$</v>
      </c>
      <c r="X231" s="153">
        <f>+VLOOKUP($L231,Data_Validation!$A:$F,6,0)</f>
        <v>0</v>
      </c>
    </row>
    <row r="232" spans="1:24" ht="15" customHeight="1">
      <c r="A232" s="1193" t="s">
        <v>2649</v>
      </c>
      <c r="B232" s="1194">
        <v>5702</v>
      </c>
      <c r="C232" s="1197">
        <v>1382.26</v>
      </c>
      <c r="D232" s="1197">
        <v>593.39</v>
      </c>
      <c r="E232" s="1197">
        <v>1975.65</v>
      </c>
      <c r="F232" s="1193" t="s">
        <v>421</v>
      </c>
      <c r="G232" s="1193" t="s">
        <v>2144</v>
      </c>
      <c r="H232" s="948"/>
      <c r="I232" s="951"/>
      <c r="J232" s="951"/>
      <c r="K232" s="951"/>
      <c r="L232" s="150">
        <f t="shared" si="15"/>
        <v>5702</v>
      </c>
      <c r="M232" s="151" t="str">
        <f t="shared" si="16"/>
        <v>C/V - SHOP SUPPLY VW</v>
      </c>
      <c r="N232" s="152">
        <f>+IF(OR($Q232=Parametres!$G$2,$Q232=Parametres!$G$3),I232,C232)</f>
        <v>1382.26</v>
      </c>
      <c r="O232" s="1084">
        <f>+IF(OR($Q232=Parametres!$G$2,$Q232=Parametres!$G$3),J232,D232)</f>
        <v>593.39</v>
      </c>
      <c r="P232" s="152">
        <f>+IF(OR($Q232=Parametres!$G$2,$Q232=Parametres!$G$3),K232,E232)</f>
        <v>1975.65</v>
      </c>
      <c r="Q232" s="151" t="str">
        <f t="shared" si="17"/>
        <v>6-Coût des ventes</v>
      </c>
      <c r="R232" s="150" t="str">
        <f t="shared" si="18"/>
        <v>4702</v>
      </c>
      <c r="S232" s="151">
        <f t="shared" si="19"/>
        <v>0</v>
      </c>
      <c r="T232" s="153">
        <f>+VLOOKUP($L232,Data_Validation!$A:$D,1,0)</f>
        <v>5702</v>
      </c>
      <c r="U232" s="153" t="str">
        <f>+VLOOKUP($L232,Data_Validation!$A:$D,3,0)</f>
        <v>Service</v>
      </c>
      <c r="V232" s="153" t="str">
        <f>+VLOOKUP($L232,Data_Validation!$A:$D,4,0)</f>
        <v>M/O Client</v>
      </c>
      <c r="W232" s="153" t="str">
        <f>+VLOOKUP($L232,Data_Validation!$A:$E,5,0)</f>
        <v>$</v>
      </c>
      <c r="X232" s="153">
        <f>+VLOOKUP($L232,Data_Validation!$A:$F,6,0)</f>
        <v>0</v>
      </c>
    </row>
    <row r="233" spans="1:24" ht="15" customHeight="1">
      <c r="A233" s="1193" t="s">
        <v>2805</v>
      </c>
      <c r="B233" s="1194">
        <v>5703</v>
      </c>
      <c r="C233" s="1197">
        <v>186443.59</v>
      </c>
      <c r="D233" s="1197">
        <v>25208.95</v>
      </c>
      <c r="E233" s="1197">
        <v>211652.54</v>
      </c>
      <c r="F233" s="1193" t="s">
        <v>421</v>
      </c>
      <c r="G233" s="1193" t="s">
        <v>2037</v>
      </c>
      <c r="H233" s="948"/>
      <c r="I233" s="951"/>
      <c r="J233" s="951"/>
      <c r="K233" s="951"/>
      <c r="L233" s="150">
        <f t="shared" si="15"/>
        <v>5703</v>
      </c>
      <c r="M233" s="151" t="str">
        <f t="shared" si="16"/>
        <v>C/V - PIECE/ACC B.R. GARANTIE VW</v>
      </c>
      <c r="N233" s="152">
        <f>+IF(OR($Q233=Parametres!$G$2,$Q233=Parametres!$G$3),I233,C233)</f>
        <v>186443.59</v>
      </c>
      <c r="O233" s="1084">
        <f>+IF(OR($Q233=Parametres!$G$2,$Q233=Parametres!$G$3),J233,D233)</f>
        <v>25208.95</v>
      </c>
      <c r="P233" s="152">
        <f>+IF(OR($Q233=Parametres!$G$2,$Q233=Parametres!$G$3),K233,E233)</f>
        <v>211652.54</v>
      </c>
      <c r="Q233" s="151" t="str">
        <f t="shared" si="17"/>
        <v>6-Coût des ventes</v>
      </c>
      <c r="R233" s="150" t="str">
        <f t="shared" si="18"/>
        <v>4703</v>
      </c>
      <c r="S233" s="151">
        <f t="shared" si="19"/>
        <v>0</v>
      </c>
      <c r="T233" s="153">
        <f>+VLOOKUP($L233,Data_Validation!$A:$D,1,0)</f>
        <v>5703</v>
      </c>
      <c r="U233" s="153" t="str">
        <f>+VLOOKUP($L233,Data_Validation!$A:$D,3,0)</f>
        <v>Pièces</v>
      </c>
      <c r="V233" s="153" t="str">
        <f>+VLOOKUP($L233,Data_Validation!$A:$D,4,0)</f>
        <v>P/A Garantie</v>
      </c>
      <c r="W233" s="153" t="str">
        <f>+VLOOKUP($L233,Data_Validation!$A:$E,5,0)</f>
        <v>$</v>
      </c>
      <c r="X233" s="153">
        <f>+VLOOKUP($L233,Data_Validation!$A:$F,6,0)</f>
        <v>0</v>
      </c>
    </row>
    <row r="234" spans="1:24" ht="15.75" customHeight="1">
      <c r="A234" s="1193" t="s">
        <v>2802</v>
      </c>
      <c r="B234" s="1194">
        <v>5705</v>
      </c>
      <c r="C234" s="1197">
        <v>103242.44</v>
      </c>
      <c r="D234" s="1197">
        <v>33819.760000000002</v>
      </c>
      <c r="E234" s="1197">
        <v>137062.20000000001</v>
      </c>
      <c r="F234" s="1193" t="s">
        <v>421</v>
      </c>
      <c r="G234" s="1193" t="s">
        <v>2041</v>
      </c>
      <c r="H234" s="928"/>
      <c r="I234" s="1089"/>
      <c r="J234" s="928"/>
      <c r="K234" s="1089"/>
      <c r="L234" s="150">
        <f t="shared" si="15"/>
        <v>5705</v>
      </c>
      <c r="M234" s="151" t="str">
        <f t="shared" si="16"/>
        <v>C/V - PIECE/ACC B.R. INTERNE VW</v>
      </c>
      <c r="N234" s="152">
        <f>+IF(OR($Q234=Parametres!$G$2,$Q234=Parametres!$G$3),I234,C234)</f>
        <v>103242.44</v>
      </c>
      <c r="O234" s="1084">
        <f>+IF(OR($Q234=Parametres!$G$2,$Q234=Parametres!$G$3),J234,D234)</f>
        <v>33819.760000000002</v>
      </c>
      <c r="P234" s="152">
        <f>+IF(OR($Q234=Parametres!$G$2,$Q234=Parametres!$G$3),K234,E234)</f>
        <v>137062.20000000001</v>
      </c>
      <c r="Q234" s="151" t="str">
        <f t="shared" si="17"/>
        <v>6-Coût des ventes</v>
      </c>
      <c r="R234" s="150" t="str">
        <f t="shared" si="18"/>
        <v>4705</v>
      </c>
      <c r="S234" s="151">
        <f t="shared" si="19"/>
        <v>0</v>
      </c>
      <c r="T234" s="153">
        <f>+VLOOKUP($L234,Data_Validation!$A:$D,1,0)</f>
        <v>5705</v>
      </c>
      <c r="U234" s="153" t="str">
        <f>+VLOOKUP($L234,Data_Validation!$A:$D,3,0)</f>
        <v>Pièces</v>
      </c>
      <c r="V234" s="153" t="str">
        <f>+VLOOKUP($L234,Data_Validation!$A:$D,4,0)</f>
        <v>Ventes Internes</v>
      </c>
      <c r="W234" s="153" t="str">
        <f>+VLOOKUP($L234,Data_Validation!$A:$E,5,0)</f>
        <v>$</v>
      </c>
      <c r="X234" s="153">
        <f>+VLOOKUP($L234,Data_Validation!$A:$F,6,0)</f>
        <v>0</v>
      </c>
    </row>
    <row r="235" spans="1:24" ht="15" customHeight="1">
      <c r="A235" s="1193" t="s">
        <v>2649</v>
      </c>
      <c r="B235" s="1194">
        <v>5706</v>
      </c>
      <c r="C235" s="1197">
        <v>1921.1</v>
      </c>
      <c r="D235" s="1197">
        <v>848.34</v>
      </c>
      <c r="E235" s="1197">
        <v>2769.44</v>
      </c>
      <c r="F235" s="1193" t="s">
        <v>421</v>
      </c>
      <c r="G235" s="1193" t="s">
        <v>2162</v>
      </c>
      <c r="H235" s="948"/>
      <c r="I235" s="949"/>
      <c r="J235" s="949"/>
      <c r="K235" s="949"/>
      <c r="L235" s="150">
        <f t="shared" si="15"/>
        <v>5706</v>
      </c>
      <c r="M235" s="151" t="str">
        <f t="shared" si="16"/>
        <v>C/V - SHOP SUPPLY VW</v>
      </c>
      <c r="N235" s="152">
        <f>+IF(OR($Q235=Parametres!$G$2,$Q235=Parametres!$G$3),I235,C235)</f>
        <v>1921.1</v>
      </c>
      <c r="O235" s="1084">
        <f>+IF(OR($Q235=Parametres!$G$2,$Q235=Parametres!$G$3),J235,D235)</f>
        <v>848.34</v>
      </c>
      <c r="P235" s="152">
        <f>+IF(OR($Q235=Parametres!$G$2,$Q235=Parametres!$G$3),K235,E235)</f>
        <v>2769.44</v>
      </c>
      <c r="Q235" s="151" t="str">
        <f t="shared" si="17"/>
        <v>6-Coût des ventes</v>
      </c>
      <c r="R235" s="150" t="str">
        <f t="shared" si="18"/>
        <v>4706</v>
      </c>
      <c r="S235" s="151">
        <f t="shared" si="19"/>
        <v>0</v>
      </c>
      <c r="T235" s="153">
        <f>+VLOOKUP($L235,Data_Validation!$A:$D,1,0)</f>
        <v>5706</v>
      </c>
      <c r="U235" s="153" t="str">
        <f>+VLOOKUP($L235,Data_Validation!$A:$D,3,0)</f>
        <v>Service</v>
      </c>
      <c r="V235" s="153" t="str">
        <f>+VLOOKUP($L235,Data_Validation!$A:$D,4,0)</f>
        <v>M/O Interne</v>
      </c>
      <c r="W235" s="153" t="str">
        <f>+VLOOKUP($L235,Data_Validation!$A:$E,5,0)</f>
        <v>$</v>
      </c>
      <c r="X235" s="153">
        <f>+VLOOKUP($L235,Data_Validation!$A:$F,6,0)</f>
        <v>0</v>
      </c>
    </row>
    <row r="236" spans="1:24" ht="15" customHeight="1">
      <c r="A236" s="1193" t="s">
        <v>2451</v>
      </c>
      <c r="B236" s="1194">
        <v>5711</v>
      </c>
      <c r="C236" s="1197">
        <v>6195.19</v>
      </c>
      <c r="D236" s="1197">
        <v>1604.48</v>
      </c>
      <c r="E236" s="1197">
        <v>7799.67</v>
      </c>
      <c r="F236" s="1193" t="s">
        <v>421</v>
      </c>
      <c r="G236" s="1193" t="s">
        <v>2108</v>
      </c>
      <c r="H236" s="928"/>
      <c r="I236" s="928"/>
      <c r="J236" s="928"/>
      <c r="K236" s="928"/>
      <c r="L236" s="150">
        <f t="shared" si="15"/>
        <v>5711</v>
      </c>
      <c r="M236" s="151" t="str">
        <f t="shared" si="16"/>
        <v>C/V - AUTRE PIECE/ACC/CARR B.R. CLIENT</v>
      </c>
      <c r="N236" s="152">
        <f>+IF(OR($Q236=Parametres!$G$2,$Q236=Parametres!$G$3),I236,C236)</f>
        <v>6195.19</v>
      </c>
      <c r="O236" s="1082">
        <f>+IF(OR($Q236=Parametres!$G$2,$Q236=Parametres!$G$3),J236,D236)</f>
        <v>1604.48</v>
      </c>
      <c r="P236" s="152">
        <f>+IF(OR($Q236=Parametres!$G$2,$Q236=Parametres!$G$3),K236,E236)</f>
        <v>7799.67</v>
      </c>
      <c r="Q236" s="151" t="str">
        <f t="shared" si="17"/>
        <v>6-Coût des ventes</v>
      </c>
      <c r="R236" s="150" t="str">
        <f t="shared" si="18"/>
        <v>4711</v>
      </c>
      <c r="S236" s="151">
        <f t="shared" si="19"/>
        <v>0</v>
      </c>
      <c r="T236" s="153">
        <f>+VLOOKUP($L236,Data_Validation!$A:$D,1,0)</f>
        <v>5711</v>
      </c>
      <c r="U236" s="153" t="str">
        <f>+VLOOKUP($L236,Data_Validation!$A:$D,3,0)</f>
        <v>Pièces</v>
      </c>
      <c r="V236" s="153" t="str">
        <f>+VLOOKUP($L236,Data_Validation!$A:$D,4,0)</f>
        <v>Pièces Ro Clients</v>
      </c>
      <c r="W236" s="153" t="str">
        <f>+VLOOKUP($L236,Data_Validation!$A:$E,5,0)</f>
        <v>$</v>
      </c>
      <c r="X236" s="153">
        <f>+VLOOKUP($L236,Data_Validation!$A:$F,6,0)</f>
        <v>0</v>
      </c>
    </row>
    <row r="237" spans="1:24" ht="15" customHeight="1">
      <c r="A237" s="1193" t="s">
        <v>2745</v>
      </c>
      <c r="B237" s="1194">
        <v>5731</v>
      </c>
      <c r="C237" s="1197">
        <v>24165.86</v>
      </c>
      <c r="D237" s="1197">
        <v>2099.41</v>
      </c>
      <c r="E237" s="1197">
        <v>26265.27</v>
      </c>
      <c r="F237" s="1193" t="s">
        <v>421</v>
      </c>
      <c r="G237" s="1193" t="s">
        <v>2101</v>
      </c>
      <c r="H237" s="1201"/>
      <c r="I237" s="1202"/>
      <c r="J237" s="1202"/>
      <c r="K237" s="1202"/>
      <c r="L237" s="150">
        <f t="shared" si="15"/>
        <v>5731</v>
      </c>
      <c r="M237" s="151" t="str">
        <f t="shared" si="16"/>
        <v>C/V - PIECES-BON REPAR.-PEINT/DEBOS</v>
      </c>
      <c r="N237" s="152">
        <f>+IF(OR($Q237=Parametres!$G$2,$Q237=Parametres!$G$3),I237,C237)</f>
        <v>24165.86</v>
      </c>
      <c r="O237" s="1084">
        <f>+IF(OR($Q237=Parametres!$G$2,$Q237=Parametres!$G$3),J237,D237)</f>
        <v>2099.41</v>
      </c>
      <c r="P237" s="152">
        <f>+IF(OR($Q237=Parametres!$G$2,$Q237=Parametres!$G$3),K237,E237)</f>
        <v>26265.27</v>
      </c>
      <c r="Q237" s="151" t="str">
        <f t="shared" si="17"/>
        <v>6-Coût des ventes</v>
      </c>
      <c r="R237" s="150" t="str">
        <f t="shared" si="18"/>
        <v>4731</v>
      </c>
      <c r="S237" s="151">
        <f t="shared" si="19"/>
        <v>0</v>
      </c>
      <c r="T237" s="153">
        <f>+VLOOKUP($L237,Data_Validation!$A:$D,1,0)</f>
        <v>5731</v>
      </c>
      <c r="U237" s="153" t="str">
        <f>+VLOOKUP($L237,Data_Validation!$A:$D,3,0)</f>
        <v>Pièces</v>
      </c>
      <c r="V237" s="153" t="str">
        <f>+VLOOKUP($L237,Data_Validation!$A:$D,4,0)</f>
        <v>Pièces Ro Carrosserie</v>
      </c>
      <c r="W237" s="153" t="str">
        <f>+VLOOKUP($L237,Data_Validation!$A:$E,5,0)</f>
        <v>$</v>
      </c>
      <c r="X237" s="153">
        <f>+VLOOKUP($L237,Data_Validation!$A:$F,6,0)</f>
        <v>0</v>
      </c>
    </row>
    <row r="238" spans="1:24" ht="15.75" customHeight="1">
      <c r="A238" s="1193" t="s">
        <v>2778</v>
      </c>
      <c r="B238" s="1194">
        <v>5733</v>
      </c>
      <c r="C238" s="1197">
        <v>142571.82999999999</v>
      </c>
      <c r="D238" s="1197">
        <v>48078.38</v>
      </c>
      <c r="E238" s="1197">
        <v>190650.21</v>
      </c>
      <c r="F238" s="1193" t="s">
        <v>421</v>
      </c>
      <c r="G238" s="1193" t="s">
        <v>2084</v>
      </c>
      <c r="H238" s="1201"/>
      <c r="I238" s="1206"/>
      <c r="J238" s="1201"/>
      <c r="K238" s="1206"/>
      <c r="L238" s="150">
        <f t="shared" si="15"/>
        <v>5733</v>
      </c>
      <c r="M238" s="151" t="str">
        <f t="shared" si="16"/>
        <v>C/V - P&amp;A B.T. GAR.CARR.VW</v>
      </c>
      <c r="N238" s="152">
        <f>+IF(OR($Q238=Parametres!$G$2,$Q238=Parametres!$G$3),I238,C238)</f>
        <v>142571.82999999999</v>
      </c>
      <c r="O238" s="1082">
        <f>+IF(OR($Q238=Parametres!$G$2,$Q238=Parametres!$G$3),J238,D238)</f>
        <v>48078.38</v>
      </c>
      <c r="P238" s="152">
        <f>+IF(OR($Q238=Parametres!$G$2,$Q238=Parametres!$G$3),K238,E238)</f>
        <v>190650.21</v>
      </c>
      <c r="Q238" s="151" t="str">
        <f t="shared" si="17"/>
        <v>6-Coût des ventes</v>
      </c>
      <c r="R238" s="150" t="str">
        <f t="shared" si="18"/>
        <v>4733</v>
      </c>
      <c r="S238" s="151">
        <f t="shared" si="19"/>
        <v>0</v>
      </c>
      <c r="T238" s="153">
        <f>+VLOOKUP($L238,Data_Validation!$A:$D,1,0)</f>
        <v>5733</v>
      </c>
      <c r="U238" s="153" t="str">
        <f>+VLOOKUP($L238,Data_Validation!$A:$D,3,0)</f>
        <v>Pièces</v>
      </c>
      <c r="V238" s="153" t="str">
        <f>+VLOOKUP($L238,Data_Validation!$A:$D,4,0)</f>
        <v>Pièces Ro Carrosserie</v>
      </c>
      <c r="W238" s="153" t="str">
        <f>+VLOOKUP($L238,Data_Validation!$A:$E,5,0)</f>
        <v>$</v>
      </c>
      <c r="X238" s="153">
        <f>+VLOOKUP($L238,Data_Validation!$A:$F,6,0)</f>
        <v>0</v>
      </c>
    </row>
    <row r="239" spans="1:24" ht="15" customHeight="1">
      <c r="A239" s="1193" t="s">
        <v>2659</v>
      </c>
      <c r="B239" s="1194">
        <v>5735</v>
      </c>
      <c r="C239" s="1197">
        <v>3269.42</v>
      </c>
      <c r="D239" s="1197">
        <v>380.15</v>
      </c>
      <c r="E239" s="1197">
        <v>3649.57</v>
      </c>
      <c r="F239" s="1193" t="s">
        <v>421</v>
      </c>
      <c r="G239" s="1193" t="s">
        <v>2159</v>
      </c>
      <c r="H239" s="1201"/>
      <c r="I239" s="1202"/>
      <c r="J239" s="1202"/>
      <c r="K239" s="1202"/>
      <c r="L239" s="150">
        <f t="shared" si="15"/>
        <v>5735</v>
      </c>
      <c r="M239" s="151" t="str">
        <f t="shared" si="16"/>
        <v>C/V - P&amp;A B.T.INTERNE CARR.VW</v>
      </c>
      <c r="N239" s="152">
        <f>+IF(OR($Q239=Parametres!$G$2,$Q239=Parametres!$G$3),I239,C239)</f>
        <v>3269.42</v>
      </c>
      <c r="O239" s="1082">
        <f>+IF(OR($Q239=Parametres!$G$2,$Q239=Parametres!$G$3),J239,D239)</f>
        <v>380.15</v>
      </c>
      <c r="P239" s="152">
        <f>+IF(OR($Q239=Parametres!$G$2,$Q239=Parametres!$G$3),K239,E239)</f>
        <v>3649.57</v>
      </c>
      <c r="Q239" s="151" t="str">
        <f t="shared" si="17"/>
        <v>6-Coût des ventes</v>
      </c>
      <c r="R239" s="150" t="str">
        <f t="shared" si="18"/>
        <v>4735</v>
      </c>
      <c r="S239" s="151">
        <f t="shared" si="19"/>
        <v>0</v>
      </c>
      <c r="T239" s="153">
        <f>+VLOOKUP($L239,Data_Validation!$A:$D,1,0)</f>
        <v>5735</v>
      </c>
      <c r="U239" s="153" t="str">
        <f>+VLOOKUP($L239,Data_Validation!$A:$D,3,0)</f>
        <v>Pièces</v>
      </c>
      <c r="V239" s="153" t="str">
        <f>+VLOOKUP($L239,Data_Validation!$A:$D,4,0)</f>
        <v>Pièces Ro Carrosserie</v>
      </c>
      <c r="W239" s="153" t="str">
        <f>+VLOOKUP($L239,Data_Validation!$A:$E,5,0)</f>
        <v>$</v>
      </c>
      <c r="X239" s="153">
        <f>+VLOOKUP($L239,Data_Validation!$A:$F,6,0)</f>
        <v>0</v>
      </c>
    </row>
    <row r="240" spans="1:24" ht="15" customHeight="1">
      <c r="A240" s="1193" t="s">
        <v>2785</v>
      </c>
      <c r="B240" s="1194">
        <v>5761</v>
      </c>
      <c r="C240" s="1197">
        <v>39681.65</v>
      </c>
      <c r="D240" s="1197">
        <v>13694.71</v>
      </c>
      <c r="E240" s="1197">
        <v>53376.36</v>
      </c>
      <c r="F240" s="1193" t="s">
        <v>421</v>
      </c>
      <c r="G240" s="1193" t="s">
        <v>2076</v>
      </c>
      <c r="H240" s="948"/>
      <c r="I240" s="949"/>
      <c r="J240" s="949"/>
      <c r="K240" s="949"/>
      <c r="L240" s="150">
        <f t="shared" si="15"/>
        <v>5761</v>
      </c>
      <c r="M240" s="151" t="str">
        <f t="shared" si="16"/>
        <v>C/V - P&amp;A VW COMPTOIR - DETAIL</v>
      </c>
      <c r="N240" s="152">
        <f>+IF(OR($Q240=Parametres!$G$2,$Q240=Parametres!$G$3),I240,C240)</f>
        <v>39681.65</v>
      </c>
      <c r="O240" s="1084">
        <f>+IF(OR($Q240=Parametres!$G$2,$Q240=Parametres!$G$3),J240,D240)</f>
        <v>13694.71</v>
      </c>
      <c r="P240" s="152">
        <f>+IF(OR($Q240=Parametres!$G$2,$Q240=Parametres!$G$3),K240,E240)</f>
        <v>53376.36</v>
      </c>
      <c r="Q240" s="151" t="str">
        <f t="shared" si="17"/>
        <v>6-Coût des ventes</v>
      </c>
      <c r="R240" s="150" t="str">
        <f t="shared" si="18"/>
        <v>4761</v>
      </c>
      <c r="S240" s="151">
        <f t="shared" si="19"/>
        <v>0</v>
      </c>
      <c r="T240" s="153">
        <f>+VLOOKUP($L240,Data_Validation!$A:$D,1,0)</f>
        <v>5761</v>
      </c>
      <c r="U240" s="153" t="str">
        <f>+VLOOKUP($L240,Data_Validation!$A:$D,3,0)</f>
        <v>Pièces</v>
      </c>
      <c r="V240" s="153" t="str">
        <f>+VLOOKUP($L240,Data_Validation!$A:$D,4,0)</f>
        <v>Ventes Détails</v>
      </c>
      <c r="W240" s="153" t="str">
        <f>+VLOOKUP($L240,Data_Validation!$A:$E,5,0)</f>
        <v>$</v>
      </c>
      <c r="X240" s="153">
        <f>+VLOOKUP($L240,Data_Validation!$A:$F,6,0)</f>
        <v>0</v>
      </c>
    </row>
    <row r="241" spans="1:24" ht="15" customHeight="1">
      <c r="A241" s="1193" t="s">
        <v>2807</v>
      </c>
      <c r="B241" s="1194">
        <v>5763</v>
      </c>
      <c r="C241" s="1197">
        <v>246564.74</v>
      </c>
      <c r="D241" s="1197">
        <v>61807.19</v>
      </c>
      <c r="E241" s="1197">
        <v>308371.93</v>
      </c>
      <c r="F241" s="1193" t="s">
        <v>421</v>
      </c>
      <c r="G241" s="1193" t="s">
        <v>2039</v>
      </c>
      <c r="H241" s="928"/>
      <c r="I241" s="927"/>
      <c r="J241" s="927"/>
      <c r="K241" s="927"/>
      <c r="L241" s="150">
        <f t="shared" si="15"/>
        <v>5763</v>
      </c>
      <c r="M241" s="151" t="str">
        <f t="shared" si="16"/>
        <v>C/V - P&amp;A VW COMPTOIR GROS - ECHANGE</v>
      </c>
      <c r="N241" s="152">
        <f>+IF(OR($Q241=Parametres!$G$2,$Q241=Parametres!$G$3),I241,C241)</f>
        <v>246564.74</v>
      </c>
      <c r="O241" s="1084">
        <f>+IF(OR($Q241=Parametres!$G$2,$Q241=Parametres!$G$3),J241,D241)</f>
        <v>61807.19</v>
      </c>
      <c r="P241" s="152">
        <f>+IF(OR($Q241=Parametres!$G$2,$Q241=Parametres!$G$3),K241,E241)</f>
        <v>308371.93</v>
      </c>
      <c r="Q241" s="151" t="str">
        <f t="shared" si="17"/>
        <v>6-Coût des ventes</v>
      </c>
      <c r="R241" s="150" t="str">
        <f t="shared" si="18"/>
        <v>4763</v>
      </c>
      <c r="S241" s="151">
        <f t="shared" si="19"/>
        <v>0</v>
      </c>
      <c r="T241" s="153">
        <f>+VLOOKUP($L241,Data_Validation!$A:$D,1,0)</f>
        <v>5763</v>
      </c>
      <c r="U241" s="153" t="str">
        <f>+VLOOKUP($L241,Data_Validation!$A:$D,3,0)</f>
        <v>Pièces</v>
      </c>
      <c r="V241" s="153" t="str">
        <f>+VLOOKUP($L241,Data_Validation!$A:$D,4,0)</f>
        <v>Ventes de Gros</v>
      </c>
      <c r="W241" s="153" t="str">
        <f>+VLOOKUP($L241,Data_Validation!$A:$E,5,0)</f>
        <v>$</v>
      </c>
      <c r="X241" s="153">
        <f>+VLOOKUP($L241,Data_Validation!$A:$F,6,0)</f>
        <v>0</v>
      </c>
    </row>
    <row r="242" spans="1:24" ht="15" customHeight="1">
      <c r="A242" s="1193" t="s">
        <v>2811</v>
      </c>
      <c r="B242" s="1194">
        <v>5781</v>
      </c>
      <c r="C242" s="1197">
        <v>93867.520000000004</v>
      </c>
      <c r="D242" s="1197">
        <v>30731.79</v>
      </c>
      <c r="E242" s="1197">
        <v>124599.31</v>
      </c>
      <c r="F242" s="1193" t="s">
        <v>421</v>
      </c>
      <c r="G242" s="1193" t="s">
        <v>2028</v>
      </c>
      <c r="H242" s="1201"/>
      <c r="I242" s="1202"/>
      <c r="J242" s="1202"/>
      <c r="K242" s="1202"/>
      <c r="L242" s="150">
        <f t="shared" si="15"/>
        <v>5781</v>
      </c>
      <c r="M242" s="151" t="str">
        <f t="shared" si="16"/>
        <v>COUT PNEUS</v>
      </c>
      <c r="N242" s="152">
        <f>+IF(OR($Q242=Parametres!$G$2,$Q242=Parametres!$G$3),I242,C242)</f>
        <v>93867.520000000004</v>
      </c>
      <c r="O242" s="1084">
        <f>+IF(OR($Q242=Parametres!$G$2,$Q242=Parametres!$G$3),J242,D242)</f>
        <v>30731.79</v>
      </c>
      <c r="P242" s="152">
        <f>+IF(OR($Q242=Parametres!$G$2,$Q242=Parametres!$G$3),K242,E242)</f>
        <v>124599.31</v>
      </c>
      <c r="Q242" s="151" t="str">
        <f t="shared" si="17"/>
        <v>6-Coût des ventes</v>
      </c>
      <c r="R242" s="150" t="str">
        <f t="shared" si="18"/>
        <v>4781</v>
      </c>
      <c r="S242" s="151">
        <f t="shared" si="19"/>
        <v>0</v>
      </c>
      <c r="T242" s="153">
        <f>+VLOOKUP($L242,Data_Validation!$A:$D,1,0)</f>
        <v>5781</v>
      </c>
      <c r="U242" s="153" t="str">
        <f>+VLOOKUP($L242,Data_Validation!$A:$D,3,0)</f>
        <v>Pièces</v>
      </c>
      <c r="V242" s="153" t="str">
        <f>+VLOOKUP($L242,Data_Validation!$A:$D,4,0)</f>
        <v>Ventes Pneus</v>
      </c>
      <c r="W242" s="153" t="str">
        <f>+VLOOKUP($L242,Data_Validation!$A:$E,5,0)</f>
        <v>$</v>
      </c>
      <c r="X242" s="153">
        <f>+VLOOKUP($L242,Data_Validation!$A:$F,6,0)</f>
        <v>0</v>
      </c>
    </row>
    <row r="243" spans="1:24" ht="15.75" customHeight="1">
      <c r="A243" s="1193" t="s">
        <v>2720</v>
      </c>
      <c r="B243" s="1194">
        <v>5785</v>
      </c>
      <c r="C243" s="1197">
        <v>1089.3399999999999</v>
      </c>
      <c r="D243" s="1197" t="s">
        <v>3444</v>
      </c>
      <c r="E243" s="1197">
        <v>1089.3399999999999</v>
      </c>
      <c r="F243" s="1193" t="s">
        <v>421</v>
      </c>
      <c r="G243" s="1193" t="s">
        <v>2028</v>
      </c>
      <c r="H243" s="948"/>
      <c r="I243" s="949"/>
      <c r="J243" s="949"/>
      <c r="K243" s="949"/>
      <c r="L243" s="150">
        <f t="shared" si="15"/>
        <v>5785</v>
      </c>
      <c r="M243" s="151" t="str">
        <f t="shared" si="16"/>
        <v>C/V - VW PNEUS</v>
      </c>
      <c r="N243" s="152">
        <f>+IF(OR($Q243=Parametres!$G$2,$Q243=Parametres!$G$3),I243,C243)</f>
        <v>1089.3399999999999</v>
      </c>
      <c r="O243" s="1084" t="str">
        <f>+IF(OR($Q243=Parametres!$G$2,$Q243=Parametres!$G$3),J243,D243)</f>
        <v xml:space="preserve">                       -   </v>
      </c>
      <c r="P243" s="152">
        <f>+IF(OR($Q243=Parametres!$G$2,$Q243=Parametres!$G$3),K243,E243)</f>
        <v>1089.3399999999999</v>
      </c>
      <c r="Q243" s="151" t="str">
        <f t="shared" si="17"/>
        <v>6-Coût des ventes</v>
      </c>
      <c r="R243" s="150" t="str">
        <f t="shared" si="18"/>
        <v>4781</v>
      </c>
      <c r="S243" s="151">
        <f t="shared" si="19"/>
        <v>0</v>
      </c>
      <c r="T243" s="153">
        <f>+VLOOKUP($L243,Data_Validation!$A:$D,1,0)</f>
        <v>5785</v>
      </c>
      <c r="U243" s="153" t="str">
        <f>+VLOOKUP($L243,Data_Validation!$A:$D,3,0)</f>
        <v>Pièces</v>
      </c>
      <c r="V243" s="153" t="str">
        <f>+VLOOKUP($L243,Data_Validation!$A:$D,4,0)</f>
        <v>Ventes Pneus</v>
      </c>
      <c r="W243" s="153" t="str">
        <f>+VLOOKUP($L243,Data_Validation!$A:$E,5,0)</f>
        <v>$</v>
      </c>
      <c r="X243" s="153">
        <f>+VLOOKUP($L243,Data_Validation!$A:$F,6,0)</f>
        <v>0</v>
      </c>
    </row>
    <row r="244" spans="1:24" ht="15" customHeight="1">
      <c r="A244" s="1193" t="s">
        <v>2128</v>
      </c>
      <c r="B244" s="1194">
        <v>5796</v>
      </c>
      <c r="C244" s="1197">
        <v>842.79</v>
      </c>
      <c r="D244" s="1197">
        <v>-6915.28</v>
      </c>
      <c r="E244" s="1197">
        <v>-6072.49</v>
      </c>
      <c r="F244" s="1193" t="s">
        <v>421</v>
      </c>
      <c r="G244" s="1193" t="s">
        <v>2130</v>
      </c>
      <c r="H244" s="1201"/>
      <c r="I244" s="1206"/>
      <c r="J244" s="1201"/>
      <c r="K244" s="1206"/>
      <c r="L244" s="150">
        <f t="shared" si="15"/>
        <v>5796</v>
      </c>
      <c r="M244" s="151" t="str">
        <f t="shared" si="16"/>
        <v>C/V - BONI / ESCPTE PI VW</v>
      </c>
      <c r="N244" s="152">
        <f>+IF(OR($Q244=Parametres!$G$2,$Q244=Parametres!$G$3),I244,C244)</f>
        <v>842.79</v>
      </c>
      <c r="O244" s="1084">
        <f>+IF(OR($Q244=Parametres!$G$2,$Q244=Parametres!$G$3),J244,D244)</f>
        <v>-6915.28</v>
      </c>
      <c r="P244" s="152">
        <f>+IF(OR($Q244=Parametres!$G$2,$Q244=Parametres!$G$3),K244,E244)</f>
        <v>-6072.49</v>
      </c>
      <c r="Q244" s="151" t="str">
        <f t="shared" si="17"/>
        <v>6-Coût des ventes</v>
      </c>
      <c r="R244" s="150" t="str">
        <f t="shared" si="18"/>
        <v>5792</v>
      </c>
      <c r="S244" s="151">
        <f t="shared" si="19"/>
        <v>0</v>
      </c>
      <c r="T244" s="153">
        <f>+VLOOKUP($L244,Data_Validation!$A:$D,1,0)</f>
        <v>5796</v>
      </c>
      <c r="U244" s="153" t="str">
        <f>+VLOOKUP($L244,Data_Validation!$A:$D,3,0)</f>
        <v>Pièces</v>
      </c>
      <c r="V244" s="153" t="str">
        <f>+VLOOKUP($L244,Data_Validation!$A:$D,4,0)</f>
        <v>Escomptes</v>
      </c>
      <c r="W244" s="153" t="str">
        <f>+VLOOKUP($L244,Data_Validation!$A:$E,5,0)</f>
        <v>$</v>
      </c>
      <c r="X244" s="153">
        <f>+VLOOKUP($L244,Data_Validation!$A:$F,6,0)</f>
        <v>0</v>
      </c>
    </row>
    <row r="245" spans="1:24" ht="15" customHeight="1">
      <c r="A245" s="1193" t="s">
        <v>1520</v>
      </c>
      <c r="B245" s="1194">
        <v>6101</v>
      </c>
      <c r="C245" s="1197">
        <v>148575.35</v>
      </c>
      <c r="D245" s="1197">
        <v>50247.99</v>
      </c>
      <c r="E245" s="1197">
        <v>198823.34</v>
      </c>
      <c r="F245" s="1193" t="s">
        <v>398</v>
      </c>
      <c r="G245" s="1193" t="s">
        <v>2772</v>
      </c>
      <c r="H245" s="1201"/>
      <c r="I245" s="1202"/>
      <c r="J245" s="1202"/>
      <c r="K245" s="1202"/>
      <c r="L245" s="150">
        <f t="shared" si="15"/>
        <v>6101</v>
      </c>
      <c r="M245" s="151" t="str">
        <f t="shared" si="16"/>
        <v>COMMISSION VENDEUR NEUFS</v>
      </c>
      <c r="N245" s="152">
        <f>+IF(OR($Q245=Parametres!$G$2,$Q245=Parametres!$G$3),I245,C245)</f>
        <v>148575.35</v>
      </c>
      <c r="O245" s="1084">
        <f>+IF(OR($Q245=Parametres!$G$2,$Q245=Parametres!$G$3),J245,D245)</f>
        <v>50247.99</v>
      </c>
      <c r="P245" s="152">
        <f>+IF(OR($Q245=Parametres!$G$2,$Q245=Parametres!$G$3),K245,E245)</f>
        <v>198823.34</v>
      </c>
      <c r="Q245" s="151" t="str">
        <f t="shared" si="17"/>
        <v>7-Dépenses</v>
      </c>
      <c r="R245" s="150" t="str">
        <f t="shared" si="18"/>
        <v>6101</v>
      </c>
      <c r="S245" s="151">
        <f t="shared" si="19"/>
        <v>0</v>
      </c>
      <c r="T245" s="153">
        <f>+VLOOKUP($L245,Data_Validation!$A:$D,1,0)</f>
        <v>6101</v>
      </c>
      <c r="U245" s="153" t="str">
        <f>+VLOOKUP($L245,Data_Validation!$A:$D,3,0)</f>
        <v>Véhicules neufs</v>
      </c>
      <c r="V245" s="153" t="str">
        <f>+VLOOKUP($L245,Data_Validation!$A:$D,4,0)</f>
        <v>Comm. vendeurs</v>
      </c>
      <c r="W245" s="153" t="str">
        <f>+VLOOKUP($L245,Data_Validation!$A:$E,5,0)</f>
        <v>$</v>
      </c>
      <c r="X245" s="153">
        <f>+VLOOKUP($L245,Data_Validation!$A:$F,6,0)</f>
        <v>0</v>
      </c>
    </row>
    <row r="246" spans="1:24" ht="15" customHeight="1">
      <c r="A246" s="1193" t="s">
        <v>1439</v>
      </c>
      <c r="B246" s="1194">
        <v>6102</v>
      </c>
      <c r="C246" s="1197">
        <v>48585.59</v>
      </c>
      <c r="D246" s="1197">
        <v>20885.45</v>
      </c>
      <c r="E246" s="1197">
        <v>69471.039999999994</v>
      </c>
      <c r="F246" s="1193" t="s">
        <v>398</v>
      </c>
      <c r="G246" s="1193" t="s">
        <v>2761</v>
      </c>
      <c r="H246" s="948"/>
      <c r="I246" s="949"/>
      <c r="J246" s="949"/>
      <c r="K246" s="949"/>
      <c r="L246" s="150">
        <f t="shared" si="15"/>
        <v>6102</v>
      </c>
      <c r="M246" s="151" t="str">
        <f t="shared" si="16"/>
        <v>RENUMERATION F &amp; I</v>
      </c>
      <c r="N246" s="152">
        <f>+IF(OR($Q246=Parametres!$G$2,$Q246=Parametres!$G$3),I246,C246)</f>
        <v>48585.59</v>
      </c>
      <c r="O246" s="1084">
        <f>+IF(OR($Q246=Parametres!$G$2,$Q246=Parametres!$G$3),J246,D246)</f>
        <v>20885.45</v>
      </c>
      <c r="P246" s="152">
        <f>+IF(OR($Q246=Parametres!$G$2,$Q246=Parametres!$G$3),K246,E246)</f>
        <v>69471.039999999994</v>
      </c>
      <c r="Q246" s="151" t="str">
        <f t="shared" si="17"/>
        <v>7-Dépenses</v>
      </c>
      <c r="R246" s="150" t="str">
        <f t="shared" si="18"/>
        <v>6102</v>
      </c>
      <c r="S246" s="151">
        <f t="shared" si="19"/>
        <v>0</v>
      </c>
      <c r="T246" s="153">
        <f>+VLOOKUP($L246,Data_Validation!$A:$D,1,0)</f>
        <v>6102</v>
      </c>
      <c r="U246" s="153" t="str">
        <f>+VLOOKUP($L246,Data_Validation!$A:$D,3,0)</f>
        <v>Véhicules neufs</v>
      </c>
      <c r="V246" s="153" t="str">
        <f>+VLOOKUP($L246,Data_Validation!$A:$D,4,0)</f>
        <v>Comm. F&amp;I</v>
      </c>
      <c r="W246" s="153" t="str">
        <f>+VLOOKUP($L246,Data_Validation!$A:$E,5,0)</f>
        <v>$</v>
      </c>
      <c r="X246" s="153">
        <f>+VLOOKUP($L246,Data_Validation!$A:$F,6,0)</f>
        <v>0</v>
      </c>
    </row>
    <row r="247" spans="1:24" ht="15.75" customHeight="1">
      <c r="A247" s="1193" t="s">
        <v>396</v>
      </c>
      <c r="B247" s="1194">
        <v>6103</v>
      </c>
      <c r="C247" s="1197">
        <v>256</v>
      </c>
      <c r="D247" s="1197" t="s">
        <v>3444</v>
      </c>
      <c r="E247" s="1197">
        <v>256</v>
      </c>
      <c r="F247" s="1193" t="s">
        <v>398</v>
      </c>
      <c r="G247" s="1193" t="s">
        <v>2697</v>
      </c>
      <c r="H247" s="1201"/>
      <c r="I247" s="1201"/>
      <c r="J247" s="1201"/>
      <c r="K247" s="1206"/>
      <c r="L247" s="150">
        <f t="shared" si="15"/>
        <v>6103</v>
      </c>
      <c r="M247" s="151" t="str">
        <f t="shared" si="16"/>
        <v>RELAT. A LA CLIENTELE &amp; AJUST.</v>
      </c>
      <c r="N247" s="152">
        <f>+IF(OR($Q247=Parametres!$G$2,$Q247=Parametres!$G$3),I247,C247)</f>
        <v>256</v>
      </c>
      <c r="O247" s="1082" t="str">
        <f>+IF(OR($Q247=Parametres!$G$2,$Q247=Parametres!$G$3),J247,D247)</f>
        <v xml:space="preserve">                       -   </v>
      </c>
      <c r="P247" s="152">
        <f>+IF(OR($Q247=Parametres!$G$2,$Q247=Parametres!$G$3),K247,E247)</f>
        <v>256</v>
      </c>
      <c r="Q247" s="151" t="str">
        <f t="shared" si="17"/>
        <v>7-Dépenses</v>
      </c>
      <c r="R247" s="150" t="str">
        <f t="shared" si="18"/>
        <v>6103</v>
      </c>
      <c r="S247" s="151">
        <f t="shared" si="19"/>
        <v>0</v>
      </c>
      <c r="T247" s="153">
        <f>+VLOOKUP($L247,Data_Validation!$A:$D,1,0)</f>
        <v>6103</v>
      </c>
      <c r="U247" s="153" t="str">
        <f>+VLOOKUP($L247,Data_Validation!$A:$D,3,0)</f>
        <v>Véhicules neufs</v>
      </c>
      <c r="V247" s="153" t="str">
        <f>+VLOOKUP($L247,Data_Validation!$A:$D,4,0)</f>
        <v>Service gratuit 1</v>
      </c>
      <c r="W247" s="153" t="str">
        <f>+VLOOKUP($L247,Data_Validation!$A:$E,5,0)</f>
        <v>$</v>
      </c>
      <c r="X247" s="153">
        <f>+VLOOKUP($L247,Data_Validation!$A:$F,6,0)</f>
        <v>0</v>
      </c>
    </row>
    <row r="248" spans="1:24" ht="15" customHeight="1">
      <c r="A248" s="1193" t="s">
        <v>2748</v>
      </c>
      <c r="B248" s="1194">
        <v>6106</v>
      </c>
      <c r="C248" s="1197">
        <v>16267.4</v>
      </c>
      <c r="D248" s="1197">
        <v>4635.38</v>
      </c>
      <c r="E248" s="1197">
        <v>20902.78</v>
      </c>
      <c r="F248" s="1193" t="s">
        <v>398</v>
      </c>
      <c r="G248" s="1193" t="s">
        <v>2750</v>
      </c>
      <c r="H248" s="1201"/>
      <c r="I248" s="1202"/>
      <c r="J248" s="1202"/>
      <c r="K248" s="1202"/>
      <c r="L248" s="150">
        <f t="shared" si="15"/>
        <v>6106</v>
      </c>
      <c r="M248" s="151" t="str">
        <f t="shared" si="16"/>
        <v>ENTRETIEN DES STOCKS</v>
      </c>
      <c r="N248" s="152">
        <f>+IF(OR($Q248=Parametres!$G$2,$Q248=Parametres!$G$3),I248,C248)</f>
        <v>16267.4</v>
      </c>
      <c r="O248" s="1084">
        <f>+IF(OR($Q248=Parametres!$G$2,$Q248=Parametres!$G$3),J248,D248)</f>
        <v>4635.38</v>
      </c>
      <c r="P248" s="152">
        <f>+IF(OR($Q248=Parametres!$G$2,$Q248=Parametres!$G$3),K248,E248)</f>
        <v>20902.78</v>
      </c>
      <c r="Q248" s="151" t="str">
        <f t="shared" si="17"/>
        <v>7-Dépenses</v>
      </c>
      <c r="R248" s="150" t="str">
        <f t="shared" si="18"/>
        <v>6106</v>
      </c>
      <c r="S248" s="151">
        <f t="shared" si="19"/>
        <v>0</v>
      </c>
      <c r="T248" s="153">
        <f>+VLOOKUP($L248,Data_Validation!$A:$D,1,0)</f>
        <v>6106</v>
      </c>
      <c r="U248" s="153" t="str">
        <f>+VLOOKUP($L248,Data_Validation!$A:$D,3,0)</f>
        <v>Véhicules neufs</v>
      </c>
      <c r="V248" s="153" t="str">
        <f>+VLOOKUP($L248,Data_Validation!$A:$D,4,0)</f>
        <v>Entretien stock</v>
      </c>
      <c r="W248" s="153" t="str">
        <f>+VLOOKUP($L248,Data_Validation!$A:$E,5,0)</f>
        <v>$</v>
      </c>
      <c r="X248" s="153">
        <f>+VLOOKUP($L248,Data_Validation!$A:$F,6,0)</f>
        <v>0</v>
      </c>
    </row>
    <row r="249" spans="1:24" ht="15" customHeight="1">
      <c r="A249" s="1193" t="s">
        <v>935</v>
      </c>
      <c r="B249" s="1194">
        <v>6107</v>
      </c>
      <c r="C249" s="1197">
        <v>3457.58</v>
      </c>
      <c r="D249" s="1197">
        <v>271.95999999999998</v>
      </c>
      <c r="E249" s="1197">
        <v>3729.54</v>
      </c>
      <c r="F249" s="1193" t="s">
        <v>398</v>
      </c>
      <c r="G249" s="1193" t="s">
        <v>2603</v>
      </c>
      <c r="H249" s="1201"/>
      <c r="I249" s="1202"/>
      <c r="J249" s="1202"/>
      <c r="K249" s="1202"/>
      <c r="L249" s="150">
        <f t="shared" si="15"/>
        <v>6107</v>
      </c>
      <c r="M249" s="151" t="str">
        <f t="shared" si="16"/>
        <v>INTERET-PLAN DE FINANCEMENT</v>
      </c>
      <c r="N249" s="152">
        <f>+IF(OR($Q249=Parametres!$G$2,$Q249=Parametres!$G$3),I249,C249)</f>
        <v>3457.58</v>
      </c>
      <c r="O249" s="1082">
        <f>+IF(OR($Q249=Parametres!$G$2,$Q249=Parametres!$G$3),J249,D249)</f>
        <v>271.95999999999998</v>
      </c>
      <c r="P249" s="152">
        <f>+IF(OR($Q249=Parametres!$G$2,$Q249=Parametres!$G$3),K249,E249)</f>
        <v>3729.54</v>
      </c>
      <c r="Q249" s="151" t="str">
        <f t="shared" si="17"/>
        <v>7-Dépenses</v>
      </c>
      <c r="R249" s="150" t="str">
        <f t="shared" si="18"/>
        <v>6107</v>
      </c>
      <c r="S249" s="151">
        <f t="shared" si="19"/>
        <v>0</v>
      </c>
      <c r="T249" s="153">
        <f>+VLOOKUP($L249,Data_Validation!$A:$D,1,0)</f>
        <v>6107</v>
      </c>
      <c r="U249" s="153" t="str">
        <f>+VLOOKUP($L249,Data_Validation!$A:$D,3,0)</f>
        <v>Véhicules neufs</v>
      </c>
      <c r="V249" s="153" t="str">
        <f>+VLOOKUP($L249,Data_Validation!$A:$D,4,0)</f>
        <v>Intérêt de gros</v>
      </c>
      <c r="W249" s="153" t="str">
        <f>+VLOOKUP($L249,Data_Validation!$A:$E,5,0)</f>
        <v>$</v>
      </c>
      <c r="X249" s="153">
        <f>+VLOOKUP($L249,Data_Validation!$A:$F,6,0)</f>
        <v>0</v>
      </c>
    </row>
    <row r="250" spans="1:24" ht="15" customHeight="1">
      <c r="A250" s="1193" t="s">
        <v>1404</v>
      </c>
      <c r="B250" s="1194">
        <v>6108</v>
      </c>
      <c r="C250" s="1197">
        <v>17354.96</v>
      </c>
      <c r="D250" s="1197">
        <v>4817.6899999999996</v>
      </c>
      <c r="E250" s="1197">
        <v>22172.65</v>
      </c>
      <c r="F250" s="1193" t="s">
        <v>398</v>
      </c>
      <c r="G250" s="1193" t="s">
        <v>2687</v>
      </c>
      <c r="H250" s="948"/>
      <c r="I250" s="951"/>
      <c r="J250" s="951"/>
      <c r="K250" s="951"/>
      <c r="L250" s="150">
        <f t="shared" si="15"/>
        <v>6108</v>
      </c>
      <c r="M250" s="151" t="str">
        <f t="shared" si="16"/>
        <v>FRAIS DE LIVRAISON</v>
      </c>
      <c r="N250" s="152">
        <f>+IF(OR($Q250=Parametres!$G$2,$Q250=Parametres!$G$3),I250,C250)</f>
        <v>17354.96</v>
      </c>
      <c r="O250" s="1084">
        <f>+IF(OR($Q250=Parametres!$G$2,$Q250=Parametres!$G$3),J250,D250)</f>
        <v>4817.6899999999996</v>
      </c>
      <c r="P250" s="152">
        <f>+IF(OR($Q250=Parametres!$G$2,$Q250=Parametres!$G$3),K250,E250)</f>
        <v>22172.65</v>
      </c>
      <c r="Q250" s="151" t="str">
        <f t="shared" si="17"/>
        <v>7-Dépenses</v>
      </c>
      <c r="R250" s="150" t="str">
        <f t="shared" si="18"/>
        <v>6108</v>
      </c>
      <c r="S250" s="151">
        <f t="shared" si="19"/>
        <v>0</v>
      </c>
      <c r="T250" s="153">
        <f>+VLOOKUP($L250,Data_Validation!$A:$D,1,0)</f>
        <v>6108</v>
      </c>
      <c r="U250" s="153" t="str">
        <f>+VLOOKUP($L250,Data_Validation!$A:$D,3,0)</f>
        <v>Véhicules neufs</v>
      </c>
      <c r="V250" s="153" t="str">
        <f>+VLOOKUP($L250,Data_Validation!$A:$D,4,0)</f>
        <v>Frais de livraison</v>
      </c>
      <c r="W250" s="153" t="str">
        <f>+VLOOKUP($L250,Data_Validation!$A:$E,5,0)</f>
        <v>$</v>
      </c>
      <c r="X250" s="153">
        <f>+VLOOKUP($L250,Data_Validation!$A:$F,6,0)</f>
        <v>0</v>
      </c>
    </row>
    <row r="251" spans="1:24" ht="15" customHeight="1">
      <c r="A251" s="1193" t="s">
        <v>1371</v>
      </c>
      <c r="B251" s="1194">
        <v>6114</v>
      </c>
      <c r="C251" s="1197">
        <v>62506.27</v>
      </c>
      <c r="D251" s="1197">
        <v>22204.73</v>
      </c>
      <c r="E251" s="1197">
        <v>84711</v>
      </c>
      <c r="F251" s="1193" t="s">
        <v>398</v>
      </c>
      <c r="G251" s="1193" t="s">
        <v>2106</v>
      </c>
      <c r="H251" s="948"/>
      <c r="I251" s="949"/>
      <c r="J251" s="949"/>
      <c r="K251" s="949"/>
      <c r="L251" s="150">
        <f t="shared" si="15"/>
        <v>6114</v>
      </c>
      <c r="M251" s="151" t="str">
        <f t="shared" si="16"/>
        <v>PUBLICITE</v>
      </c>
      <c r="N251" s="152">
        <f>+IF(OR($Q251=Parametres!$G$2,$Q251=Parametres!$G$3),I251,C251)</f>
        <v>62506.27</v>
      </c>
      <c r="O251" s="1084">
        <f>+IF(OR($Q251=Parametres!$G$2,$Q251=Parametres!$G$3),J251,D251)</f>
        <v>22204.73</v>
      </c>
      <c r="P251" s="152">
        <f>+IF(OR($Q251=Parametres!$G$2,$Q251=Parametres!$G$3),K251,E251)</f>
        <v>84711</v>
      </c>
      <c r="Q251" s="151" t="str">
        <f t="shared" si="17"/>
        <v>7-Dépenses</v>
      </c>
      <c r="R251" s="150" t="str">
        <f t="shared" si="18"/>
        <v>6114</v>
      </c>
      <c r="S251" s="151">
        <f t="shared" si="19"/>
        <v>0</v>
      </c>
      <c r="T251" s="153">
        <f>+VLOOKUP($L251,Data_Validation!$A:$D,1,0)</f>
        <v>6114</v>
      </c>
      <c r="U251" s="153" t="str">
        <f>+VLOOKUP($L251,Data_Validation!$A:$D,3,0)</f>
        <v>Véhicules neufs</v>
      </c>
      <c r="V251" s="153" t="str">
        <f>+VLOOKUP($L251,Data_Validation!$A:$D,4,0)</f>
        <v>Publicité 1</v>
      </c>
      <c r="W251" s="153" t="str">
        <f>+VLOOKUP($L251,Data_Validation!$A:$E,5,0)</f>
        <v>$</v>
      </c>
      <c r="X251" s="153">
        <f>+VLOOKUP($L251,Data_Validation!$A:$F,6,0)</f>
        <v>0</v>
      </c>
    </row>
    <row r="252" spans="1:24" ht="15.75" customHeight="1">
      <c r="A252" s="1193" t="s">
        <v>2104</v>
      </c>
      <c r="B252" s="1194">
        <v>6115</v>
      </c>
      <c r="C252" s="1197">
        <v>-13300</v>
      </c>
      <c r="D252" s="1197">
        <v>-4600</v>
      </c>
      <c r="E252" s="1197">
        <v>-17900</v>
      </c>
      <c r="F252" s="1193" t="s">
        <v>398</v>
      </c>
      <c r="G252" s="1193" t="s">
        <v>2106</v>
      </c>
      <c r="H252" s="1201"/>
      <c r="I252" s="1206"/>
      <c r="J252" s="1201"/>
      <c r="K252" s="1206"/>
      <c r="L252" s="150">
        <f t="shared" si="15"/>
        <v>6115</v>
      </c>
      <c r="M252" s="151" t="str">
        <f t="shared" si="16"/>
        <v>CREDIT PUBLICITE NEUF</v>
      </c>
      <c r="N252" s="152">
        <f>+IF(OR($Q252=Parametres!$G$2,$Q252=Parametres!$G$3),I252,C252)</f>
        <v>-13300</v>
      </c>
      <c r="O252" s="1084">
        <f>+IF(OR($Q252=Parametres!$G$2,$Q252=Parametres!$G$3),J252,D252)</f>
        <v>-4600</v>
      </c>
      <c r="P252" s="152">
        <f>+IF(OR($Q252=Parametres!$G$2,$Q252=Parametres!$G$3),K252,E252)</f>
        <v>-17900</v>
      </c>
      <c r="Q252" s="151" t="str">
        <f t="shared" si="17"/>
        <v>7-Dépenses</v>
      </c>
      <c r="R252" s="150" t="str">
        <f t="shared" si="18"/>
        <v>6114</v>
      </c>
      <c r="S252" s="151">
        <f t="shared" si="19"/>
        <v>0</v>
      </c>
      <c r="T252" s="153">
        <f>+VLOOKUP($L252,Data_Validation!$A:$D,1,0)</f>
        <v>6115</v>
      </c>
      <c r="U252" s="153" t="str">
        <f>+VLOOKUP($L252,Data_Validation!$A:$D,3,0)</f>
        <v>Véhicules neufs</v>
      </c>
      <c r="V252" s="153" t="str">
        <f>+VLOOKUP($L252,Data_Validation!$A:$D,4,0)</f>
        <v>Publicité 1</v>
      </c>
      <c r="W252" s="153" t="str">
        <f>+VLOOKUP($L252,Data_Validation!$A:$E,5,0)</f>
        <v>$</v>
      </c>
      <c r="X252" s="153">
        <f>+VLOOKUP($L252,Data_Validation!$A:$F,6,0)</f>
        <v>0</v>
      </c>
    </row>
    <row r="253" spans="1:24" ht="15" customHeight="1">
      <c r="A253" s="1193" t="s">
        <v>1256</v>
      </c>
      <c r="B253" s="1194">
        <v>6121</v>
      </c>
      <c r="C253" s="1197">
        <v>28388.15</v>
      </c>
      <c r="D253" s="1197">
        <v>7670.59</v>
      </c>
      <c r="E253" s="1197">
        <v>36058.74</v>
      </c>
      <c r="F253" s="1193" t="s">
        <v>398</v>
      </c>
      <c r="G253" s="1193" t="s">
        <v>2639</v>
      </c>
      <c r="H253" s="1201"/>
      <c r="I253" s="1202"/>
      <c r="J253" s="1202"/>
      <c r="K253" s="1202"/>
      <c r="L253" s="150">
        <f t="shared" si="15"/>
        <v>6121</v>
      </c>
      <c r="M253" s="151" t="str">
        <f t="shared" si="16"/>
        <v>SALAIRES - PROPRIETAIRES</v>
      </c>
      <c r="N253" s="152">
        <f>+IF(OR($Q253=Parametres!$G$2,$Q253=Parametres!$G$3),I253,C253)</f>
        <v>28388.15</v>
      </c>
      <c r="O253" s="1084">
        <f>+IF(OR($Q253=Parametres!$G$2,$Q253=Parametres!$G$3),J253,D253)</f>
        <v>7670.59</v>
      </c>
      <c r="P253" s="152">
        <f>+IF(OR($Q253=Parametres!$G$2,$Q253=Parametres!$G$3),K253,E253)</f>
        <v>36058.74</v>
      </c>
      <c r="Q253" s="151" t="str">
        <f t="shared" si="17"/>
        <v>7-Dépenses</v>
      </c>
      <c r="R253" s="150" t="str">
        <f t="shared" si="18"/>
        <v>6121</v>
      </c>
      <c r="S253" s="151">
        <f t="shared" si="19"/>
        <v>0</v>
      </c>
      <c r="T253" s="153">
        <f>+VLOOKUP($L253,Data_Validation!$A:$D,1,0)</f>
        <v>6121</v>
      </c>
      <c r="U253" s="153" t="str">
        <f>+VLOOKUP($L253,Data_Validation!$A:$D,3,0)</f>
        <v>Véhicules neufs</v>
      </c>
      <c r="V253" s="153" t="str">
        <f>+VLOOKUP($L253,Data_Validation!$A:$D,4,0)</f>
        <v>Salaires propriétaire</v>
      </c>
      <c r="W253" s="153" t="str">
        <f>+VLOOKUP($L253,Data_Validation!$A:$E,5,0)</f>
        <v>$</v>
      </c>
      <c r="X253" s="153">
        <f>+VLOOKUP($L253,Data_Validation!$A:$F,6,0)</f>
        <v>0</v>
      </c>
    </row>
    <row r="254" spans="1:24" ht="15" customHeight="1">
      <c r="A254" s="1193" t="s">
        <v>2615</v>
      </c>
      <c r="B254" s="1194">
        <v>6122</v>
      </c>
      <c r="C254" s="1197">
        <v>55566.61</v>
      </c>
      <c r="D254" s="1197">
        <v>14110.59</v>
      </c>
      <c r="E254" s="1197">
        <v>69677.2</v>
      </c>
      <c r="F254" s="1193" t="s">
        <v>398</v>
      </c>
      <c r="G254" s="1193" t="s">
        <v>2617</v>
      </c>
      <c r="H254" s="1201"/>
      <c r="I254" s="1201"/>
      <c r="J254" s="1201"/>
      <c r="K254" s="1206"/>
      <c r="L254" s="150">
        <f t="shared" si="15"/>
        <v>6122</v>
      </c>
      <c r="M254" s="151" t="str">
        <f t="shared" si="16"/>
        <v>SAL SUPERVISION / GERANT</v>
      </c>
      <c r="N254" s="152">
        <f>+IF(OR($Q254=Parametres!$G$2,$Q254=Parametres!$G$3),I254,C254)</f>
        <v>55566.61</v>
      </c>
      <c r="O254" s="1085">
        <f>+IF(OR($Q254=Parametres!$G$2,$Q254=Parametres!$G$3),J254,D254)</f>
        <v>14110.59</v>
      </c>
      <c r="P254" s="152">
        <f>+IF(OR($Q254=Parametres!$G$2,$Q254=Parametres!$G$3),K254,E254)</f>
        <v>69677.2</v>
      </c>
      <c r="Q254" s="151" t="str">
        <f t="shared" si="17"/>
        <v>7-Dépenses</v>
      </c>
      <c r="R254" s="150" t="str">
        <f t="shared" si="18"/>
        <v>6122</v>
      </c>
      <c r="S254" s="151">
        <f t="shared" si="19"/>
        <v>0</v>
      </c>
      <c r="T254" s="153">
        <f>+VLOOKUP($L254,Data_Validation!$A:$D,1,0)</f>
        <v>6122</v>
      </c>
      <c r="U254" s="153" t="str">
        <f>+VLOOKUP($L254,Data_Validation!$A:$D,3,0)</f>
        <v>Véhicules neufs</v>
      </c>
      <c r="V254" s="153" t="str">
        <f>+VLOOKUP($L254,Data_Validation!$A:$D,4,0)</f>
        <v>Salaires cadres</v>
      </c>
      <c r="W254" s="153" t="str">
        <f>+VLOOKUP($L254,Data_Validation!$A:$E,5,0)</f>
        <v>$</v>
      </c>
      <c r="X254" s="153">
        <f>+VLOOKUP($L254,Data_Validation!$A:$F,6,0)</f>
        <v>0</v>
      </c>
    </row>
    <row r="255" spans="1:24" ht="15" customHeight="1">
      <c r="A255" s="1193" t="s">
        <v>1339</v>
      </c>
      <c r="B255" s="1194">
        <v>6123</v>
      </c>
      <c r="C255" s="1197">
        <v>32821.61</v>
      </c>
      <c r="D255" s="1197">
        <v>7742.61</v>
      </c>
      <c r="E255" s="1197">
        <v>40564.22</v>
      </c>
      <c r="F255" s="1193" t="s">
        <v>398</v>
      </c>
      <c r="G255" s="1193" t="s">
        <v>2670</v>
      </c>
      <c r="H255" s="1201"/>
      <c r="I255" s="1202"/>
      <c r="J255" s="1202"/>
      <c r="K255" s="1202"/>
      <c r="L255" s="150">
        <f t="shared" si="15"/>
        <v>6123</v>
      </c>
      <c r="M255" s="151" t="str">
        <f t="shared" si="16"/>
        <v>SAL. &amp; RENUM. - CLERICAL</v>
      </c>
      <c r="N255" s="152">
        <f>+IF(OR($Q255=Parametres!$G$2,$Q255=Parametres!$G$3),I255,C255)</f>
        <v>32821.61</v>
      </c>
      <c r="O255" s="1084">
        <f>+IF(OR($Q255=Parametres!$G$2,$Q255=Parametres!$G$3),J255,D255)</f>
        <v>7742.61</v>
      </c>
      <c r="P255" s="152">
        <f>+IF(OR($Q255=Parametres!$G$2,$Q255=Parametres!$G$3),K255,E255)</f>
        <v>40564.22</v>
      </c>
      <c r="Q255" s="151" t="str">
        <f t="shared" si="17"/>
        <v>7-Dépenses</v>
      </c>
      <c r="R255" s="150" t="str">
        <f t="shared" si="18"/>
        <v>6123</v>
      </c>
      <c r="S255" s="151">
        <f t="shared" si="19"/>
        <v>0</v>
      </c>
      <c r="T255" s="153">
        <f>+VLOOKUP($L255,Data_Validation!$A:$D,1,0)</f>
        <v>6123</v>
      </c>
      <c r="U255" s="153" t="str">
        <f>+VLOOKUP($L255,Data_Validation!$A:$D,3,0)</f>
        <v>Véhicules neufs</v>
      </c>
      <c r="V255" s="153" t="str">
        <f>+VLOOKUP($L255,Data_Validation!$A:$D,4,0)</f>
        <v>Salaires commis</v>
      </c>
      <c r="W255" s="153" t="str">
        <f>+VLOOKUP($L255,Data_Validation!$A:$E,5,0)</f>
        <v>$</v>
      </c>
      <c r="X255" s="153">
        <f>+VLOOKUP($L255,Data_Validation!$A:$F,6,0)</f>
        <v>0</v>
      </c>
    </row>
    <row r="256" spans="1:24" ht="15.75" customHeight="1">
      <c r="A256" s="1193" t="s">
        <v>1246</v>
      </c>
      <c r="B256" s="1194">
        <v>6124</v>
      </c>
      <c r="C256" s="1197">
        <v>12913.78</v>
      </c>
      <c r="D256" s="1197">
        <v>4148.58</v>
      </c>
      <c r="E256" s="1197">
        <v>17062.36</v>
      </c>
      <c r="F256" s="1193" t="s">
        <v>398</v>
      </c>
      <c r="G256" s="1193" t="s">
        <v>2726</v>
      </c>
      <c r="H256" s="1201"/>
      <c r="I256" s="1201"/>
      <c r="J256" s="1201"/>
      <c r="K256" s="1201"/>
      <c r="L256" s="150">
        <f t="shared" si="15"/>
        <v>6124</v>
      </c>
      <c r="M256" s="151" t="str">
        <f t="shared" si="16"/>
        <v>SALAIRES &amp; RENUM. - AUTRES</v>
      </c>
      <c r="N256" s="152">
        <f>+IF(OR($Q256=Parametres!$G$2,$Q256=Parametres!$G$3),I256,C256)</f>
        <v>12913.78</v>
      </c>
      <c r="O256" s="1084">
        <f>+IF(OR($Q256=Parametres!$G$2,$Q256=Parametres!$G$3),J256,D256)</f>
        <v>4148.58</v>
      </c>
      <c r="P256" s="152">
        <f>+IF(OR($Q256=Parametres!$G$2,$Q256=Parametres!$G$3),K256,E256)</f>
        <v>17062.36</v>
      </c>
      <c r="Q256" s="151" t="str">
        <f t="shared" si="17"/>
        <v>7-Dépenses</v>
      </c>
      <c r="R256" s="150" t="str">
        <f t="shared" si="18"/>
        <v>6124</v>
      </c>
      <c r="S256" s="151">
        <f t="shared" si="19"/>
        <v>0</v>
      </c>
      <c r="T256" s="153">
        <f>+VLOOKUP($L256,Data_Validation!$A:$D,1,0)</f>
        <v>6124</v>
      </c>
      <c r="U256" s="153" t="str">
        <f>+VLOOKUP($L256,Data_Validation!$A:$D,3,0)</f>
        <v>Véhicules neufs</v>
      </c>
      <c r="V256" s="153" t="str">
        <f>+VLOOKUP($L256,Data_Validation!$A:$D,4,0)</f>
        <v>Salaires autres</v>
      </c>
      <c r="W256" s="153" t="str">
        <f>+VLOOKUP($L256,Data_Validation!$A:$E,5,0)</f>
        <v>$</v>
      </c>
      <c r="X256" s="153">
        <f>+VLOOKUP($L256,Data_Validation!$A:$F,6,0)</f>
        <v>0</v>
      </c>
    </row>
    <row r="257" spans="1:24" ht="15" customHeight="1">
      <c r="A257" s="1193" t="s">
        <v>1442</v>
      </c>
      <c r="B257" s="1194">
        <v>6129</v>
      </c>
      <c r="C257" s="1197">
        <v>43498.44</v>
      </c>
      <c r="D257" s="1197">
        <v>16348.41</v>
      </c>
      <c r="E257" s="1197">
        <v>59846.85</v>
      </c>
      <c r="F257" s="1193" t="s">
        <v>398</v>
      </c>
      <c r="G257" s="1193" t="s">
        <v>2632</v>
      </c>
      <c r="H257" s="1201"/>
      <c r="I257" s="1201"/>
      <c r="J257" s="1201"/>
      <c r="K257" s="1201"/>
      <c r="L257" s="150">
        <f t="shared" si="15"/>
        <v>6129</v>
      </c>
      <c r="M257" s="151" t="str">
        <f t="shared" si="16"/>
        <v>ABS., VACANCE &amp; SAL. JOURS FER</v>
      </c>
      <c r="N257" s="152">
        <f>+IF(OR($Q257=Parametres!$G$2,$Q257=Parametres!$G$3),I257,C257)</f>
        <v>43498.44</v>
      </c>
      <c r="O257" s="1084">
        <f>+IF(OR($Q257=Parametres!$G$2,$Q257=Parametres!$G$3),J257,D257)</f>
        <v>16348.41</v>
      </c>
      <c r="P257" s="152">
        <f>+IF(OR($Q257=Parametres!$G$2,$Q257=Parametres!$G$3),K257,E257)</f>
        <v>59846.85</v>
      </c>
      <c r="Q257" s="151" t="str">
        <f t="shared" si="17"/>
        <v>7-Dépenses</v>
      </c>
      <c r="R257" s="150" t="str">
        <f t="shared" si="18"/>
        <v>6129</v>
      </c>
      <c r="S257" s="151">
        <f t="shared" si="19"/>
        <v>0</v>
      </c>
      <c r="T257" s="153">
        <f>+VLOOKUP($L257,Data_Validation!$A:$D,1,0)</f>
        <v>6129</v>
      </c>
      <c r="U257" s="153" t="str">
        <f>+VLOOKUP($L257,Data_Validation!$A:$D,3,0)</f>
        <v>Véhicules neufs</v>
      </c>
      <c r="V257" s="153" t="str">
        <f>+VLOOKUP($L257,Data_Validation!$A:$D,4,0)</f>
        <v>Salaires en absences</v>
      </c>
      <c r="W257" s="153" t="str">
        <f>+VLOOKUP($L257,Data_Validation!$A:$E,5,0)</f>
        <v>$</v>
      </c>
      <c r="X257" s="153">
        <f>+VLOOKUP($L257,Data_Validation!$A:$F,6,0)</f>
        <v>0</v>
      </c>
    </row>
    <row r="258" spans="1:24" ht="15" customHeight="1">
      <c r="A258" s="1193" t="s">
        <v>1249</v>
      </c>
      <c r="B258" s="1194">
        <v>6131</v>
      </c>
      <c r="C258" s="1197">
        <v>10757.99</v>
      </c>
      <c r="D258" s="1197">
        <v>2116.52</v>
      </c>
      <c r="E258" s="1197">
        <v>12874.51</v>
      </c>
      <c r="F258" s="1193" t="s">
        <v>398</v>
      </c>
      <c r="G258" s="1193" t="s">
        <v>2577</v>
      </c>
      <c r="H258" s="948"/>
      <c r="I258" s="949"/>
      <c r="J258" s="949"/>
      <c r="K258" s="949"/>
      <c r="L258" s="150">
        <f t="shared" ref="L258:L321" si="20">+B258</f>
        <v>6131</v>
      </c>
      <c r="M258" s="151" t="str">
        <f t="shared" ref="M258:M321" si="21">+A258</f>
        <v>CSST</v>
      </c>
      <c r="N258" s="152">
        <f>+IF(OR($Q258=Parametres!$G$2,$Q258=Parametres!$G$3),I258,C258)</f>
        <v>10757.99</v>
      </c>
      <c r="O258" s="1084">
        <f>+IF(OR($Q258=Parametres!$G$2,$Q258=Parametres!$G$3),J258,D258)</f>
        <v>2116.52</v>
      </c>
      <c r="P258" s="152">
        <f>+IF(OR($Q258=Parametres!$G$2,$Q258=Parametres!$G$3),K258,E258)</f>
        <v>12874.51</v>
      </c>
      <c r="Q258" s="151" t="str">
        <f t="shared" ref="Q258:Q321" si="22">+F258</f>
        <v>7-Dépenses</v>
      </c>
      <c r="R258" s="150" t="str">
        <f t="shared" ref="R258:R321" si="23">+G258</f>
        <v>6131</v>
      </c>
      <c r="S258" s="151">
        <f t="shared" ref="S258:S321" si="24">+H258</f>
        <v>0</v>
      </c>
      <c r="T258" s="153">
        <f>+VLOOKUP($L258,Data_Validation!$A:$D,1,0)</f>
        <v>6131</v>
      </c>
      <c r="U258" s="153" t="str">
        <f>+VLOOKUP($L258,Data_Validation!$A:$D,3,0)</f>
        <v>Véhicules neufs</v>
      </c>
      <c r="V258" s="153" t="str">
        <f>+VLOOKUP($L258,Data_Validation!$A:$D,4,0)</f>
        <v>Csst</v>
      </c>
      <c r="W258" s="153" t="str">
        <f>+VLOOKUP($L258,Data_Validation!$A:$E,5,0)</f>
        <v>$</v>
      </c>
      <c r="X258" s="153">
        <f>+VLOOKUP($L258,Data_Validation!$A:$F,6,0)</f>
        <v>0</v>
      </c>
    </row>
    <row r="259" spans="1:24" ht="15" customHeight="1">
      <c r="A259" s="1193" t="s">
        <v>1280</v>
      </c>
      <c r="B259" s="1194">
        <v>6132</v>
      </c>
      <c r="C259" s="1197">
        <v>58840.53</v>
      </c>
      <c r="D259" s="1197">
        <v>18335.87</v>
      </c>
      <c r="E259" s="1197">
        <v>77176.399999999994</v>
      </c>
      <c r="F259" s="1193" t="s">
        <v>398</v>
      </c>
      <c r="G259" s="1193" t="s">
        <v>2676</v>
      </c>
      <c r="H259" s="928"/>
      <c r="I259" s="927"/>
      <c r="J259" s="927"/>
      <c r="K259" s="927"/>
      <c r="L259" s="150">
        <f t="shared" si="20"/>
        <v>6132</v>
      </c>
      <c r="M259" s="151" t="str">
        <f t="shared" si="21"/>
        <v>RRQ RAMQ AC</v>
      </c>
      <c r="N259" s="152">
        <f>+IF(OR($Q259=Parametres!$G$2,$Q259=Parametres!$G$3),I259,C259)</f>
        <v>58840.53</v>
      </c>
      <c r="O259" s="1084">
        <f>+IF(OR($Q259=Parametres!$G$2,$Q259=Parametres!$G$3),J259,D259)</f>
        <v>18335.87</v>
      </c>
      <c r="P259" s="152">
        <f>+IF(OR($Q259=Parametres!$G$2,$Q259=Parametres!$G$3),K259,E259)</f>
        <v>77176.399999999994</v>
      </c>
      <c r="Q259" s="151" t="str">
        <f t="shared" si="22"/>
        <v>7-Dépenses</v>
      </c>
      <c r="R259" s="150" t="str">
        <f t="shared" si="23"/>
        <v>6132</v>
      </c>
      <c r="S259" s="151">
        <f t="shared" si="24"/>
        <v>0</v>
      </c>
      <c r="T259" s="153">
        <f>+VLOOKUP($L259,Data_Validation!$A:$D,1,0)</f>
        <v>6132</v>
      </c>
      <c r="U259" s="153" t="str">
        <f>+VLOOKUP($L259,Data_Validation!$A:$D,3,0)</f>
        <v>Véhicules neufs</v>
      </c>
      <c r="V259" s="153" t="str">
        <f>+VLOOKUP($L259,Data_Validation!$A:$D,4,0)</f>
        <v>Déduction à la source</v>
      </c>
      <c r="W259" s="153" t="str">
        <f>+VLOOKUP($L259,Data_Validation!$A:$E,5,0)</f>
        <v>$</v>
      </c>
      <c r="X259" s="153">
        <f>+VLOOKUP($L259,Data_Validation!$A:$F,6,0)</f>
        <v>0</v>
      </c>
    </row>
    <row r="260" spans="1:24" ht="15" customHeight="1">
      <c r="A260" s="1193" t="s">
        <v>1411</v>
      </c>
      <c r="B260" s="1194">
        <v>6139</v>
      </c>
      <c r="C260" s="1197">
        <v>23509.119999999999</v>
      </c>
      <c r="D260" s="1197">
        <v>6650.68</v>
      </c>
      <c r="E260" s="1197">
        <v>30159.8</v>
      </c>
      <c r="F260" s="1193" t="s">
        <v>398</v>
      </c>
      <c r="G260" s="1193" t="s">
        <v>2685</v>
      </c>
      <c r="H260" s="948"/>
      <c r="I260" s="949"/>
      <c r="J260" s="949"/>
      <c r="K260" s="949"/>
      <c r="L260" s="150">
        <f t="shared" si="20"/>
        <v>6139</v>
      </c>
      <c r="M260" s="151" t="str">
        <f t="shared" si="21"/>
        <v>ASSURANCE GROUPS</v>
      </c>
      <c r="N260" s="152">
        <f>+IF(OR($Q260=Parametres!$G$2,$Q260=Parametres!$G$3),I260,C260)</f>
        <v>23509.119999999999</v>
      </c>
      <c r="O260" s="1084">
        <f>+IF(OR($Q260=Parametres!$G$2,$Q260=Parametres!$G$3),J260,D260)</f>
        <v>6650.68</v>
      </c>
      <c r="P260" s="152">
        <f>+IF(OR($Q260=Parametres!$G$2,$Q260=Parametres!$G$3),K260,E260)</f>
        <v>30159.8</v>
      </c>
      <c r="Q260" s="151" t="str">
        <f t="shared" si="22"/>
        <v>7-Dépenses</v>
      </c>
      <c r="R260" s="150" t="str">
        <f t="shared" si="23"/>
        <v>6139</v>
      </c>
      <c r="S260" s="151">
        <f t="shared" si="24"/>
        <v>0</v>
      </c>
      <c r="T260" s="153">
        <f>+VLOOKUP($L260,Data_Validation!$A:$D,1,0)</f>
        <v>6139</v>
      </c>
      <c r="U260" s="153" t="str">
        <f>+VLOOKUP($L260,Data_Validation!$A:$D,3,0)</f>
        <v>Véhicules neufs</v>
      </c>
      <c r="V260" s="153" t="str">
        <f>+VLOOKUP($L260,Data_Validation!$A:$D,4,0)</f>
        <v>Bénéfices marginaux</v>
      </c>
      <c r="W260" s="153" t="str">
        <f>+VLOOKUP($L260,Data_Validation!$A:$E,5,0)</f>
        <v>$</v>
      </c>
      <c r="X260" s="153">
        <f>+VLOOKUP($L260,Data_Validation!$A:$F,6,0)</f>
        <v>0</v>
      </c>
    </row>
    <row r="261" spans="1:24" ht="15" customHeight="1">
      <c r="A261" s="1193" t="s">
        <v>1154</v>
      </c>
      <c r="B261" s="1194">
        <v>6142</v>
      </c>
      <c r="C261" s="1197">
        <v>12.79</v>
      </c>
      <c r="D261" s="1197">
        <v>15.24</v>
      </c>
      <c r="E261" s="1197">
        <v>28.03</v>
      </c>
      <c r="F261" s="1193" t="s">
        <v>398</v>
      </c>
      <c r="G261" s="1193" t="s">
        <v>2554</v>
      </c>
      <c r="H261" s="987"/>
      <c r="I261" s="987"/>
      <c r="J261" s="987"/>
      <c r="K261" s="987"/>
      <c r="L261" s="150">
        <f t="shared" si="20"/>
        <v>6142</v>
      </c>
      <c r="M261" s="151" t="str">
        <f t="shared" si="21"/>
        <v>FOURNITURES &amp; PETITS OUTILS</v>
      </c>
      <c r="N261" s="152">
        <f>+IF(OR($Q261=Parametres!$G$2,$Q261=Parametres!$G$3),I261,C261)</f>
        <v>12.79</v>
      </c>
      <c r="O261" s="1084">
        <f>+IF(OR($Q261=Parametres!$G$2,$Q261=Parametres!$G$3),J261,D261)</f>
        <v>15.24</v>
      </c>
      <c r="P261" s="152">
        <f>+IF(OR($Q261=Parametres!$G$2,$Q261=Parametres!$G$3),K261,E261)</f>
        <v>28.03</v>
      </c>
      <c r="Q261" s="151" t="str">
        <f t="shared" si="22"/>
        <v>7-Dépenses</v>
      </c>
      <c r="R261" s="150" t="str">
        <f t="shared" si="23"/>
        <v>6142</v>
      </c>
      <c r="S261" s="151">
        <f t="shared" si="24"/>
        <v>0</v>
      </c>
      <c r="T261" s="153">
        <f>+VLOOKUP($L261,Data_Validation!$A:$D,1,0)</f>
        <v>6142</v>
      </c>
      <c r="U261" s="153" t="str">
        <f>+VLOOKUP($L261,Data_Validation!$A:$D,3,0)</f>
        <v>Véhicules neufs</v>
      </c>
      <c r="V261" s="153" t="str">
        <f>+VLOOKUP($L261,Data_Validation!$A:$D,4,0)</f>
        <v>Fournitures autres</v>
      </c>
      <c r="W261" s="153" t="str">
        <f>+VLOOKUP($L261,Data_Validation!$A:$E,5,0)</f>
        <v>$</v>
      </c>
      <c r="X261" s="153">
        <f>+VLOOKUP($L261,Data_Validation!$A:$F,6,0)</f>
        <v>0</v>
      </c>
    </row>
    <row r="262" spans="1:24" ht="15.75" customHeight="1">
      <c r="A262" s="1193" t="s">
        <v>931</v>
      </c>
      <c r="B262" s="1194">
        <v>6144</v>
      </c>
      <c r="C262" s="1197">
        <v>2334.16</v>
      </c>
      <c r="D262" s="1197">
        <v>933.1</v>
      </c>
      <c r="E262" s="1197">
        <v>3267.26</v>
      </c>
      <c r="F262" s="1193" t="s">
        <v>398</v>
      </c>
      <c r="G262" s="1193" t="s">
        <v>2552</v>
      </c>
      <c r="H262" s="987"/>
      <c r="I262" s="987"/>
      <c r="J262" s="987"/>
      <c r="K262" s="987"/>
      <c r="L262" s="150">
        <f t="shared" si="20"/>
        <v>6144</v>
      </c>
      <c r="M262" s="151" t="str">
        <f t="shared" si="21"/>
        <v>FORMATION</v>
      </c>
      <c r="N262" s="152">
        <f>+IF(OR($Q262=Parametres!$G$2,$Q262=Parametres!$G$3),I262,C262)</f>
        <v>2334.16</v>
      </c>
      <c r="O262" s="1084">
        <f>+IF(OR($Q262=Parametres!$G$2,$Q262=Parametres!$G$3),J262,D262)</f>
        <v>933.1</v>
      </c>
      <c r="P262" s="152">
        <f>+IF(OR($Q262=Parametres!$G$2,$Q262=Parametres!$G$3),K262,E262)</f>
        <v>3267.26</v>
      </c>
      <c r="Q262" s="151" t="str">
        <f t="shared" si="22"/>
        <v>7-Dépenses</v>
      </c>
      <c r="R262" s="150" t="str">
        <f t="shared" si="23"/>
        <v>6144</v>
      </c>
      <c r="S262" s="151">
        <f t="shared" si="24"/>
        <v>0</v>
      </c>
      <c r="T262" s="153">
        <f>+VLOOKUP($L262,Data_Validation!$A:$D,1,0)</f>
        <v>6144</v>
      </c>
      <c r="U262" s="153" t="str">
        <f>+VLOOKUP($L262,Data_Validation!$A:$D,3,0)</f>
        <v>Véhicules neufs</v>
      </c>
      <c r="V262" s="153" t="str">
        <f>+VLOOKUP($L262,Data_Validation!$A:$D,4,0)</f>
        <v>Formation</v>
      </c>
      <c r="W262" s="153" t="str">
        <f>+VLOOKUP($L262,Data_Validation!$A:$E,5,0)</f>
        <v>$</v>
      </c>
      <c r="X262" s="153">
        <f>+VLOOKUP($L262,Data_Validation!$A:$F,6,0)</f>
        <v>0</v>
      </c>
    </row>
    <row r="263" spans="1:24" ht="15" customHeight="1">
      <c r="A263" s="1193" t="s">
        <v>1183</v>
      </c>
      <c r="B263" s="1194">
        <v>6145</v>
      </c>
      <c r="C263" s="1197">
        <v>33648.589999999997</v>
      </c>
      <c r="D263" s="1197">
        <v>7787.55</v>
      </c>
      <c r="E263" s="1197">
        <v>41436.14</v>
      </c>
      <c r="F263" s="1193" t="s">
        <v>398</v>
      </c>
      <c r="G263" s="1193" t="s">
        <v>2623</v>
      </c>
      <c r="H263" s="1201"/>
      <c r="I263" s="1201"/>
      <c r="J263" s="1201"/>
      <c r="K263" s="1206"/>
      <c r="L263" s="150">
        <f t="shared" si="20"/>
        <v>6145</v>
      </c>
      <c r="M263" s="151" t="str">
        <f t="shared" si="21"/>
        <v>VEHICULE DE COMPAGNIE - DEPENS</v>
      </c>
      <c r="N263" s="152">
        <f>+IF(OR($Q263=Parametres!$G$2,$Q263=Parametres!$G$3),I263,C263)</f>
        <v>33648.589999999997</v>
      </c>
      <c r="O263" s="1084">
        <f>+IF(OR($Q263=Parametres!$G$2,$Q263=Parametres!$G$3),J263,D263)</f>
        <v>7787.55</v>
      </c>
      <c r="P263" s="152">
        <f>+IF(OR($Q263=Parametres!$G$2,$Q263=Parametres!$G$3),K263,E263)</f>
        <v>41436.14</v>
      </c>
      <c r="Q263" s="151" t="str">
        <f t="shared" si="22"/>
        <v>7-Dépenses</v>
      </c>
      <c r="R263" s="150" t="str">
        <f t="shared" si="23"/>
        <v>6145</v>
      </c>
      <c r="S263" s="151">
        <f t="shared" si="24"/>
        <v>0</v>
      </c>
      <c r="T263" s="153">
        <f>+VLOOKUP($L263,Data_Validation!$A:$D,1,0)</f>
        <v>6145</v>
      </c>
      <c r="U263" s="153" t="str">
        <f>+VLOOKUP($L263,Data_Validation!$A:$D,3,0)</f>
        <v>Véhicules neufs</v>
      </c>
      <c r="V263" s="153" t="str">
        <f>+VLOOKUP($L263,Data_Validation!$A:$D,4,0)</f>
        <v>Frais véhicules de cie</v>
      </c>
      <c r="W263" s="153" t="str">
        <f>+VLOOKUP($L263,Data_Validation!$A:$E,5,0)</f>
        <v>$</v>
      </c>
      <c r="X263" s="153">
        <f>+VLOOKUP($L263,Data_Validation!$A:$F,6,0)</f>
        <v>0</v>
      </c>
    </row>
    <row r="264" spans="1:24" ht="15" customHeight="1">
      <c r="A264" s="1193" t="s">
        <v>1177</v>
      </c>
      <c r="B264" s="1194">
        <v>6147</v>
      </c>
      <c r="C264" s="1197">
        <v>497.43</v>
      </c>
      <c r="D264" s="1197">
        <v>101.47</v>
      </c>
      <c r="E264" s="1197">
        <v>598.9</v>
      </c>
      <c r="F264" s="1193" t="s">
        <v>398</v>
      </c>
      <c r="G264" s="1193" t="s">
        <v>2572</v>
      </c>
      <c r="H264" s="1201"/>
      <c r="I264" s="1202"/>
      <c r="J264" s="1202"/>
      <c r="K264" s="1202"/>
      <c r="L264" s="150">
        <f t="shared" si="20"/>
        <v>6147</v>
      </c>
      <c r="M264" s="151" t="str">
        <f t="shared" si="21"/>
        <v>FRET/EXPRESS/TRANS. PAR CAMION</v>
      </c>
      <c r="N264" s="152">
        <f>+IF(OR($Q264=Parametres!$G$2,$Q264=Parametres!$G$3),I264,C264)</f>
        <v>497.43</v>
      </c>
      <c r="O264" s="1084">
        <f>+IF(OR($Q264=Parametres!$G$2,$Q264=Parametres!$G$3),J264,D264)</f>
        <v>101.47</v>
      </c>
      <c r="P264" s="152">
        <f>+IF(OR($Q264=Parametres!$G$2,$Q264=Parametres!$G$3),K264,E264)</f>
        <v>598.9</v>
      </c>
      <c r="Q264" s="151" t="str">
        <f t="shared" si="22"/>
        <v>7-Dépenses</v>
      </c>
      <c r="R264" s="150" t="str">
        <f t="shared" si="23"/>
        <v>6147</v>
      </c>
      <c r="S264" s="151">
        <f t="shared" si="24"/>
        <v>0</v>
      </c>
      <c r="T264" s="153">
        <f>+VLOOKUP($L264,Data_Validation!$A:$D,1,0)</f>
        <v>6147</v>
      </c>
      <c r="U264" s="153" t="str">
        <f>+VLOOKUP($L264,Data_Validation!$A:$D,3,0)</f>
        <v>Véhicules neufs</v>
      </c>
      <c r="V264" s="153" t="str">
        <f>+VLOOKUP($L264,Data_Validation!$A:$D,4,0)</f>
        <v>Frais postaux</v>
      </c>
      <c r="W264" s="153" t="str">
        <f>+VLOOKUP($L264,Data_Validation!$A:$E,5,0)</f>
        <v>$</v>
      </c>
      <c r="X264" s="153">
        <f>+VLOOKUP($L264,Data_Validation!$A:$F,6,0)</f>
        <v>0</v>
      </c>
    </row>
    <row r="265" spans="1:24" ht="15" customHeight="1">
      <c r="A265" s="1193" t="s">
        <v>1283</v>
      </c>
      <c r="B265" s="1194">
        <v>6151</v>
      </c>
      <c r="C265" s="1197">
        <v>27781.38</v>
      </c>
      <c r="D265" s="1197">
        <v>7155.57</v>
      </c>
      <c r="E265" s="1197">
        <v>34936.949999999997</v>
      </c>
      <c r="F265" s="1193" t="s">
        <v>398</v>
      </c>
      <c r="G265" s="1193" t="s">
        <v>2693</v>
      </c>
      <c r="H265" s="948"/>
      <c r="I265" s="949"/>
      <c r="J265" s="949"/>
      <c r="K265" s="949"/>
      <c r="L265" s="150">
        <f t="shared" si="20"/>
        <v>6151</v>
      </c>
      <c r="M265" s="151" t="str">
        <f t="shared" si="21"/>
        <v>DEP. DU TRAITEMENT DES DONNEES</v>
      </c>
      <c r="N265" s="152">
        <f>+IF(OR($Q265=Parametres!$G$2,$Q265=Parametres!$G$3),I265,C265)</f>
        <v>27781.38</v>
      </c>
      <c r="O265" s="1084">
        <f>+IF(OR($Q265=Parametres!$G$2,$Q265=Parametres!$G$3),J265,D265)</f>
        <v>7155.57</v>
      </c>
      <c r="P265" s="152">
        <f>+IF(OR($Q265=Parametres!$G$2,$Q265=Parametres!$G$3),K265,E265)</f>
        <v>34936.949999999997</v>
      </c>
      <c r="Q265" s="151" t="str">
        <f t="shared" si="22"/>
        <v>7-Dépenses</v>
      </c>
      <c r="R265" s="150" t="str">
        <f t="shared" si="23"/>
        <v>6151</v>
      </c>
      <c r="S265" s="151">
        <f t="shared" si="24"/>
        <v>0</v>
      </c>
      <c r="T265" s="153">
        <f>+VLOOKUP($L265,Data_Validation!$A:$D,1,0)</f>
        <v>6151</v>
      </c>
      <c r="U265" s="153" t="str">
        <f>+VLOOKUP($L265,Data_Validation!$A:$D,3,0)</f>
        <v>Véhicules neufs</v>
      </c>
      <c r="V265" s="153" t="str">
        <f>+VLOOKUP($L265,Data_Validation!$A:$D,4,0)</f>
        <v>Informatique</v>
      </c>
      <c r="W265" s="153" t="str">
        <f>+VLOOKUP($L265,Data_Validation!$A:$E,5,0)</f>
        <v>$</v>
      </c>
      <c r="X265" s="153">
        <f>+VLOOKUP($L265,Data_Validation!$A:$F,6,0)</f>
        <v>0</v>
      </c>
    </row>
    <row r="266" spans="1:24" ht="15" customHeight="1">
      <c r="A266" s="1193" t="s">
        <v>1203</v>
      </c>
      <c r="B266" s="1194">
        <v>6152</v>
      </c>
      <c r="C266" s="1197">
        <v>2460.66</v>
      </c>
      <c r="D266" s="1197">
        <v>677.38</v>
      </c>
      <c r="E266" s="1197">
        <v>3138.04</v>
      </c>
      <c r="F266" s="1193" t="s">
        <v>398</v>
      </c>
      <c r="G266" s="1193" t="s">
        <v>2579</v>
      </c>
      <c r="H266" s="948"/>
      <c r="I266" s="951"/>
      <c r="J266" s="951"/>
      <c r="K266" s="951"/>
      <c r="L266" s="150">
        <f t="shared" si="20"/>
        <v>6152</v>
      </c>
      <c r="M266" s="151" t="str">
        <f t="shared" si="21"/>
        <v>PAPETERIE</v>
      </c>
      <c r="N266" s="152">
        <f>+IF(OR($Q266=Parametres!$G$2,$Q266=Parametres!$G$3),I266,C266)</f>
        <v>2460.66</v>
      </c>
      <c r="O266" s="1084">
        <f>+IF(OR($Q266=Parametres!$G$2,$Q266=Parametres!$G$3),J266,D266)</f>
        <v>677.38</v>
      </c>
      <c r="P266" s="152">
        <f>+IF(OR($Q266=Parametres!$G$2,$Q266=Parametres!$G$3),K266,E266)</f>
        <v>3138.04</v>
      </c>
      <c r="Q266" s="151" t="str">
        <f t="shared" si="22"/>
        <v>7-Dépenses</v>
      </c>
      <c r="R266" s="150" t="str">
        <f t="shared" si="23"/>
        <v>6152</v>
      </c>
      <c r="S266" s="151">
        <f t="shared" si="24"/>
        <v>0</v>
      </c>
      <c r="T266" s="153">
        <f>+VLOOKUP($L266,Data_Validation!$A:$D,1,0)</f>
        <v>6152</v>
      </c>
      <c r="U266" s="153" t="str">
        <f>+VLOOKUP($L266,Data_Validation!$A:$D,3,0)</f>
        <v>Véhicules neufs</v>
      </c>
      <c r="V266" s="153" t="str">
        <f>+VLOOKUP($L266,Data_Validation!$A:$D,4,0)</f>
        <v>Papeterie</v>
      </c>
      <c r="W266" s="153" t="str">
        <f>+VLOOKUP($L266,Data_Validation!$A:$E,5,0)</f>
        <v>$</v>
      </c>
      <c r="X266" s="153">
        <f>+VLOOKUP($L266,Data_Validation!$A:$F,6,0)</f>
        <v>0</v>
      </c>
    </row>
    <row r="267" spans="1:24" ht="15" customHeight="1">
      <c r="A267" s="1193" t="s">
        <v>1151</v>
      </c>
      <c r="B267" s="1194">
        <v>6153</v>
      </c>
      <c r="C267" s="1197">
        <v>964.68</v>
      </c>
      <c r="D267" s="1197">
        <v>298.89999999999998</v>
      </c>
      <c r="E267" s="1197">
        <v>1263.58</v>
      </c>
      <c r="F267" s="1193" t="s">
        <v>398</v>
      </c>
      <c r="G267" s="1193" t="s">
        <v>2583</v>
      </c>
      <c r="H267" s="948"/>
      <c r="I267" s="951"/>
      <c r="J267" s="951"/>
      <c r="K267" s="951"/>
      <c r="L267" s="150">
        <f t="shared" si="20"/>
        <v>6153</v>
      </c>
      <c r="M267" s="151" t="str">
        <f t="shared" si="21"/>
        <v>TELEPHONE ET TELEX</v>
      </c>
      <c r="N267" s="152">
        <f>+IF(OR($Q267=Parametres!$G$2,$Q267=Parametres!$G$3),I267,C267)</f>
        <v>964.68</v>
      </c>
      <c r="O267" s="1084">
        <f>+IF(OR($Q267=Parametres!$G$2,$Q267=Parametres!$G$3),J267,D267)</f>
        <v>298.89999999999998</v>
      </c>
      <c r="P267" s="152">
        <f>+IF(OR($Q267=Parametres!$G$2,$Q267=Parametres!$G$3),K267,E267)</f>
        <v>1263.58</v>
      </c>
      <c r="Q267" s="151" t="str">
        <f t="shared" si="22"/>
        <v>7-Dépenses</v>
      </c>
      <c r="R267" s="150" t="str">
        <f t="shared" si="23"/>
        <v>6153</v>
      </c>
      <c r="S267" s="151">
        <f t="shared" si="24"/>
        <v>0</v>
      </c>
      <c r="T267" s="153">
        <f>+VLOOKUP($L267,Data_Validation!$A:$D,1,0)</f>
        <v>6153</v>
      </c>
      <c r="U267" s="153" t="str">
        <f>+VLOOKUP($L267,Data_Validation!$A:$D,3,0)</f>
        <v>Véhicules neufs</v>
      </c>
      <c r="V267" s="153" t="str">
        <f>+VLOOKUP($L267,Data_Validation!$A:$D,4,0)</f>
        <v>Téléphone</v>
      </c>
      <c r="W267" s="153" t="str">
        <f>+VLOOKUP($L267,Data_Validation!$A:$E,5,0)</f>
        <v>$</v>
      </c>
      <c r="X267" s="153">
        <f>+VLOOKUP($L267,Data_Validation!$A:$F,6,0)</f>
        <v>0</v>
      </c>
    </row>
    <row r="268" spans="1:24" ht="15" customHeight="1">
      <c r="A268" s="1193" t="s">
        <v>1234</v>
      </c>
      <c r="B268" s="1194">
        <v>6155</v>
      </c>
      <c r="C268" s="1197">
        <v>1664.11</v>
      </c>
      <c r="D268" s="1197">
        <v>267.61</v>
      </c>
      <c r="E268" s="1197">
        <v>1931.72</v>
      </c>
      <c r="F268" s="1193" t="s">
        <v>398</v>
      </c>
      <c r="G268" s="1193" t="s">
        <v>2628</v>
      </c>
      <c r="H268" s="948"/>
      <c r="I268" s="949"/>
      <c r="J268" s="949"/>
      <c r="K268" s="949"/>
      <c r="L268" s="150">
        <f t="shared" si="20"/>
        <v>6155</v>
      </c>
      <c r="M268" s="151" t="str">
        <f t="shared" si="21"/>
        <v>DEPENSES DIVERS</v>
      </c>
      <c r="N268" s="152">
        <f>+IF(OR($Q268=Parametres!$G$2,$Q268=Parametres!$G$3),I268,C268)</f>
        <v>1664.11</v>
      </c>
      <c r="O268" s="1084">
        <f>+IF(OR($Q268=Parametres!$G$2,$Q268=Parametres!$G$3),J268,D268)</f>
        <v>267.61</v>
      </c>
      <c r="P268" s="152">
        <f>+IF(OR($Q268=Parametres!$G$2,$Q268=Parametres!$G$3),K268,E268)</f>
        <v>1931.72</v>
      </c>
      <c r="Q268" s="151" t="str">
        <f t="shared" si="22"/>
        <v>7-Dépenses</v>
      </c>
      <c r="R268" s="150" t="str">
        <f t="shared" si="23"/>
        <v>6155</v>
      </c>
      <c r="S268" s="151">
        <f t="shared" si="24"/>
        <v>0</v>
      </c>
      <c r="T268" s="153">
        <f>+VLOOKUP($L268,Data_Validation!$A:$D,1,0)</f>
        <v>6155</v>
      </c>
      <c r="U268" s="153" t="str">
        <f>+VLOOKUP($L268,Data_Validation!$A:$D,3,0)</f>
        <v>Véhicules neufs</v>
      </c>
      <c r="V268" s="153" t="str">
        <f>+VLOOKUP($L268,Data_Validation!$A:$D,4,0)</f>
        <v>Divers</v>
      </c>
      <c r="W268" s="153" t="str">
        <f>+VLOOKUP($L268,Data_Validation!$A:$E,5,0)</f>
        <v>$</v>
      </c>
      <c r="X268" s="153">
        <f>+VLOOKUP($L268,Data_Validation!$A:$F,6,0)</f>
        <v>0</v>
      </c>
    </row>
    <row r="269" spans="1:24" ht="15" customHeight="1">
      <c r="A269" s="1193" t="s">
        <v>1312</v>
      </c>
      <c r="B269" s="1194">
        <v>6156</v>
      </c>
      <c r="C269" s="1197">
        <v>2328.2199999999998</v>
      </c>
      <c r="D269" s="1197">
        <v>1547.89</v>
      </c>
      <c r="E269" s="1197">
        <v>3876.11</v>
      </c>
      <c r="F269" s="1193" t="s">
        <v>398</v>
      </c>
      <c r="G269" s="1193" t="s">
        <v>2461</v>
      </c>
      <c r="H269" s="1201"/>
      <c r="I269" s="1206"/>
      <c r="J269" s="1201"/>
      <c r="K269" s="1206"/>
      <c r="L269" s="150">
        <f t="shared" si="20"/>
        <v>6156</v>
      </c>
      <c r="M269" s="151" t="str">
        <f t="shared" si="21"/>
        <v>FRAIS REPRESENTATION - NEUF</v>
      </c>
      <c r="N269" s="152">
        <f>+IF(OR($Q269=Parametres!$G$2,$Q269=Parametres!$G$3),I269,C269)</f>
        <v>2328.2199999999998</v>
      </c>
      <c r="O269" s="1082">
        <f>+IF(OR($Q269=Parametres!$G$2,$Q269=Parametres!$G$3),J269,D269)</f>
        <v>1547.89</v>
      </c>
      <c r="P269" s="152">
        <f>+IF(OR($Q269=Parametres!$G$2,$Q269=Parametres!$G$3),K269,E269)</f>
        <v>3876.11</v>
      </c>
      <c r="Q269" s="151" t="str">
        <f t="shared" si="22"/>
        <v>7-Dépenses</v>
      </c>
      <c r="R269" s="150" t="str">
        <f t="shared" si="23"/>
        <v>6156</v>
      </c>
      <c r="S269" s="151">
        <f t="shared" si="24"/>
        <v>0</v>
      </c>
      <c r="T269" s="153">
        <f>+VLOOKUP($L269,Data_Validation!$A:$D,1,0)</f>
        <v>6156</v>
      </c>
      <c r="U269" s="153" t="str">
        <f>+VLOOKUP($L269,Data_Validation!$A:$D,3,0)</f>
        <v>Véhicules neufs</v>
      </c>
      <c r="V269" s="153" t="str">
        <f>+VLOOKUP($L269,Data_Validation!$A:$D,4,0)</f>
        <v>Frais de déplacement</v>
      </c>
      <c r="W269" s="153" t="str">
        <f>+VLOOKUP($L269,Data_Validation!$A:$E,5,0)</f>
        <v>$</v>
      </c>
      <c r="X269" s="153">
        <f>+VLOOKUP($L269,Data_Validation!$A:$F,6,0)</f>
        <v>0</v>
      </c>
    </row>
    <row r="270" spans="1:24" ht="15" customHeight="1">
      <c r="A270" s="1193" t="s">
        <v>1305</v>
      </c>
      <c r="B270" s="1194">
        <v>6159</v>
      </c>
      <c r="C270" s="1197">
        <v>27275.39</v>
      </c>
      <c r="D270" s="1197">
        <v>5848.73</v>
      </c>
      <c r="E270" s="1197">
        <v>33124.120000000003</v>
      </c>
      <c r="F270" s="1193" t="s">
        <v>398</v>
      </c>
      <c r="G270" s="1193" t="s">
        <v>2653</v>
      </c>
      <c r="H270" s="1201"/>
      <c r="I270" s="1201"/>
      <c r="J270" s="1201"/>
      <c r="K270" s="1201"/>
      <c r="L270" s="150">
        <f t="shared" si="20"/>
        <v>6159</v>
      </c>
      <c r="M270" s="151" t="str">
        <f t="shared" si="21"/>
        <v>SERVICE EXTERIEUR</v>
      </c>
      <c r="N270" s="152">
        <f>+IF(OR($Q270=Parametres!$G$2,$Q270=Parametres!$G$3),I270,C270)</f>
        <v>27275.39</v>
      </c>
      <c r="O270" s="1082">
        <f>+IF(OR($Q270=Parametres!$G$2,$Q270=Parametres!$G$3),J270,D270)</f>
        <v>5848.73</v>
      </c>
      <c r="P270" s="152">
        <f>+IF(OR($Q270=Parametres!$G$2,$Q270=Parametres!$G$3),K270,E270)</f>
        <v>33124.120000000003</v>
      </c>
      <c r="Q270" s="151" t="str">
        <f t="shared" si="22"/>
        <v>7-Dépenses</v>
      </c>
      <c r="R270" s="150" t="str">
        <f t="shared" si="23"/>
        <v>6159</v>
      </c>
      <c r="S270" s="151">
        <f t="shared" si="24"/>
        <v>0</v>
      </c>
      <c r="T270" s="153">
        <f>+VLOOKUP($L270,Data_Validation!$A:$D,1,0)</f>
        <v>6159</v>
      </c>
      <c r="U270" s="153" t="str">
        <f>+VLOOKUP($L270,Data_Validation!$A:$D,3,0)</f>
        <v>Véhicules neufs</v>
      </c>
      <c r="V270" s="153" t="str">
        <f>+VLOOKUP($L270,Data_Validation!$A:$D,4,0)</f>
        <v>Services extérieurs</v>
      </c>
      <c r="W270" s="153" t="str">
        <f>+VLOOKUP($L270,Data_Validation!$A:$E,5,0)</f>
        <v>$</v>
      </c>
      <c r="X270" s="153">
        <f>+VLOOKUP($L270,Data_Validation!$A:$F,6,0)</f>
        <v>0</v>
      </c>
    </row>
    <row r="271" spans="1:24" ht="15" customHeight="1">
      <c r="A271" s="1193" t="s">
        <v>1330</v>
      </c>
      <c r="B271" s="1194">
        <v>6161</v>
      </c>
      <c r="C271" s="1197">
        <v>5522.56</v>
      </c>
      <c r="D271" s="1197">
        <v>1380.64</v>
      </c>
      <c r="E271" s="1197">
        <v>6903.2</v>
      </c>
      <c r="F271" s="1193" t="s">
        <v>398</v>
      </c>
      <c r="G271" s="1193" t="s">
        <v>2644</v>
      </c>
      <c r="H271" s="928"/>
      <c r="I271" s="927"/>
      <c r="J271" s="927"/>
      <c r="K271" s="927"/>
      <c r="L271" s="150">
        <f t="shared" si="20"/>
        <v>6161</v>
      </c>
      <c r="M271" s="151" t="str">
        <f t="shared" si="21"/>
        <v>DEPRECIATION EQUIP. &amp; FIXTURES</v>
      </c>
      <c r="N271" s="152">
        <f>+IF(OR($Q271=Parametres!$G$2,$Q271=Parametres!$G$3),I271,C271)</f>
        <v>5522.56</v>
      </c>
      <c r="O271" s="1084">
        <f>+IF(OR($Q271=Parametres!$G$2,$Q271=Parametres!$G$3),J271,D271)</f>
        <v>1380.64</v>
      </c>
      <c r="P271" s="152">
        <f>+IF(OR($Q271=Parametres!$G$2,$Q271=Parametres!$G$3),K271,E271)</f>
        <v>6903.2</v>
      </c>
      <c r="Q271" s="151" t="str">
        <f t="shared" si="22"/>
        <v>7-Dépenses</v>
      </c>
      <c r="R271" s="150" t="str">
        <f t="shared" si="23"/>
        <v>6161</v>
      </c>
      <c r="S271" s="151">
        <f t="shared" si="24"/>
        <v>0</v>
      </c>
      <c r="T271" s="153">
        <f>+VLOOKUP($L271,Data_Validation!$A:$D,1,0)</f>
        <v>6161</v>
      </c>
      <c r="U271" s="153" t="str">
        <f>+VLOOKUP($L271,Data_Validation!$A:$D,3,0)</f>
        <v>Véhicules neufs</v>
      </c>
      <c r="V271" s="153" t="str">
        <f>+VLOOKUP($L271,Data_Validation!$A:$D,4,0)</f>
        <v>Amortissement</v>
      </c>
      <c r="W271" s="153" t="str">
        <f>+VLOOKUP($L271,Data_Validation!$A:$E,5,0)</f>
        <v>$</v>
      </c>
      <c r="X271" s="153">
        <f>+VLOOKUP($L271,Data_Validation!$A:$F,6,0)</f>
        <v>0</v>
      </c>
    </row>
    <row r="272" spans="1:24" ht="15.75" customHeight="1">
      <c r="A272" s="1193" t="s">
        <v>1329</v>
      </c>
      <c r="B272" s="1194">
        <v>6181</v>
      </c>
      <c r="C272" s="1197">
        <v>2591.17</v>
      </c>
      <c r="D272" s="1197">
        <v>1195.3</v>
      </c>
      <c r="E272" s="1197">
        <v>3786.47</v>
      </c>
      <c r="F272" s="1193" t="s">
        <v>398</v>
      </c>
      <c r="G272" s="1193" t="s">
        <v>2595</v>
      </c>
      <c r="H272" s="948"/>
      <c r="I272" s="949"/>
      <c r="J272" s="949"/>
      <c r="K272" s="949"/>
      <c r="L272" s="150">
        <f t="shared" si="20"/>
        <v>6181</v>
      </c>
      <c r="M272" s="151" t="str">
        <f t="shared" si="21"/>
        <v>ELECTRICITE CHAUFFAGE</v>
      </c>
      <c r="N272" s="152">
        <f>+IF(OR($Q272=Parametres!$G$2,$Q272=Parametres!$G$3),I272,C272)</f>
        <v>2591.17</v>
      </c>
      <c r="O272" s="1084">
        <f>+IF(OR($Q272=Parametres!$G$2,$Q272=Parametres!$G$3),J272,D272)</f>
        <v>1195.3</v>
      </c>
      <c r="P272" s="152">
        <f>+IF(OR($Q272=Parametres!$G$2,$Q272=Parametres!$G$3),K272,E272)</f>
        <v>3786.47</v>
      </c>
      <c r="Q272" s="151" t="str">
        <f t="shared" si="22"/>
        <v>7-Dépenses</v>
      </c>
      <c r="R272" s="150" t="str">
        <f t="shared" si="23"/>
        <v>6181</v>
      </c>
      <c r="S272" s="151">
        <f t="shared" si="24"/>
        <v>0</v>
      </c>
      <c r="T272" s="153">
        <f>+VLOOKUP($L272,Data_Validation!$A:$D,1,0)</f>
        <v>6181</v>
      </c>
      <c r="U272" s="153" t="str">
        <f>+VLOOKUP($L272,Data_Validation!$A:$D,3,0)</f>
        <v>Véhicules neufs</v>
      </c>
      <c r="V272" s="153" t="str">
        <f>+VLOOKUP($L272,Data_Validation!$A:$D,4,0)</f>
        <v>Chauffage, éclairage</v>
      </c>
      <c r="W272" s="153" t="str">
        <f>+VLOOKUP($L272,Data_Validation!$A:$E,5,0)</f>
        <v>$</v>
      </c>
      <c r="X272" s="153">
        <f>+VLOOKUP($L272,Data_Validation!$A:$F,6,0)</f>
        <v>0</v>
      </c>
    </row>
    <row r="273" spans="1:24" ht="15" customHeight="1">
      <c r="A273" s="1193" t="s">
        <v>1466</v>
      </c>
      <c r="B273" s="1194">
        <v>6182</v>
      </c>
      <c r="C273" s="1197">
        <v>33280</v>
      </c>
      <c r="D273" s="1197">
        <v>8320</v>
      </c>
      <c r="E273" s="1197">
        <v>41600</v>
      </c>
      <c r="F273" s="1193" t="s">
        <v>398</v>
      </c>
      <c r="G273" s="1193" t="s">
        <v>2700</v>
      </c>
      <c r="H273" s="948"/>
      <c r="I273" s="949"/>
      <c r="J273" s="949"/>
      <c r="K273" s="949"/>
      <c r="L273" s="150">
        <f t="shared" si="20"/>
        <v>6182</v>
      </c>
      <c r="M273" s="151" t="str">
        <f t="shared" si="21"/>
        <v>LOYER NEUFS</v>
      </c>
      <c r="N273" s="152">
        <f>+IF(OR($Q273=Parametres!$G$2,$Q273=Parametres!$G$3),I273,C273)</f>
        <v>33280</v>
      </c>
      <c r="O273" s="1084">
        <f>+IF(OR($Q273=Parametres!$G$2,$Q273=Parametres!$G$3),J273,D273)</f>
        <v>8320</v>
      </c>
      <c r="P273" s="152">
        <f>+IF(OR($Q273=Parametres!$G$2,$Q273=Parametres!$G$3),K273,E273)</f>
        <v>41600</v>
      </c>
      <c r="Q273" s="151" t="str">
        <f t="shared" si="22"/>
        <v>7-Dépenses</v>
      </c>
      <c r="R273" s="150" t="str">
        <f t="shared" si="23"/>
        <v>6182</v>
      </c>
      <c r="S273" s="151">
        <f t="shared" si="24"/>
        <v>0</v>
      </c>
      <c r="T273" s="153">
        <f>+VLOOKUP($L273,Data_Validation!$A:$D,1,0)</f>
        <v>6182</v>
      </c>
      <c r="U273" s="153" t="str">
        <f>+VLOOKUP($L273,Data_Validation!$A:$D,3,0)</f>
        <v>Véhicules neufs</v>
      </c>
      <c r="V273" s="153" t="str">
        <f>+VLOOKUP($L273,Data_Validation!$A:$D,4,0)</f>
        <v>Loyer</v>
      </c>
      <c r="W273" s="153" t="str">
        <f>+VLOOKUP($L273,Data_Validation!$A:$E,5,0)</f>
        <v>$</v>
      </c>
      <c r="X273" s="153">
        <f>+VLOOKUP($L273,Data_Validation!$A:$F,6,0)</f>
        <v>0</v>
      </c>
    </row>
    <row r="274" spans="1:24" ht="15" customHeight="1">
      <c r="A274" s="1193" t="s">
        <v>1363</v>
      </c>
      <c r="B274" s="1194">
        <v>6186</v>
      </c>
      <c r="C274" s="1197">
        <v>5466.88</v>
      </c>
      <c r="D274" s="1197">
        <v>1366.72</v>
      </c>
      <c r="E274" s="1197">
        <v>6833.6</v>
      </c>
      <c r="F274" s="1193" t="s">
        <v>398</v>
      </c>
      <c r="G274" s="1193" t="s">
        <v>2585</v>
      </c>
      <c r="H274" s="948"/>
      <c r="I274" s="949"/>
      <c r="J274" s="949"/>
      <c r="K274" s="949"/>
      <c r="L274" s="150">
        <f t="shared" si="20"/>
        <v>6186</v>
      </c>
      <c r="M274" s="151" t="str">
        <f t="shared" si="21"/>
        <v>ASSURANCE BATIMENT</v>
      </c>
      <c r="N274" s="152">
        <f>+IF(OR($Q274=Parametres!$G$2,$Q274=Parametres!$G$3),I274,C274)</f>
        <v>5466.88</v>
      </c>
      <c r="O274" s="1084">
        <f>+IF(OR($Q274=Parametres!$G$2,$Q274=Parametres!$G$3),J274,D274)</f>
        <v>1366.72</v>
      </c>
      <c r="P274" s="152">
        <f>+IF(OR($Q274=Parametres!$G$2,$Q274=Parametres!$G$3),K274,E274)</f>
        <v>6833.6</v>
      </c>
      <c r="Q274" s="151" t="str">
        <f t="shared" si="22"/>
        <v>7-Dépenses</v>
      </c>
      <c r="R274" s="150" t="str">
        <f t="shared" si="23"/>
        <v>6186</v>
      </c>
      <c r="S274" s="151">
        <f t="shared" si="24"/>
        <v>0</v>
      </c>
      <c r="T274" s="153">
        <f>+VLOOKUP($L274,Data_Validation!$A:$D,1,0)</f>
        <v>6186</v>
      </c>
      <c r="U274" s="153" t="str">
        <f>+VLOOKUP($L274,Data_Validation!$A:$D,3,0)</f>
        <v>Véhicules neufs</v>
      </c>
      <c r="V274" s="153" t="str">
        <f>+VLOOKUP($L274,Data_Validation!$A:$D,4,0)</f>
        <v>Assurances</v>
      </c>
      <c r="W274" s="153" t="str">
        <f>+VLOOKUP($L274,Data_Validation!$A:$E,5,0)</f>
        <v>$</v>
      </c>
      <c r="X274" s="153">
        <f>+VLOOKUP($L274,Data_Validation!$A:$F,6,0)</f>
        <v>0</v>
      </c>
    </row>
    <row r="275" spans="1:24" ht="15" customHeight="1">
      <c r="A275" s="1193" t="s">
        <v>1359</v>
      </c>
      <c r="B275" s="1194">
        <v>6187</v>
      </c>
      <c r="C275" s="1197">
        <v>6310.4</v>
      </c>
      <c r="D275" s="1197">
        <v>1577.6</v>
      </c>
      <c r="E275" s="1197">
        <v>7888</v>
      </c>
      <c r="F275" s="1193" t="s">
        <v>398</v>
      </c>
      <c r="G275" s="1193" t="s">
        <v>2605</v>
      </c>
      <c r="H275" s="928"/>
      <c r="I275" s="928"/>
      <c r="J275" s="928"/>
      <c r="K275" s="928"/>
      <c r="L275" s="150">
        <f t="shared" si="20"/>
        <v>6187</v>
      </c>
      <c r="M275" s="151" t="str">
        <f t="shared" si="21"/>
        <v>TAXE SUR PROPRIETE</v>
      </c>
      <c r="N275" s="152">
        <f>+IF(OR($Q275=Parametres!$G$2,$Q275=Parametres!$G$3),I275,C275)</f>
        <v>6310.4</v>
      </c>
      <c r="O275" s="1084">
        <f>+IF(OR($Q275=Parametres!$G$2,$Q275=Parametres!$G$3),J275,D275)</f>
        <v>1577.6</v>
      </c>
      <c r="P275" s="152">
        <f>+IF(OR($Q275=Parametres!$G$2,$Q275=Parametres!$G$3),K275,E275)</f>
        <v>7888</v>
      </c>
      <c r="Q275" s="151" t="str">
        <f t="shared" si="22"/>
        <v>7-Dépenses</v>
      </c>
      <c r="R275" s="150" t="str">
        <f t="shared" si="23"/>
        <v>6187</v>
      </c>
      <c r="S275" s="151">
        <f t="shared" si="24"/>
        <v>0</v>
      </c>
      <c r="T275" s="153">
        <f>+VLOOKUP($L275,Data_Validation!$A:$D,1,0)</f>
        <v>6187</v>
      </c>
      <c r="U275" s="153" t="str">
        <f>+VLOOKUP($L275,Data_Validation!$A:$D,3,0)</f>
        <v>Véhicules neufs</v>
      </c>
      <c r="V275" s="153" t="str">
        <f>+VLOOKUP($L275,Data_Validation!$A:$D,4,0)</f>
        <v>Taxes foncières</v>
      </c>
      <c r="W275" s="153" t="str">
        <f>+VLOOKUP($L275,Data_Validation!$A:$E,5,0)</f>
        <v>$</v>
      </c>
      <c r="X275" s="153">
        <f>+VLOOKUP($L275,Data_Validation!$A:$F,6,0)</f>
        <v>0</v>
      </c>
    </row>
    <row r="276" spans="1:24" ht="15" customHeight="1">
      <c r="A276" s="1193" t="s">
        <v>1293</v>
      </c>
      <c r="B276" s="1194">
        <v>6193</v>
      </c>
      <c r="C276" s="1197">
        <v>4198.3999999999996</v>
      </c>
      <c r="D276" s="1197">
        <v>1049.5999999999999</v>
      </c>
      <c r="E276" s="1197">
        <v>5248</v>
      </c>
      <c r="F276" s="1193" t="s">
        <v>398</v>
      </c>
      <c r="G276" s="1193" t="s">
        <v>2588</v>
      </c>
      <c r="H276" s="948"/>
      <c r="I276" s="951"/>
      <c r="J276" s="951"/>
      <c r="K276" s="951"/>
      <c r="L276" s="150">
        <f t="shared" si="20"/>
        <v>6193</v>
      </c>
      <c r="M276" s="151" t="str">
        <f t="shared" si="21"/>
        <v>TAXES AUTRES PERMIS LICENCE</v>
      </c>
      <c r="N276" s="152">
        <f>+IF(OR($Q276=Parametres!$G$2,$Q276=Parametres!$G$3),I276,C276)</f>
        <v>4198.3999999999996</v>
      </c>
      <c r="O276" s="1084">
        <f>+IF(OR($Q276=Parametres!$G$2,$Q276=Parametres!$G$3),J276,D276)</f>
        <v>1049.5999999999999</v>
      </c>
      <c r="P276" s="152">
        <f>+IF(OR($Q276=Parametres!$G$2,$Q276=Parametres!$G$3),K276,E276)</f>
        <v>5248</v>
      </c>
      <c r="Q276" s="151" t="str">
        <f t="shared" si="22"/>
        <v>7-Dépenses</v>
      </c>
      <c r="R276" s="150" t="str">
        <f t="shared" si="23"/>
        <v>6193</v>
      </c>
      <c r="S276" s="151">
        <f t="shared" si="24"/>
        <v>0</v>
      </c>
      <c r="T276" s="153">
        <f>+VLOOKUP($L276,Data_Validation!$A:$D,1,0)</f>
        <v>6193</v>
      </c>
      <c r="U276" s="153" t="str">
        <f>+VLOOKUP($L276,Data_Validation!$A:$D,3,0)</f>
        <v>Véhicules neufs</v>
      </c>
      <c r="V276" s="153" t="str">
        <f>+VLOOKUP($L276,Data_Validation!$A:$D,4,0)</f>
        <v>Taxes d`affaires</v>
      </c>
      <c r="W276" s="153" t="str">
        <f>+VLOOKUP($L276,Data_Validation!$A:$E,5,0)</f>
        <v>$</v>
      </c>
      <c r="X276" s="153">
        <f>+VLOOKUP($L276,Data_Validation!$A:$F,6,0)</f>
        <v>0</v>
      </c>
    </row>
    <row r="277" spans="1:24" ht="15" customHeight="1">
      <c r="A277" s="1193" t="s">
        <v>1392</v>
      </c>
      <c r="B277" s="1194">
        <v>6194</v>
      </c>
      <c r="C277" s="1197">
        <v>7837.88</v>
      </c>
      <c r="D277" s="1197">
        <v>1959.47</v>
      </c>
      <c r="E277" s="1197">
        <v>9797.35</v>
      </c>
      <c r="F277" s="1193" t="s">
        <v>398</v>
      </c>
      <c r="G277" s="1193" t="s">
        <v>2626</v>
      </c>
      <c r="H277" s="1201"/>
      <c r="I277" s="1201"/>
      <c r="J277" s="1201"/>
      <c r="K277" s="1201"/>
      <c r="L277" s="150">
        <f t="shared" si="20"/>
        <v>6194</v>
      </c>
      <c r="M277" s="151" t="str">
        <f t="shared" si="21"/>
        <v>HONORAIRES PROFESSIONNELS</v>
      </c>
      <c r="N277" s="152">
        <f>+IF(OR($Q277=Parametres!$G$2,$Q277=Parametres!$G$3),I277,C277)</f>
        <v>7837.88</v>
      </c>
      <c r="O277" s="1082">
        <f>+IF(OR($Q277=Parametres!$G$2,$Q277=Parametres!$G$3),J277,D277)</f>
        <v>1959.47</v>
      </c>
      <c r="P277" s="152">
        <f>+IF(OR($Q277=Parametres!$G$2,$Q277=Parametres!$G$3),K277,E277)</f>
        <v>9797.35</v>
      </c>
      <c r="Q277" s="151" t="str">
        <f t="shared" si="22"/>
        <v>7-Dépenses</v>
      </c>
      <c r="R277" s="150" t="str">
        <f t="shared" si="23"/>
        <v>6194</v>
      </c>
      <c r="S277" s="151">
        <f t="shared" si="24"/>
        <v>0</v>
      </c>
      <c r="T277" s="153">
        <f>+VLOOKUP($L277,Data_Validation!$A:$D,1,0)</f>
        <v>6194</v>
      </c>
      <c r="U277" s="153" t="str">
        <f>+VLOOKUP($L277,Data_Validation!$A:$D,3,0)</f>
        <v>Véhicules neufs</v>
      </c>
      <c r="V277" s="153" t="str">
        <f>+VLOOKUP($L277,Data_Validation!$A:$D,4,0)</f>
        <v>Honoraires</v>
      </c>
      <c r="W277" s="153" t="str">
        <f>+VLOOKUP($L277,Data_Validation!$A:$E,5,0)</f>
        <v>$</v>
      </c>
      <c r="X277" s="153">
        <f>+VLOOKUP($L277,Data_Validation!$A:$F,6,0)</f>
        <v>0</v>
      </c>
    </row>
    <row r="278" spans="1:24" ht="15" customHeight="1">
      <c r="A278" s="1193" t="s">
        <v>1480</v>
      </c>
      <c r="B278" s="1194">
        <v>6201</v>
      </c>
      <c r="C278" s="1197">
        <v>105449.33</v>
      </c>
      <c r="D278" s="1197">
        <v>27153.34</v>
      </c>
      <c r="E278" s="1197">
        <v>132602.67000000001</v>
      </c>
      <c r="F278" s="1193" t="s">
        <v>398</v>
      </c>
      <c r="G278" s="1193" t="s">
        <v>2772</v>
      </c>
      <c r="H278" s="1201"/>
      <c r="I278" s="1202"/>
      <c r="J278" s="1202"/>
      <c r="K278" s="1202"/>
      <c r="L278" s="150">
        <f t="shared" si="20"/>
        <v>6201</v>
      </c>
      <c r="M278" s="151" t="str">
        <f t="shared" si="21"/>
        <v>COMMISSION USAGES</v>
      </c>
      <c r="N278" s="152">
        <f>+IF(OR($Q278=Parametres!$G$2,$Q278=Parametres!$G$3),I278,C278)</f>
        <v>105449.33</v>
      </c>
      <c r="O278" s="1084">
        <f>+IF(OR($Q278=Parametres!$G$2,$Q278=Parametres!$G$3),J278,D278)</f>
        <v>27153.34</v>
      </c>
      <c r="P278" s="152">
        <f>+IF(OR($Q278=Parametres!$G$2,$Q278=Parametres!$G$3),K278,E278)</f>
        <v>132602.67000000001</v>
      </c>
      <c r="Q278" s="151" t="str">
        <f t="shared" si="22"/>
        <v>7-Dépenses</v>
      </c>
      <c r="R278" s="150" t="str">
        <f t="shared" si="23"/>
        <v>6101</v>
      </c>
      <c r="S278" s="151">
        <f t="shared" si="24"/>
        <v>0</v>
      </c>
      <c r="T278" s="153">
        <f>+VLOOKUP($L278,Data_Validation!$A:$D,1,0)</f>
        <v>6201</v>
      </c>
      <c r="U278" s="153" t="str">
        <f>+VLOOKUP($L278,Data_Validation!$A:$D,3,0)</f>
        <v>Véhicules usagés</v>
      </c>
      <c r="V278" s="153" t="str">
        <f>+VLOOKUP($L278,Data_Validation!$A:$D,4,0)</f>
        <v>Comm. vendeurs</v>
      </c>
      <c r="W278" s="153" t="str">
        <f>+VLOOKUP($L278,Data_Validation!$A:$E,5,0)</f>
        <v>$</v>
      </c>
      <c r="X278" s="153">
        <f>+VLOOKUP($L278,Data_Validation!$A:$F,6,0)</f>
        <v>0</v>
      </c>
    </row>
    <row r="279" spans="1:24" ht="15.75" customHeight="1">
      <c r="A279" s="1193" t="s">
        <v>1439</v>
      </c>
      <c r="B279" s="1194">
        <v>6202</v>
      </c>
      <c r="C279" s="1197">
        <v>101918.87</v>
      </c>
      <c r="D279" s="1197">
        <v>27749.38</v>
      </c>
      <c r="E279" s="1197">
        <v>129668.25</v>
      </c>
      <c r="F279" s="1193" t="s">
        <v>398</v>
      </c>
      <c r="G279" s="1193" t="s">
        <v>2761</v>
      </c>
      <c r="H279" s="1201"/>
      <c r="I279" s="1201"/>
      <c r="J279" s="1201"/>
      <c r="K279" s="1201"/>
      <c r="L279" s="150">
        <f t="shared" si="20"/>
        <v>6202</v>
      </c>
      <c r="M279" s="151" t="str">
        <f t="shared" si="21"/>
        <v>RENUMERATION F &amp; I</v>
      </c>
      <c r="N279" s="152">
        <f>+IF(OR($Q279=Parametres!$G$2,$Q279=Parametres!$G$3),I279,C279)</f>
        <v>101918.87</v>
      </c>
      <c r="O279" s="1084">
        <f>+IF(OR($Q279=Parametres!$G$2,$Q279=Parametres!$G$3),J279,D279)</f>
        <v>27749.38</v>
      </c>
      <c r="P279" s="152">
        <f>+IF(OR($Q279=Parametres!$G$2,$Q279=Parametres!$G$3),K279,E279)</f>
        <v>129668.25</v>
      </c>
      <c r="Q279" s="151" t="str">
        <f t="shared" si="22"/>
        <v>7-Dépenses</v>
      </c>
      <c r="R279" s="150" t="str">
        <f t="shared" si="23"/>
        <v>6102</v>
      </c>
      <c r="S279" s="151">
        <f t="shared" si="24"/>
        <v>0</v>
      </c>
      <c r="T279" s="153">
        <f>+VLOOKUP($L279,Data_Validation!$A:$D,1,0)</f>
        <v>6202</v>
      </c>
      <c r="U279" s="153" t="str">
        <f>+VLOOKUP($L279,Data_Validation!$A:$D,3,0)</f>
        <v>Véhicules usagés</v>
      </c>
      <c r="V279" s="153" t="str">
        <f>+VLOOKUP($L279,Data_Validation!$A:$D,4,0)</f>
        <v>Comm. F&amp;I</v>
      </c>
      <c r="W279" s="153" t="str">
        <f>+VLOOKUP($L279,Data_Validation!$A:$E,5,0)</f>
        <v>$</v>
      </c>
      <c r="X279" s="153">
        <f>+VLOOKUP($L279,Data_Validation!$A:$F,6,0)</f>
        <v>0</v>
      </c>
    </row>
    <row r="280" spans="1:24" ht="15" customHeight="1">
      <c r="A280" s="1193" t="s">
        <v>1227</v>
      </c>
      <c r="B280" s="1194">
        <v>6203</v>
      </c>
      <c r="C280" s="1197">
        <v>1343.13</v>
      </c>
      <c r="D280" s="1197" t="s">
        <v>3444</v>
      </c>
      <c r="E280" s="1197">
        <v>1343.13</v>
      </c>
      <c r="F280" s="1193" t="s">
        <v>398</v>
      </c>
      <c r="G280" s="1193" t="s">
        <v>2697</v>
      </c>
      <c r="H280" s="1201"/>
      <c r="I280" s="1202"/>
      <c r="J280" s="1202"/>
      <c r="K280" s="1202"/>
      <c r="L280" s="150">
        <f t="shared" si="20"/>
        <v>6203</v>
      </c>
      <c r="M280" s="151" t="str">
        <f t="shared" si="21"/>
        <v>RELAT. A LA CLIENTELLE &amp; AJUST</v>
      </c>
      <c r="N280" s="152">
        <f>+IF(OR($Q280=Parametres!$G$2,$Q280=Parametres!$G$3),I280,C280)</f>
        <v>1343.13</v>
      </c>
      <c r="O280" s="1082" t="str">
        <f>+IF(OR($Q280=Parametres!$G$2,$Q280=Parametres!$G$3),J280,D280)</f>
        <v xml:space="preserve">                       -   </v>
      </c>
      <c r="P280" s="152">
        <f>+IF(OR($Q280=Parametres!$G$2,$Q280=Parametres!$G$3),K280,E280)</f>
        <v>1343.13</v>
      </c>
      <c r="Q280" s="151" t="str">
        <f t="shared" si="22"/>
        <v>7-Dépenses</v>
      </c>
      <c r="R280" s="150" t="str">
        <f t="shared" si="23"/>
        <v>6103</v>
      </c>
      <c r="S280" s="151">
        <f t="shared" si="24"/>
        <v>0</v>
      </c>
      <c r="T280" s="153">
        <f>+VLOOKUP($L280,Data_Validation!$A:$D,1,0)</f>
        <v>6203</v>
      </c>
      <c r="U280" s="153" t="str">
        <f>+VLOOKUP($L280,Data_Validation!$A:$D,3,0)</f>
        <v>Véhicules usagés</v>
      </c>
      <c r="V280" s="153" t="str">
        <f>+VLOOKUP($L280,Data_Validation!$A:$D,4,0)</f>
        <v>Service gratuit 1</v>
      </c>
      <c r="W280" s="153" t="str">
        <f>+VLOOKUP($L280,Data_Validation!$A:$E,5,0)</f>
        <v>$</v>
      </c>
      <c r="X280" s="153">
        <f>+VLOOKUP($L280,Data_Validation!$A:$F,6,0)</f>
        <v>0</v>
      </c>
    </row>
    <row r="281" spans="1:24" ht="15" customHeight="1">
      <c r="A281" s="1193" t="s">
        <v>2748</v>
      </c>
      <c r="B281" s="1194">
        <v>6206</v>
      </c>
      <c r="C281" s="1197">
        <v>14134.59</v>
      </c>
      <c r="D281" s="1197">
        <v>6953.55</v>
      </c>
      <c r="E281" s="1197">
        <v>21088.14</v>
      </c>
      <c r="F281" s="1193" t="s">
        <v>398</v>
      </c>
      <c r="G281" s="1193" t="s">
        <v>2750</v>
      </c>
      <c r="H281" s="1201"/>
      <c r="I281" s="1201"/>
      <c r="J281" s="1201"/>
      <c r="K281" s="1201"/>
      <c r="L281" s="150">
        <f t="shared" si="20"/>
        <v>6206</v>
      </c>
      <c r="M281" s="151" t="str">
        <f t="shared" si="21"/>
        <v>ENTRETIEN DES STOCKS</v>
      </c>
      <c r="N281" s="152">
        <f>+IF(OR($Q281=Parametres!$G$2,$Q281=Parametres!$G$3),I281,C281)</f>
        <v>14134.59</v>
      </c>
      <c r="O281" s="1084">
        <f>+IF(OR($Q281=Parametres!$G$2,$Q281=Parametres!$G$3),J281,D281)</f>
        <v>6953.55</v>
      </c>
      <c r="P281" s="152">
        <f>+IF(OR($Q281=Parametres!$G$2,$Q281=Parametres!$G$3),K281,E281)</f>
        <v>21088.14</v>
      </c>
      <c r="Q281" s="151" t="str">
        <f t="shared" si="22"/>
        <v>7-Dépenses</v>
      </c>
      <c r="R281" s="150" t="str">
        <f t="shared" si="23"/>
        <v>6106</v>
      </c>
      <c r="S281" s="151">
        <f t="shared" si="24"/>
        <v>0</v>
      </c>
      <c r="T281" s="153">
        <f>+VLOOKUP($L281,Data_Validation!$A:$D,1,0)</f>
        <v>6206</v>
      </c>
      <c r="U281" s="153" t="str">
        <f>+VLOOKUP($L281,Data_Validation!$A:$D,3,0)</f>
        <v>Véhicules usagés</v>
      </c>
      <c r="V281" s="153" t="str">
        <f>+VLOOKUP($L281,Data_Validation!$A:$D,4,0)</f>
        <v>Entretien stock</v>
      </c>
      <c r="W281" s="153" t="str">
        <f>+VLOOKUP($L281,Data_Validation!$A:$E,5,0)</f>
        <v>$</v>
      </c>
      <c r="X281" s="153">
        <f>+VLOOKUP($L281,Data_Validation!$A:$F,6,0)</f>
        <v>0</v>
      </c>
    </row>
    <row r="282" spans="1:24" ht="15" customHeight="1">
      <c r="A282" s="1193" t="s">
        <v>935</v>
      </c>
      <c r="B282" s="1194">
        <v>6207</v>
      </c>
      <c r="C282" s="1197">
        <v>4081.32</v>
      </c>
      <c r="D282" s="1197">
        <v>1880.71</v>
      </c>
      <c r="E282" s="1197">
        <v>5962.03</v>
      </c>
      <c r="F282" s="1193" t="s">
        <v>398</v>
      </c>
      <c r="G282" s="1193" t="s">
        <v>2603</v>
      </c>
      <c r="H282" s="1201"/>
      <c r="I282" s="1202"/>
      <c r="J282" s="1202"/>
      <c r="K282" s="1202"/>
      <c r="L282" s="150">
        <f t="shared" si="20"/>
        <v>6207</v>
      </c>
      <c r="M282" s="151" t="str">
        <f t="shared" si="21"/>
        <v>INTERET-PLAN DE FINANCEMENT</v>
      </c>
      <c r="N282" s="152">
        <f>+IF(OR($Q282=Parametres!$G$2,$Q282=Parametres!$G$3),I282,C282)</f>
        <v>4081.32</v>
      </c>
      <c r="O282" s="1082">
        <f>+IF(OR($Q282=Parametres!$G$2,$Q282=Parametres!$G$3),J282,D282)</f>
        <v>1880.71</v>
      </c>
      <c r="P282" s="152">
        <f>+IF(OR($Q282=Parametres!$G$2,$Q282=Parametres!$G$3),K282,E282)</f>
        <v>5962.03</v>
      </c>
      <c r="Q282" s="151" t="str">
        <f t="shared" si="22"/>
        <v>7-Dépenses</v>
      </c>
      <c r="R282" s="150" t="str">
        <f t="shared" si="23"/>
        <v>6107</v>
      </c>
      <c r="S282" s="151">
        <f t="shared" si="24"/>
        <v>0</v>
      </c>
      <c r="T282" s="153">
        <f>+VLOOKUP($L282,Data_Validation!$A:$D,1,0)</f>
        <v>6207</v>
      </c>
      <c r="U282" s="153" t="str">
        <f>+VLOOKUP($L282,Data_Validation!$A:$D,3,0)</f>
        <v>Véhicules usagés</v>
      </c>
      <c r="V282" s="153" t="str">
        <f>+VLOOKUP($L282,Data_Validation!$A:$D,4,0)</f>
        <v>Intérêt de gros</v>
      </c>
      <c r="W282" s="153" t="str">
        <f>+VLOOKUP($L282,Data_Validation!$A:$E,5,0)</f>
        <v>$</v>
      </c>
      <c r="X282" s="153">
        <f>+VLOOKUP($L282,Data_Validation!$A:$F,6,0)</f>
        <v>0</v>
      </c>
    </row>
    <row r="283" spans="1:24" ht="15.75" customHeight="1">
      <c r="A283" s="1193" t="s">
        <v>1404</v>
      </c>
      <c r="B283" s="1194">
        <v>6208</v>
      </c>
      <c r="C283" s="1197">
        <v>5594.33</v>
      </c>
      <c r="D283" s="1197">
        <v>10.42</v>
      </c>
      <c r="E283" s="1197">
        <v>5604.75</v>
      </c>
      <c r="F283" s="1193" t="s">
        <v>398</v>
      </c>
      <c r="G283" s="1193" t="s">
        <v>2687</v>
      </c>
      <c r="H283" s="948"/>
      <c r="I283" s="949"/>
      <c r="J283" s="949"/>
      <c r="K283" s="949"/>
      <c r="L283" s="150">
        <f t="shared" si="20"/>
        <v>6208</v>
      </c>
      <c r="M283" s="151" t="str">
        <f t="shared" si="21"/>
        <v>FRAIS DE LIVRAISON</v>
      </c>
      <c r="N283" s="152">
        <f>+IF(OR($Q283=Parametres!$G$2,$Q283=Parametres!$G$3),I283,C283)</f>
        <v>5594.33</v>
      </c>
      <c r="O283" s="1084">
        <f>+IF(OR($Q283=Parametres!$G$2,$Q283=Parametres!$G$3),J283,D283)</f>
        <v>10.42</v>
      </c>
      <c r="P283" s="152">
        <f>+IF(OR($Q283=Parametres!$G$2,$Q283=Parametres!$G$3),K283,E283)</f>
        <v>5604.75</v>
      </c>
      <c r="Q283" s="151" t="str">
        <f t="shared" si="22"/>
        <v>7-Dépenses</v>
      </c>
      <c r="R283" s="150" t="str">
        <f t="shared" si="23"/>
        <v>6108</v>
      </c>
      <c r="S283" s="151">
        <f t="shared" si="24"/>
        <v>0</v>
      </c>
      <c r="T283" s="153">
        <f>+VLOOKUP($L283,Data_Validation!$A:$D,1,0)</f>
        <v>6208</v>
      </c>
      <c r="U283" s="153" t="str">
        <f>+VLOOKUP($L283,Data_Validation!$A:$D,3,0)</f>
        <v>Véhicules usagés</v>
      </c>
      <c r="V283" s="153" t="str">
        <f>+VLOOKUP($L283,Data_Validation!$A:$D,4,0)</f>
        <v>Frais de livraison</v>
      </c>
      <c r="W283" s="153" t="str">
        <f>+VLOOKUP($L283,Data_Validation!$A:$E,5,0)</f>
        <v>$</v>
      </c>
      <c r="X283" s="153">
        <f>+VLOOKUP($L283,Data_Validation!$A:$F,6,0)</f>
        <v>0</v>
      </c>
    </row>
    <row r="284" spans="1:24" ht="15" customHeight="1">
      <c r="A284" s="1193" t="s">
        <v>1371</v>
      </c>
      <c r="B284" s="1194">
        <v>6214</v>
      </c>
      <c r="C284" s="1197">
        <v>20572.71</v>
      </c>
      <c r="D284" s="1197">
        <v>12901.29</v>
      </c>
      <c r="E284" s="1197">
        <v>33474</v>
      </c>
      <c r="F284" s="1193" t="s">
        <v>398</v>
      </c>
      <c r="G284" s="1193" t="s">
        <v>2106</v>
      </c>
      <c r="H284" s="948"/>
      <c r="I284" s="949"/>
      <c r="J284" s="949"/>
      <c r="K284" s="949"/>
      <c r="L284" s="150">
        <f t="shared" si="20"/>
        <v>6214</v>
      </c>
      <c r="M284" s="151" t="str">
        <f t="shared" si="21"/>
        <v>PUBLICITE</v>
      </c>
      <c r="N284" s="152">
        <f>+IF(OR($Q284=Parametres!$G$2,$Q284=Parametres!$G$3),I284,C284)</f>
        <v>20572.71</v>
      </c>
      <c r="O284" s="1084">
        <f>+IF(OR($Q284=Parametres!$G$2,$Q284=Parametres!$G$3),J284,D284)</f>
        <v>12901.29</v>
      </c>
      <c r="P284" s="152">
        <f>+IF(OR($Q284=Parametres!$G$2,$Q284=Parametres!$G$3),K284,E284)</f>
        <v>33474</v>
      </c>
      <c r="Q284" s="151" t="str">
        <f t="shared" si="22"/>
        <v>7-Dépenses</v>
      </c>
      <c r="R284" s="150" t="str">
        <f t="shared" si="23"/>
        <v>6114</v>
      </c>
      <c r="S284" s="151">
        <f t="shared" si="24"/>
        <v>0</v>
      </c>
      <c r="T284" s="153">
        <f>+VLOOKUP($L284,Data_Validation!$A:$D,1,0)</f>
        <v>6214</v>
      </c>
      <c r="U284" s="153" t="str">
        <f>+VLOOKUP($L284,Data_Validation!$A:$D,3,0)</f>
        <v>Véhicules usagés</v>
      </c>
      <c r="V284" s="153" t="str">
        <f>+VLOOKUP($L284,Data_Validation!$A:$D,4,0)</f>
        <v>Publicité 1</v>
      </c>
      <c r="W284" s="153" t="str">
        <f>+VLOOKUP($L284,Data_Validation!$A:$E,5,0)</f>
        <v>$</v>
      </c>
      <c r="X284" s="153">
        <f>+VLOOKUP($L284,Data_Validation!$A:$F,6,0)</f>
        <v>0</v>
      </c>
    </row>
    <row r="285" spans="1:24" ht="15" customHeight="1">
      <c r="A285" s="1193" t="s">
        <v>2141</v>
      </c>
      <c r="B285" s="1194">
        <v>6215</v>
      </c>
      <c r="C285" s="1197">
        <v>-12600</v>
      </c>
      <c r="D285" s="1197">
        <v>-3000</v>
      </c>
      <c r="E285" s="1197">
        <v>-15600</v>
      </c>
      <c r="F285" s="1193" t="s">
        <v>398</v>
      </c>
      <c r="G285" s="1193" t="s">
        <v>2106</v>
      </c>
      <c r="H285" s="928"/>
      <c r="I285" s="928"/>
      <c r="J285" s="928"/>
      <c r="K285" s="928"/>
      <c r="L285" s="150">
        <f t="shared" si="20"/>
        <v>6215</v>
      </c>
      <c r="M285" s="151" t="str">
        <f t="shared" si="21"/>
        <v>CREDIT PUBLICITE USAGES</v>
      </c>
      <c r="N285" s="152">
        <f>+IF(OR($Q285=Parametres!$G$2,$Q285=Parametres!$G$3),I285,C285)</f>
        <v>-12600</v>
      </c>
      <c r="O285" s="1082">
        <f>+IF(OR($Q285=Parametres!$G$2,$Q285=Parametres!$G$3),J285,D285)</f>
        <v>-3000</v>
      </c>
      <c r="P285" s="152">
        <f>+IF(OR($Q285=Parametres!$G$2,$Q285=Parametres!$G$3),K285,E285)</f>
        <v>-15600</v>
      </c>
      <c r="Q285" s="151" t="str">
        <f t="shared" si="22"/>
        <v>7-Dépenses</v>
      </c>
      <c r="R285" s="150" t="str">
        <f t="shared" si="23"/>
        <v>6114</v>
      </c>
      <c r="S285" s="151">
        <f t="shared" si="24"/>
        <v>0</v>
      </c>
      <c r="T285" s="153">
        <f>+VLOOKUP($L285,Data_Validation!$A:$D,1,0)</f>
        <v>6215</v>
      </c>
      <c r="U285" s="153" t="str">
        <f>+VLOOKUP($L285,Data_Validation!$A:$D,3,0)</f>
        <v>Véhicules usagés</v>
      </c>
      <c r="V285" s="153" t="str">
        <f>+VLOOKUP($L285,Data_Validation!$A:$D,4,0)</f>
        <v>Publicité 1</v>
      </c>
      <c r="W285" s="153" t="str">
        <f>+VLOOKUP($L285,Data_Validation!$A:$E,5,0)</f>
        <v>$</v>
      </c>
      <c r="X285" s="153">
        <f>+VLOOKUP($L285,Data_Validation!$A:$F,6,0)</f>
        <v>0</v>
      </c>
    </row>
    <row r="286" spans="1:24" ht="15" customHeight="1">
      <c r="A286" s="1193" t="s">
        <v>1256</v>
      </c>
      <c r="B286" s="1194">
        <v>6221</v>
      </c>
      <c r="C286" s="1197">
        <v>6308.43</v>
      </c>
      <c r="D286" s="1197">
        <v>1704.56</v>
      </c>
      <c r="E286" s="1197">
        <v>8012.99</v>
      </c>
      <c r="F286" s="1193" t="s">
        <v>398</v>
      </c>
      <c r="G286" s="1193" t="s">
        <v>2639</v>
      </c>
      <c r="H286" s="1201"/>
      <c r="I286" s="1202"/>
      <c r="J286" s="1202"/>
      <c r="K286" s="1202"/>
      <c r="L286" s="150">
        <f t="shared" si="20"/>
        <v>6221</v>
      </c>
      <c r="M286" s="151" t="str">
        <f t="shared" si="21"/>
        <v>SALAIRES - PROPRIETAIRES</v>
      </c>
      <c r="N286" s="152">
        <f>+IF(OR($Q286=Parametres!$G$2,$Q286=Parametres!$G$3),I286,C286)</f>
        <v>6308.43</v>
      </c>
      <c r="O286" s="1082">
        <f>+IF(OR($Q286=Parametres!$G$2,$Q286=Parametres!$G$3),J286,D286)</f>
        <v>1704.56</v>
      </c>
      <c r="P286" s="152">
        <f>+IF(OR($Q286=Parametres!$G$2,$Q286=Parametres!$G$3),K286,E286)</f>
        <v>8012.99</v>
      </c>
      <c r="Q286" s="151" t="str">
        <f t="shared" si="22"/>
        <v>7-Dépenses</v>
      </c>
      <c r="R286" s="150" t="str">
        <f t="shared" si="23"/>
        <v>6121</v>
      </c>
      <c r="S286" s="151">
        <f t="shared" si="24"/>
        <v>0</v>
      </c>
      <c r="T286" s="153">
        <f>+VLOOKUP($L286,Data_Validation!$A:$D,1,0)</f>
        <v>6221</v>
      </c>
      <c r="U286" s="153" t="str">
        <f>+VLOOKUP($L286,Data_Validation!$A:$D,3,0)</f>
        <v>Véhicules usagés</v>
      </c>
      <c r="V286" s="153" t="str">
        <f>+VLOOKUP($L286,Data_Validation!$A:$D,4,0)</f>
        <v>Salaires propriétaire</v>
      </c>
      <c r="W286" s="153" t="str">
        <f>+VLOOKUP($L286,Data_Validation!$A:$E,5,0)</f>
        <v>$</v>
      </c>
      <c r="X286" s="153">
        <f>+VLOOKUP($L286,Data_Validation!$A:$F,6,0)</f>
        <v>0</v>
      </c>
    </row>
    <row r="287" spans="1:24" ht="15.75" customHeight="1">
      <c r="A287" s="1193" t="s">
        <v>2615</v>
      </c>
      <c r="B287" s="1194">
        <v>6222</v>
      </c>
      <c r="C287" s="1197">
        <v>37738.160000000003</v>
      </c>
      <c r="D287" s="1197">
        <v>11056.58</v>
      </c>
      <c r="E287" s="1197">
        <v>48794.74</v>
      </c>
      <c r="F287" s="1193" t="s">
        <v>398</v>
      </c>
      <c r="G287" s="1193" t="s">
        <v>2617</v>
      </c>
      <c r="H287" s="1201"/>
      <c r="I287" s="1206"/>
      <c r="J287" s="1201"/>
      <c r="K287" s="1206"/>
      <c r="L287" s="150">
        <f t="shared" si="20"/>
        <v>6222</v>
      </c>
      <c r="M287" s="151" t="str">
        <f t="shared" si="21"/>
        <v>SAL SUPERVISION / GERANT</v>
      </c>
      <c r="N287" s="152">
        <f>+IF(OR($Q287=Parametres!$G$2,$Q287=Parametres!$G$3),I287,C287)</f>
        <v>37738.160000000003</v>
      </c>
      <c r="O287" s="1084">
        <f>+IF(OR($Q287=Parametres!$G$2,$Q287=Parametres!$G$3),J287,D287)</f>
        <v>11056.58</v>
      </c>
      <c r="P287" s="152">
        <f>+IF(OR($Q287=Parametres!$G$2,$Q287=Parametres!$G$3),K287,E287)</f>
        <v>48794.74</v>
      </c>
      <c r="Q287" s="151" t="str">
        <f t="shared" si="22"/>
        <v>7-Dépenses</v>
      </c>
      <c r="R287" s="150" t="str">
        <f t="shared" si="23"/>
        <v>6122</v>
      </c>
      <c r="S287" s="151">
        <f t="shared" si="24"/>
        <v>0</v>
      </c>
      <c r="T287" s="153">
        <f>+VLOOKUP($L287,Data_Validation!$A:$D,1,0)</f>
        <v>6222</v>
      </c>
      <c r="U287" s="153" t="str">
        <f>+VLOOKUP($L287,Data_Validation!$A:$D,3,0)</f>
        <v>Véhicules usagés</v>
      </c>
      <c r="V287" s="153" t="str">
        <f>+VLOOKUP($L287,Data_Validation!$A:$D,4,0)</f>
        <v>Salaires cadres</v>
      </c>
      <c r="W287" s="153" t="str">
        <f>+VLOOKUP($L287,Data_Validation!$A:$E,5,0)</f>
        <v>$</v>
      </c>
      <c r="X287" s="153">
        <f>+VLOOKUP($L287,Data_Validation!$A:$F,6,0)</f>
        <v>0</v>
      </c>
    </row>
    <row r="288" spans="1:24" ht="15" customHeight="1">
      <c r="A288" s="1193" t="s">
        <v>1339</v>
      </c>
      <c r="B288" s="1194">
        <v>6223</v>
      </c>
      <c r="C288" s="1197">
        <v>7293.7</v>
      </c>
      <c r="D288" s="1197">
        <v>1720.58</v>
      </c>
      <c r="E288" s="1197">
        <v>9014.2800000000007</v>
      </c>
      <c r="F288" s="1193" t="s">
        <v>398</v>
      </c>
      <c r="G288" s="1193" t="s">
        <v>2670</v>
      </c>
      <c r="H288" s="1201"/>
      <c r="I288" s="1206"/>
      <c r="J288" s="1201"/>
      <c r="K288" s="1206"/>
      <c r="L288" s="150">
        <f t="shared" si="20"/>
        <v>6223</v>
      </c>
      <c r="M288" s="151" t="str">
        <f t="shared" si="21"/>
        <v>SAL. &amp; RENUM. - CLERICAL</v>
      </c>
      <c r="N288" s="152">
        <f>+IF(OR($Q288=Parametres!$G$2,$Q288=Parametres!$G$3),I288,C288)</f>
        <v>7293.7</v>
      </c>
      <c r="O288" s="1082">
        <f>+IF(OR($Q288=Parametres!$G$2,$Q288=Parametres!$G$3),J288,D288)</f>
        <v>1720.58</v>
      </c>
      <c r="P288" s="152">
        <f>+IF(OR($Q288=Parametres!$G$2,$Q288=Parametres!$G$3),K288,E288)</f>
        <v>9014.2800000000007</v>
      </c>
      <c r="Q288" s="151" t="str">
        <f t="shared" si="22"/>
        <v>7-Dépenses</v>
      </c>
      <c r="R288" s="150" t="str">
        <f t="shared" si="23"/>
        <v>6123</v>
      </c>
      <c r="S288" s="151">
        <f t="shared" si="24"/>
        <v>0</v>
      </c>
      <c r="T288" s="153">
        <f>+VLOOKUP($L288,Data_Validation!$A:$D,1,0)</f>
        <v>6223</v>
      </c>
      <c r="U288" s="153" t="str">
        <f>+VLOOKUP($L288,Data_Validation!$A:$D,3,0)</f>
        <v>Véhicules usagés</v>
      </c>
      <c r="V288" s="153" t="str">
        <f>+VLOOKUP($L288,Data_Validation!$A:$D,4,0)</f>
        <v>Salaires commis</v>
      </c>
      <c r="W288" s="153" t="str">
        <f>+VLOOKUP($L288,Data_Validation!$A:$E,5,0)</f>
        <v>$</v>
      </c>
      <c r="X288" s="153">
        <f>+VLOOKUP($L288,Data_Validation!$A:$F,6,0)</f>
        <v>0</v>
      </c>
    </row>
    <row r="289" spans="1:24" ht="15" customHeight="1">
      <c r="A289" s="1193" t="s">
        <v>1409</v>
      </c>
      <c r="B289" s="1194">
        <v>6224</v>
      </c>
      <c r="C289" s="1197">
        <v>27105.78</v>
      </c>
      <c r="D289" s="1197">
        <v>7696.58</v>
      </c>
      <c r="E289" s="1197">
        <v>34802.36</v>
      </c>
      <c r="F289" s="1193" t="s">
        <v>398</v>
      </c>
      <c r="G289" s="1193" t="s">
        <v>2726</v>
      </c>
      <c r="H289" s="1201"/>
      <c r="I289" s="1202"/>
      <c r="J289" s="1202"/>
      <c r="K289" s="1202"/>
      <c r="L289" s="150">
        <f t="shared" si="20"/>
        <v>6224</v>
      </c>
      <c r="M289" s="151" t="str">
        <f t="shared" si="21"/>
        <v>SALAIRE &amp; RENUM. - AUTRES</v>
      </c>
      <c r="N289" s="152">
        <f>+IF(OR($Q289=Parametres!$G$2,$Q289=Parametres!$G$3),I289,C289)</f>
        <v>27105.78</v>
      </c>
      <c r="O289" s="1082">
        <f>+IF(OR($Q289=Parametres!$G$2,$Q289=Parametres!$G$3),J289,D289)</f>
        <v>7696.58</v>
      </c>
      <c r="P289" s="152">
        <f>+IF(OR($Q289=Parametres!$G$2,$Q289=Parametres!$G$3),K289,E289)</f>
        <v>34802.36</v>
      </c>
      <c r="Q289" s="151" t="str">
        <f t="shared" si="22"/>
        <v>7-Dépenses</v>
      </c>
      <c r="R289" s="150" t="str">
        <f t="shared" si="23"/>
        <v>6124</v>
      </c>
      <c r="S289" s="151">
        <f t="shared" si="24"/>
        <v>0</v>
      </c>
      <c r="T289" s="153">
        <f>+VLOOKUP($L289,Data_Validation!$A:$D,1,0)</f>
        <v>6224</v>
      </c>
      <c r="U289" s="153" t="str">
        <f>+VLOOKUP($L289,Data_Validation!$A:$D,3,0)</f>
        <v>Véhicules usagés</v>
      </c>
      <c r="V289" s="153" t="str">
        <f>+VLOOKUP($L289,Data_Validation!$A:$D,4,0)</f>
        <v>Salaires autres</v>
      </c>
      <c r="W289" s="153" t="str">
        <f>+VLOOKUP($L289,Data_Validation!$A:$E,5,0)</f>
        <v>$</v>
      </c>
      <c r="X289" s="153">
        <f>+VLOOKUP($L289,Data_Validation!$A:$F,6,0)</f>
        <v>0</v>
      </c>
    </row>
    <row r="290" spans="1:24" ht="15" customHeight="1">
      <c r="A290" s="1193" t="s">
        <v>1208</v>
      </c>
      <c r="B290" s="1194">
        <v>6229</v>
      </c>
      <c r="C290" s="1197">
        <v>13519.41</v>
      </c>
      <c r="D290" s="1197">
        <v>5068.8100000000004</v>
      </c>
      <c r="E290" s="1197">
        <v>18588.22</v>
      </c>
      <c r="F290" s="1193" t="s">
        <v>398</v>
      </c>
      <c r="G290" s="1193" t="s">
        <v>2632</v>
      </c>
      <c r="H290" s="948"/>
      <c r="I290" s="951"/>
      <c r="J290" s="951"/>
      <c r="K290" s="951"/>
      <c r="L290" s="150">
        <f t="shared" si="20"/>
        <v>6229</v>
      </c>
      <c r="M290" s="151" t="str">
        <f t="shared" si="21"/>
        <v>ABS.,VACANCES &amp; SAL. JOURS FER</v>
      </c>
      <c r="N290" s="152">
        <f>+IF(OR($Q290=Parametres!$G$2,$Q290=Parametres!$G$3),I290,C290)</f>
        <v>13519.41</v>
      </c>
      <c r="O290" s="1084">
        <f>+IF(OR($Q290=Parametres!$G$2,$Q290=Parametres!$G$3),J290,D290)</f>
        <v>5068.8100000000004</v>
      </c>
      <c r="P290" s="152">
        <f>+IF(OR($Q290=Parametres!$G$2,$Q290=Parametres!$G$3),K290,E290)</f>
        <v>18588.22</v>
      </c>
      <c r="Q290" s="151" t="str">
        <f t="shared" si="22"/>
        <v>7-Dépenses</v>
      </c>
      <c r="R290" s="150" t="str">
        <f t="shared" si="23"/>
        <v>6129</v>
      </c>
      <c r="S290" s="151">
        <f t="shared" si="24"/>
        <v>0</v>
      </c>
      <c r="T290" s="153">
        <f>+VLOOKUP($L290,Data_Validation!$A:$D,1,0)</f>
        <v>6229</v>
      </c>
      <c r="U290" s="153" t="str">
        <f>+VLOOKUP($L290,Data_Validation!$A:$D,3,0)</f>
        <v>Véhicules usagés</v>
      </c>
      <c r="V290" s="153" t="str">
        <f>+VLOOKUP($L290,Data_Validation!$A:$D,4,0)</f>
        <v>Salaires en absences</v>
      </c>
      <c r="W290" s="153" t="str">
        <f>+VLOOKUP($L290,Data_Validation!$A:$E,5,0)</f>
        <v>$</v>
      </c>
      <c r="X290" s="153">
        <f>+VLOOKUP($L290,Data_Validation!$A:$F,6,0)</f>
        <v>0</v>
      </c>
    </row>
    <row r="291" spans="1:24" ht="15.75" customHeight="1">
      <c r="A291" s="1193" t="s">
        <v>1249</v>
      </c>
      <c r="B291" s="1194">
        <v>6231</v>
      </c>
      <c r="C291" s="1197">
        <v>7782.86</v>
      </c>
      <c r="D291" s="1197">
        <v>892.82</v>
      </c>
      <c r="E291" s="1197">
        <v>8675.68</v>
      </c>
      <c r="F291" s="1193" t="s">
        <v>398</v>
      </c>
      <c r="G291" s="1193" t="s">
        <v>2577</v>
      </c>
      <c r="H291" s="948"/>
      <c r="I291" s="951"/>
      <c r="J291" s="951"/>
      <c r="K291" s="951"/>
      <c r="L291" s="150">
        <f t="shared" si="20"/>
        <v>6231</v>
      </c>
      <c r="M291" s="151" t="str">
        <f t="shared" si="21"/>
        <v>CSST</v>
      </c>
      <c r="N291" s="152">
        <f>+IF(OR($Q291=Parametres!$G$2,$Q291=Parametres!$G$3),I291,C291)</f>
        <v>7782.86</v>
      </c>
      <c r="O291" s="1084">
        <f>+IF(OR($Q291=Parametres!$G$2,$Q291=Parametres!$G$3),J291,D291)</f>
        <v>892.82</v>
      </c>
      <c r="P291" s="152">
        <f>+IF(OR($Q291=Parametres!$G$2,$Q291=Parametres!$G$3),K291,E291)</f>
        <v>8675.68</v>
      </c>
      <c r="Q291" s="151" t="str">
        <f t="shared" si="22"/>
        <v>7-Dépenses</v>
      </c>
      <c r="R291" s="150" t="str">
        <f t="shared" si="23"/>
        <v>6131</v>
      </c>
      <c r="S291" s="151">
        <f t="shared" si="24"/>
        <v>0</v>
      </c>
      <c r="T291" s="153">
        <f>+VLOOKUP($L291,Data_Validation!$A:$D,1,0)</f>
        <v>6231</v>
      </c>
      <c r="U291" s="153" t="str">
        <f>+VLOOKUP($L291,Data_Validation!$A:$D,3,0)</f>
        <v>Véhicules usagés</v>
      </c>
      <c r="V291" s="153" t="str">
        <f>+VLOOKUP($L291,Data_Validation!$A:$D,4,0)</f>
        <v>Csst</v>
      </c>
      <c r="W291" s="153" t="str">
        <f>+VLOOKUP($L291,Data_Validation!$A:$E,5,0)</f>
        <v>$</v>
      </c>
      <c r="X291" s="153">
        <f>+VLOOKUP($L291,Data_Validation!$A:$F,6,0)</f>
        <v>0</v>
      </c>
    </row>
    <row r="292" spans="1:24" ht="15" customHeight="1">
      <c r="A292" s="1193" t="s">
        <v>1280</v>
      </c>
      <c r="B292" s="1194">
        <v>6232</v>
      </c>
      <c r="C292" s="1197">
        <v>25424.560000000001</v>
      </c>
      <c r="D292" s="1197">
        <v>3383.99</v>
      </c>
      <c r="E292" s="1197">
        <v>28808.55</v>
      </c>
      <c r="F292" s="1193" t="s">
        <v>398</v>
      </c>
      <c r="G292" s="1193" t="s">
        <v>2676</v>
      </c>
      <c r="H292" s="987"/>
      <c r="I292" s="987"/>
      <c r="J292" s="987"/>
      <c r="K292" s="987"/>
      <c r="L292" s="150">
        <f t="shared" si="20"/>
        <v>6232</v>
      </c>
      <c r="M292" s="151" t="str">
        <f t="shared" si="21"/>
        <v>RRQ RAMQ AC</v>
      </c>
      <c r="N292" s="152">
        <f>+IF(OR($Q292=Parametres!$G$2,$Q292=Parametres!$G$3),I292,C292)</f>
        <v>25424.560000000001</v>
      </c>
      <c r="O292" s="1084">
        <f>+IF(OR($Q292=Parametres!$G$2,$Q292=Parametres!$G$3),J292,D292)</f>
        <v>3383.99</v>
      </c>
      <c r="P292" s="152">
        <f>+IF(OR($Q292=Parametres!$G$2,$Q292=Parametres!$G$3),K292,E292)</f>
        <v>28808.55</v>
      </c>
      <c r="Q292" s="151" t="str">
        <f t="shared" si="22"/>
        <v>7-Dépenses</v>
      </c>
      <c r="R292" s="150" t="str">
        <f t="shared" si="23"/>
        <v>6132</v>
      </c>
      <c r="S292" s="151">
        <f t="shared" si="24"/>
        <v>0</v>
      </c>
      <c r="T292" s="153">
        <f>+VLOOKUP($L292,Data_Validation!$A:$D,1,0)</f>
        <v>6232</v>
      </c>
      <c r="U292" s="153" t="str">
        <f>+VLOOKUP($L292,Data_Validation!$A:$D,3,0)</f>
        <v>Véhicules usagés</v>
      </c>
      <c r="V292" s="153" t="str">
        <f>+VLOOKUP($L292,Data_Validation!$A:$D,4,0)</f>
        <v>Déduction à la source</v>
      </c>
      <c r="W292" s="153" t="str">
        <f>+VLOOKUP($L292,Data_Validation!$A:$E,5,0)</f>
        <v>$</v>
      </c>
      <c r="X292" s="153">
        <f>+VLOOKUP($L292,Data_Validation!$A:$F,6,0)</f>
        <v>0</v>
      </c>
    </row>
    <row r="293" spans="1:24" ht="15" customHeight="1">
      <c r="A293" s="1193" t="s">
        <v>1302</v>
      </c>
      <c r="B293" s="1194">
        <v>6239</v>
      </c>
      <c r="C293" s="1197">
        <v>14026.05</v>
      </c>
      <c r="D293" s="1197">
        <v>2494</v>
      </c>
      <c r="E293" s="1197">
        <v>16520.05</v>
      </c>
      <c r="F293" s="1193" t="s">
        <v>398</v>
      </c>
      <c r="G293" s="1193" t="s">
        <v>2685</v>
      </c>
      <c r="H293" s="948"/>
      <c r="I293" s="949"/>
      <c r="J293" s="949"/>
      <c r="K293" s="949"/>
      <c r="L293" s="150">
        <f t="shared" si="20"/>
        <v>6239</v>
      </c>
      <c r="M293" s="151" t="str">
        <f t="shared" si="21"/>
        <v>ASSURANCE GROUPE</v>
      </c>
      <c r="N293" s="152">
        <f>+IF(OR($Q293=Parametres!$G$2,$Q293=Parametres!$G$3),I293,C293)</f>
        <v>14026.05</v>
      </c>
      <c r="O293" s="1084">
        <f>+IF(OR($Q293=Parametres!$G$2,$Q293=Parametres!$G$3),J293,D293)</f>
        <v>2494</v>
      </c>
      <c r="P293" s="152">
        <f>+IF(OR($Q293=Parametres!$G$2,$Q293=Parametres!$G$3),K293,E293)</f>
        <v>16520.05</v>
      </c>
      <c r="Q293" s="151" t="str">
        <f t="shared" si="22"/>
        <v>7-Dépenses</v>
      </c>
      <c r="R293" s="150" t="str">
        <f t="shared" si="23"/>
        <v>6139</v>
      </c>
      <c r="S293" s="151">
        <f t="shared" si="24"/>
        <v>0</v>
      </c>
      <c r="T293" s="153">
        <f>+VLOOKUP($L293,Data_Validation!$A:$D,1,0)</f>
        <v>6239</v>
      </c>
      <c r="U293" s="153" t="str">
        <f>+VLOOKUP($L293,Data_Validation!$A:$D,3,0)</f>
        <v>Véhicules usagés</v>
      </c>
      <c r="V293" s="153" t="str">
        <f>+VLOOKUP($L293,Data_Validation!$A:$D,4,0)</f>
        <v>Bénéfices marginaux</v>
      </c>
      <c r="W293" s="153" t="str">
        <f>+VLOOKUP($L293,Data_Validation!$A:$E,5,0)</f>
        <v>$</v>
      </c>
      <c r="X293" s="153">
        <f>+VLOOKUP($L293,Data_Validation!$A:$F,6,0)</f>
        <v>0</v>
      </c>
    </row>
    <row r="294" spans="1:24" ht="15" customHeight="1">
      <c r="A294" s="1193" t="s">
        <v>1154</v>
      </c>
      <c r="B294" s="1194">
        <v>6242</v>
      </c>
      <c r="C294" s="1197">
        <v>381.81</v>
      </c>
      <c r="D294" s="1197">
        <v>15.24</v>
      </c>
      <c r="E294" s="1197">
        <v>397.05</v>
      </c>
      <c r="F294" s="1193" t="s">
        <v>398</v>
      </c>
      <c r="G294" s="1193" t="s">
        <v>2554</v>
      </c>
      <c r="H294" s="948"/>
      <c r="I294" s="949"/>
      <c r="J294" s="949"/>
      <c r="K294" s="949"/>
      <c r="L294" s="150">
        <f t="shared" si="20"/>
        <v>6242</v>
      </c>
      <c r="M294" s="151" t="str">
        <f t="shared" si="21"/>
        <v>FOURNITURES &amp; PETITS OUTILS</v>
      </c>
      <c r="N294" s="152">
        <f>+IF(OR($Q294=Parametres!$G$2,$Q294=Parametres!$G$3),I294,C294)</f>
        <v>381.81</v>
      </c>
      <c r="O294" s="1084">
        <f>+IF(OR($Q294=Parametres!$G$2,$Q294=Parametres!$G$3),J294,D294)</f>
        <v>15.24</v>
      </c>
      <c r="P294" s="152">
        <f>+IF(OR($Q294=Parametres!$G$2,$Q294=Parametres!$G$3),K294,E294)</f>
        <v>397.05</v>
      </c>
      <c r="Q294" s="151" t="str">
        <f t="shared" si="22"/>
        <v>7-Dépenses</v>
      </c>
      <c r="R294" s="150" t="str">
        <f t="shared" si="23"/>
        <v>6142</v>
      </c>
      <c r="S294" s="151">
        <f t="shared" si="24"/>
        <v>0</v>
      </c>
      <c r="T294" s="153">
        <f>+VLOOKUP($L294,Data_Validation!$A:$D,1,0)</f>
        <v>6242</v>
      </c>
      <c r="U294" s="153" t="str">
        <f>+VLOOKUP($L294,Data_Validation!$A:$D,3,0)</f>
        <v>Véhicules usagés</v>
      </c>
      <c r="V294" s="153" t="str">
        <f>+VLOOKUP($L294,Data_Validation!$A:$D,4,0)</f>
        <v>Fournitures autres</v>
      </c>
      <c r="W294" s="153" t="str">
        <f>+VLOOKUP($L294,Data_Validation!$A:$E,5,0)</f>
        <v>$</v>
      </c>
      <c r="X294" s="153">
        <f>+VLOOKUP($L294,Data_Validation!$A:$F,6,0)</f>
        <v>0</v>
      </c>
    </row>
    <row r="295" spans="1:24" ht="15" customHeight="1">
      <c r="A295" s="1193" t="s">
        <v>931</v>
      </c>
      <c r="B295" s="1194">
        <v>6244</v>
      </c>
      <c r="C295" s="1197">
        <v>153.12</v>
      </c>
      <c r="D295" s="1197">
        <v>38.28</v>
      </c>
      <c r="E295" s="1197">
        <v>191.4</v>
      </c>
      <c r="F295" s="1193" t="s">
        <v>398</v>
      </c>
      <c r="G295" s="1193" t="s">
        <v>2552</v>
      </c>
      <c r="H295" s="948"/>
      <c r="I295" s="949"/>
      <c r="J295" s="949"/>
      <c r="K295" s="949"/>
      <c r="L295" s="150">
        <f t="shared" si="20"/>
        <v>6244</v>
      </c>
      <c r="M295" s="151" t="str">
        <f t="shared" si="21"/>
        <v>FORMATION</v>
      </c>
      <c r="N295" s="152">
        <f>+IF(OR($Q295=Parametres!$G$2,$Q295=Parametres!$G$3),I295,C295)</f>
        <v>153.12</v>
      </c>
      <c r="O295" s="1084">
        <f>+IF(OR($Q295=Parametres!$G$2,$Q295=Parametres!$G$3),J295,D295)</f>
        <v>38.28</v>
      </c>
      <c r="P295" s="152">
        <f>+IF(OR($Q295=Parametres!$G$2,$Q295=Parametres!$G$3),K295,E295)</f>
        <v>191.4</v>
      </c>
      <c r="Q295" s="151" t="str">
        <f t="shared" si="22"/>
        <v>7-Dépenses</v>
      </c>
      <c r="R295" s="150" t="str">
        <f t="shared" si="23"/>
        <v>6144</v>
      </c>
      <c r="S295" s="151">
        <f t="shared" si="24"/>
        <v>0</v>
      </c>
      <c r="T295" s="153">
        <f>+VLOOKUP($L295,Data_Validation!$A:$D,1,0)</f>
        <v>6244</v>
      </c>
      <c r="U295" s="153" t="str">
        <f>+VLOOKUP($L295,Data_Validation!$A:$D,3,0)</f>
        <v>Véhicules usagés</v>
      </c>
      <c r="V295" s="153" t="str">
        <f>+VLOOKUP($L295,Data_Validation!$A:$D,4,0)</f>
        <v>Formation</v>
      </c>
      <c r="W295" s="153" t="str">
        <f>+VLOOKUP($L295,Data_Validation!$A:$E,5,0)</f>
        <v>$</v>
      </c>
      <c r="X295" s="153">
        <f>+VLOOKUP($L295,Data_Validation!$A:$F,6,0)</f>
        <v>0</v>
      </c>
    </row>
    <row r="296" spans="1:24" ht="15" customHeight="1">
      <c r="A296" s="1193" t="s">
        <v>1183</v>
      </c>
      <c r="B296" s="1194">
        <v>6245</v>
      </c>
      <c r="C296" s="1197">
        <v>486.77</v>
      </c>
      <c r="D296" s="1197">
        <v>412.36</v>
      </c>
      <c r="E296" s="1197">
        <v>899.13</v>
      </c>
      <c r="F296" s="1193" t="s">
        <v>398</v>
      </c>
      <c r="G296" s="1193" t="s">
        <v>2623</v>
      </c>
      <c r="H296" s="948"/>
      <c r="I296" s="951"/>
      <c r="J296" s="951"/>
      <c r="K296" s="951"/>
      <c r="L296" s="150">
        <f t="shared" si="20"/>
        <v>6245</v>
      </c>
      <c r="M296" s="151" t="str">
        <f t="shared" si="21"/>
        <v>VEHICULE DE COMPAGNIE - DEPENS</v>
      </c>
      <c r="N296" s="152">
        <f>+IF(OR($Q296=Parametres!$G$2,$Q296=Parametres!$G$3),I296,C296)</f>
        <v>486.77</v>
      </c>
      <c r="O296" s="1084">
        <f>+IF(OR($Q296=Parametres!$G$2,$Q296=Parametres!$G$3),J296,D296)</f>
        <v>412.36</v>
      </c>
      <c r="P296" s="152">
        <f>+IF(OR($Q296=Parametres!$G$2,$Q296=Parametres!$G$3),K296,E296)</f>
        <v>899.13</v>
      </c>
      <c r="Q296" s="151" t="str">
        <f t="shared" si="22"/>
        <v>7-Dépenses</v>
      </c>
      <c r="R296" s="150" t="str">
        <f t="shared" si="23"/>
        <v>6145</v>
      </c>
      <c r="S296" s="151">
        <f t="shared" si="24"/>
        <v>0</v>
      </c>
      <c r="T296" s="153">
        <f>+VLOOKUP($L296,Data_Validation!$A:$D,1,0)</f>
        <v>6245</v>
      </c>
      <c r="U296" s="153" t="str">
        <f>+VLOOKUP($L296,Data_Validation!$A:$D,3,0)</f>
        <v>Véhicules usagés</v>
      </c>
      <c r="V296" s="153" t="str">
        <f>+VLOOKUP($L296,Data_Validation!$A:$D,4,0)</f>
        <v>Frais véhicules de cie</v>
      </c>
      <c r="W296" s="153" t="str">
        <f>+VLOOKUP($L296,Data_Validation!$A:$E,5,0)</f>
        <v>$</v>
      </c>
      <c r="X296" s="153">
        <f>+VLOOKUP($L296,Data_Validation!$A:$F,6,0)</f>
        <v>0</v>
      </c>
    </row>
    <row r="297" spans="1:24" ht="15.75" customHeight="1">
      <c r="A297" s="1193" t="s">
        <v>1177</v>
      </c>
      <c r="B297" s="1194">
        <v>6247</v>
      </c>
      <c r="C297" s="1197">
        <v>237.93</v>
      </c>
      <c r="D297" s="1197">
        <v>60.88</v>
      </c>
      <c r="E297" s="1197">
        <v>298.81</v>
      </c>
      <c r="F297" s="1193" t="s">
        <v>398</v>
      </c>
      <c r="G297" s="1193" t="s">
        <v>2572</v>
      </c>
      <c r="H297" s="948"/>
      <c r="I297" s="949"/>
      <c r="J297" s="949"/>
      <c r="K297" s="949"/>
      <c r="L297" s="150">
        <f t="shared" si="20"/>
        <v>6247</v>
      </c>
      <c r="M297" s="151" t="str">
        <f t="shared" si="21"/>
        <v>FRET/EXPRESS/TRANS. PAR CAMION</v>
      </c>
      <c r="N297" s="152">
        <f>+IF(OR($Q297=Parametres!$G$2,$Q297=Parametres!$G$3),I297,C297)</f>
        <v>237.93</v>
      </c>
      <c r="O297" s="1084">
        <f>+IF(OR($Q297=Parametres!$G$2,$Q297=Parametres!$G$3),J297,D297)</f>
        <v>60.88</v>
      </c>
      <c r="P297" s="152">
        <f>+IF(OR($Q297=Parametres!$G$2,$Q297=Parametres!$G$3),K297,E297)</f>
        <v>298.81</v>
      </c>
      <c r="Q297" s="151" t="str">
        <f t="shared" si="22"/>
        <v>7-Dépenses</v>
      </c>
      <c r="R297" s="150" t="str">
        <f t="shared" si="23"/>
        <v>6147</v>
      </c>
      <c r="S297" s="151">
        <f t="shared" si="24"/>
        <v>0</v>
      </c>
      <c r="T297" s="153">
        <f>+VLOOKUP($L297,Data_Validation!$A:$D,1,0)</f>
        <v>6247</v>
      </c>
      <c r="U297" s="153" t="str">
        <f>+VLOOKUP($L297,Data_Validation!$A:$D,3,0)</f>
        <v>Véhicules usagés</v>
      </c>
      <c r="V297" s="153" t="str">
        <f>+VLOOKUP($L297,Data_Validation!$A:$D,4,0)</f>
        <v>Frais postaux</v>
      </c>
      <c r="W297" s="153" t="str">
        <f>+VLOOKUP($L297,Data_Validation!$A:$E,5,0)</f>
        <v>$</v>
      </c>
      <c r="X297" s="153">
        <f>+VLOOKUP($L297,Data_Validation!$A:$F,6,0)</f>
        <v>0</v>
      </c>
    </row>
    <row r="298" spans="1:24" ht="15" customHeight="1">
      <c r="A298" s="1193" t="s">
        <v>1283</v>
      </c>
      <c r="B298" s="1194">
        <v>6251</v>
      </c>
      <c r="C298" s="1197">
        <v>10674.09</v>
      </c>
      <c r="D298" s="1197">
        <v>2728.6</v>
      </c>
      <c r="E298" s="1197">
        <v>13402.69</v>
      </c>
      <c r="F298" s="1193" t="s">
        <v>398</v>
      </c>
      <c r="G298" s="1193" t="s">
        <v>2693</v>
      </c>
      <c r="H298" s="948"/>
      <c r="I298" s="951"/>
      <c r="J298" s="951"/>
      <c r="K298" s="951"/>
      <c r="L298" s="150">
        <f t="shared" si="20"/>
        <v>6251</v>
      </c>
      <c r="M298" s="151" t="str">
        <f t="shared" si="21"/>
        <v>DEP. DU TRAITEMENT DES DONNEES</v>
      </c>
      <c r="N298" s="152">
        <f>+IF(OR($Q298=Parametres!$G$2,$Q298=Parametres!$G$3),I298,C298)</f>
        <v>10674.09</v>
      </c>
      <c r="O298" s="1084">
        <f>+IF(OR($Q298=Parametres!$G$2,$Q298=Parametres!$G$3),J298,D298)</f>
        <v>2728.6</v>
      </c>
      <c r="P298" s="152">
        <f>+IF(OR($Q298=Parametres!$G$2,$Q298=Parametres!$G$3),K298,E298)</f>
        <v>13402.69</v>
      </c>
      <c r="Q298" s="151" t="str">
        <f t="shared" si="22"/>
        <v>7-Dépenses</v>
      </c>
      <c r="R298" s="150" t="str">
        <f t="shared" si="23"/>
        <v>6151</v>
      </c>
      <c r="S298" s="151">
        <f t="shared" si="24"/>
        <v>0</v>
      </c>
      <c r="T298" s="153">
        <f>+VLOOKUP($L298,Data_Validation!$A:$D,1,0)</f>
        <v>6251</v>
      </c>
      <c r="U298" s="153" t="str">
        <f>+VLOOKUP($L298,Data_Validation!$A:$D,3,0)</f>
        <v>Véhicules usagés</v>
      </c>
      <c r="V298" s="153" t="str">
        <f>+VLOOKUP($L298,Data_Validation!$A:$D,4,0)</f>
        <v>Informatique</v>
      </c>
      <c r="W298" s="153" t="str">
        <f>+VLOOKUP($L298,Data_Validation!$A:$E,5,0)</f>
        <v>$</v>
      </c>
      <c r="X298" s="153">
        <f>+VLOOKUP($L298,Data_Validation!$A:$F,6,0)</f>
        <v>0</v>
      </c>
    </row>
    <row r="299" spans="1:24" ht="15" customHeight="1">
      <c r="A299" s="1193" t="s">
        <v>1203</v>
      </c>
      <c r="B299" s="1194">
        <v>6252</v>
      </c>
      <c r="C299" s="1197">
        <v>922.75</v>
      </c>
      <c r="D299" s="1197">
        <v>254.03</v>
      </c>
      <c r="E299" s="1197">
        <v>1176.78</v>
      </c>
      <c r="F299" s="1193" t="s">
        <v>398</v>
      </c>
      <c r="G299" s="1193" t="s">
        <v>2579</v>
      </c>
      <c r="H299" s="948"/>
      <c r="I299" s="951"/>
      <c r="J299" s="951"/>
      <c r="K299" s="951"/>
      <c r="L299" s="150">
        <f t="shared" si="20"/>
        <v>6252</v>
      </c>
      <c r="M299" s="151" t="str">
        <f t="shared" si="21"/>
        <v>PAPETERIE</v>
      </c>
      <c r="N299" s="152">
        <f>+IF(OR($Q299=Parametres!$G$2,$Q299=Parametres!$G$3),I299,C299)</f>
        <v>922.75</v>
      </c>
      <c r="O299" s="1084">
        <f>+IF(OR($Q299=Parametres!$G$2,$Q299=Parametres!$G$3),J299,D299)</f>
        <v>254.03</v>
      </c>
      <c r="P299" s="152">
        <f>+IF(OR($Q299=Parametres!$G$2,$Q299=Parametres!$G$3),K299,E299)</f>
        <v>1176.78</v>
      </c>
      <c r="Q299" s="151" t="str">
        <f t="shared" si="22"/>
        <v>7-Dépenses</v>
      </c>
      <c r="R299" s="150" t="str">
        <f t="shared" si="23"/>
        <v>6152</v>
      </c>
      <c r="S299" s="151">
        <f t="shared" si="24"/>
        <v>0</v>
      </c>
      <c r="T299" s="153">
        <f>+VLOOKUP($L299,Data_Validation!$A:$D,1,0)</f>
        <v>6252</v>
      </c>
      <c r="U299" s="153" t="str">
        <f>+VLOOKUP($L299,Data_Validation!$A:$D,3,0)</f>
        <v>Véhicules usagés</v>
      </c>
      <c r="V299" s="153" t="str">
        <f>+VLOOKUP($L299,Data_Validation!$A:$D,4,0)</f>
        <v>Papeterie</v>
      </c>
      <c r="W299" s="153" t="str">
        <f>+VLOOKUP($L299,Data_Validation!$A:$E,5,0)</f>
        <v>$</v>
      </c>
      <c r="X299" s="153">
        <f>+VLOOKUP($L299,Data_Validation!$A:$F,6,0)</f>
        <v>0</v>
      </c>
    </row>
    <row r="300" spans="1:24" ht="15" customHeight="1">
      <c r="A300" s="1193" t="s">
        <v>1151</v>
      </c>
      <c r="B300" s="1194">
        <v>6253</v>
      </c>
      <c r="C300" s="1197">
        <v>156.28</v>
      </c>
      <c r="D300" s="1197">
        <v>47.52</v>
      </c>
      <c r="E300" s="1197">
        <v>203.8</v>
      </c>
      <c r="F300" s="1193" t="s">
        <v>398</v>
      </c>
      <c r="G300" s="1193" t="s">
        <v>2583</v>
      </c>
      <c r="H300" s="948"/>
      <c r="I300" s="949"/>
      <c r="J300" s="949"/>
      <c r="K300" s="949"/>
      <c r="L300" s="150">
        <f t="shared" si="20"/>
        <v>6253</v>
      </c>
      <c r="M300" s="151" t="str">
        <f t="shared" si="21"/>
        <v>TELEPHONE ET TELEX</v>
      </c>
      <c r="N300" s="152">
        <f>+IF(OR($Q300=Parametres!$G$2,$Q300=Parametres!$G$3),I300,C300)</f>
        <v>156.28</v>
      </c>
      <c r="O300" s="1084">
        <f>+IF(OR($Q300=Parametres!$G$2,$Q300=Parametres!$G$3),J300,D300)</f>
        <v>47.52</v>
      </c>
      <c r="P300" s="152">
        <f>+IF(OR($Q300=Parametres!$G$2,$Q300=Parametres!$G$3),K300,E300)</f>
        <v>203.8</v>
      </c>
      <c r="Q300" s="151" t="str">
        <f t="shared" si="22"/>
        <v>7-Dépenses</v>
      </c>
      <c r="R300" s="150" t="str">
        <f t="shared" si="23"/>
        <v>6153</v>
      </c>
      <c r="S300" s="151">
        <f t="shared" si="24"/>
        <v>0</v>
      </c>
      <c r="T300" s="153">
        <f>+VLOOKUP($L300,Data_Validation!$A:$D,1,0)</f>
        <v>6253</v>
      </c>
      <c r="U300" s="153" t="str">
        <f>+VLOOKUP($L300,Data_Validation!$A:$D,3,0)</f>
        <v>Véhicules usagés</v>
      </c>
      <c r="V300" s="153" t="str">
        <f>+VLOOKUP($L300,Data_Validation!$A:$D,4,0)</f>
        <v>Téléphone</v>
      </c>
      <c r="W300" s="153" t="str">
        <f>+VLOOKUP($L300,Data_Validation!$A:$E,5,0)</f>
        <v>$</v>
      </c>
      <c r="X300" s="153">
        <f>+VLOOKUP($L300,Data_Validation!$A:$F,6,0)</f>
        <v>0</v>
      </c>
    </row>
    <row r="301" spans="1:24" ht="15.75" customHeight="1">
      <c r="A301" s="1193" t="s">
        <v>1234</v>
      </c>
      <c r="B301" s="1194">
        <v>6255</v>
      </c>
      <c r="C301" s="1197">
        <v>624.04</v>
      </c>
      <c r="D301" s="1197">
        <v>100.35</v>
      </c>
      <c r="E301" s="1197">
        <v>724.39</v>
      </c>
      <c r="F301" s="1193" t="s">
        <v>398</v>
      </c>
      <c r="G301" s="1193" t="s">
        <v>2628</v>
      </c>
      <c r="H301" s="1201"/>
      <c r="I301" s="1201"/>
      <c r="J301" s="1201"/>
      <c r="K301" s="1201"/>
      <c r="L301" s="150">
        <f t="shared" si="20"/>
        <v>6255</v>
      </c>
      <c r="M301" s="151" t="str">
        <f t="shared" si="21"/>
        <v>DEPENSES DIVERS</v>
      </c>
      <c r="N301" s="152">
        <f>+IF(OR($Q301=Parametres!$G$2,$Q301=Parametres!$G$3),I301,C301)</f>
        <v>624.04</v>
      </c>
      <c r="O301" s="1082">
        <f>+IF(OR($Q301=Parametres!$G$2,$Q301=Parametres!$G$3),J301,D301)</f>
        <v>100.35</v>
      </c>
      <c r="P301" s="152">
        <f>+IF(OR($Q301=Parametres!$G$2,$Q301=Parametres!$G$3),K301,E301)</f>
        <v>724.39</v>
      </c>
      <c r="Q301" s="151" t="str">
        <f t="shared" si="22"/>
        <v>7-Dépenses</v>
      </c>
      <c r="R301" s="150" t="str">
        <f t="shared" si="23"/>
        <v>6155</v>
      </c>
      <c r="S301" s="151">
        <f t="shared" si="24"/>
        <v>0</v>
      </c>
      <c r="T301" s="153">
        <f>+VLOOKUP($L301,Data_Validation!$A:$D,1,0)</f>
        <v>6255</v>
      </c>
      <c r="U301" s="153" t="str">
        <f>+VLOOKUP($L301,Data_Validation!$A:$D,3,0)</f>
        <v>Véhicules usagés</v>
      </c>
      <c r="V301" s="153" t="str">
        <f>+VLOOKUP($L301,Data_Validation!$A:$D,4,0)</f>
        <v>Divers</v>
      </c>
      <c r="W301" s="153" t="str">
        <f>+VLOOKUP($L301,Data_Validation!$A:$E,5,0)</f>
        <v>$</v>
      </c>
      <c r="X301" s="153">
        <f>+VLOOKUP($L301,Data_Validation!$A:$F,6,0)</f>
        <v>0</v>
      </c>
    </row>
    <row r="302" spans="1:24" ht="15" customHeight="1">
      <c r="A302" s="1193" t="s">
        <v>1244</v>
      </c>
      <c r="B302" s="1194">
        <v>6256</v>
      </c>
      <c r="C302" s="1197">
        <v>731.11</v>
      </c>
      <c r="D302" s="1197">
        <v>441.76</v>
      </c>
      <c r="E302" s="1197">
        <v>1172.8699999999999</v>
      </c>
      <c r="F302" s="1193" t="s">
        <v>398</v>
      </c>
      <c r="G302" s="1193" t="s">
        <v>2461</v>
      </c>
      <c r="H302" s="1201"/>
      <c r="I302" s="1202"/>
      <c r="J302" s="1202"/>
      <c r="K302" s="1202"/>
      <c r="L302" s="150">
        <f t="shared" si="20"/>
        <v>6256</v>
      </c>
      <c r="M302" s="151" t="str">
        <f t="shared" si="21"/>
        <v>FRAIS REPRESENTATION - USAGE</v>
      </c>
      <c r="N302" s="152">
        <f>+IF(OR($Q302=Parametres!$G$2,$Q302=Parametres!$G$3),I302,C302)</f>
        <v>731.11</v>
      </c>
      <c r="O302" s="1084">
        <f>+IF(OR($Q302=Parametres!$G$2,$Q302=Parametres!$G$3),J302,D302)</f>
        <v>441.76</v>
      </c>
      <c r="P302" s="152">
        <f>+IF(OR($Q302=Parametres!$G$2,$Q302=Parametres!$G$3),K302,E302)</f>
        <v>1172.8699999999999</v>
      </c>
      <c r="Q302" s="151" t="str">
        <f t="shared" si="22"/>
        <v>7-Dépenses</v>
      </c>
      <c r="R302" s="150" t="str">
        <f t="shared" si="23"/>
        <v>6156</v>
      </c>
      <c r="S302" s="151">
        <f t="shared" si="24"/>
        <v>0</v>
      </c>
      <c r="T302" s="153">
        <f>+VLOOKUP($L302,Data_Validation!$A:$D,1,0)</f>
        <v>6256</v>
      </c>
      <c r="U302" s="153" t="str">
        <f>+VLOOKUP($L302,Data_Validation!$A:$D,3,0)</f>
        <v>Véhicules usagés</v>
      </c>
      <c r="V302" s="153" t="str">
        <f>+VLOOKUP($L302,Data_Validation!$A:$D,4,0)</f>
        <v>Frais de déplacement</v>
      </c>
      <c r="W302" s="153" t="str">
        <f>+VLOOKUP($L302,Data_Validation!$A:$E,5,0)</f>
        <v>$</v>
      </c>
      <c r="X302" s="153">
        <f>+VLOOKUP($L302,Data_Validation!$A:$F,6,0)</f>
        <v>0</v>
      </c>
    </row>
    <row r="303" spans="1:24" ht="15" customHeight="1">
      <c r="A303" s="1193" t="s">
        <v>1305</v>
      </c>
      <c r="B303" s="1194">
        <v>6259</v>
      </c>
      <c r="C303" s="1197">
        <v>4236.66</v>
      </c>
      <c r="D303" s="1197">
        <v>616.32000000000005</v>
      </c>
      <c r="E303" s="1197">
        <v>4852.9799999999996</v>
      </c>
      <c r="F303" s="1193" t="s">
        <v>398</v>
      </c>
      <c r="G303" s="1193" t="s">
        <v>2653</v>
      </c>
      <c r="H303" s="1201"/>
      <c r="I303" s="1201"/>
      <c r="J303" s="1201"/>
      <c r="K303" s="1201"/>
      <c r="L303" s="150">
        <f t="shared" si="20"/>
        <v>6259</v>
      </c>
      <c r="M303" s="151" t="str">
        <f t="shared" si="21"/>
        <v>SERVICE EXTERIEUR</v>
      </c>
      <c r="N303" s="152">
        <f>+IF(OR($Q303=Parametres!$G$2,$Q303=Parametres!$G$3),I303,C303)</f>
        <v>4236.66</v>
      </c>
      <c r="O303" s="1082">
        <f>+IF(OR($Q303=Parametres!$G$2,$Q303=Parametres!$G$3),J303,D303)</f>
        <v>616.32000000000005</v>
      </c>
      <c r="P303" s="152">
        <f>+IF(OR($Q303=Parametres!$G$2,$Q303=Parametres!$G$3),K303,E303)</f>
        <v>4852.9799999999996</v>
      </c>
      <c r="Q303" s="151" t="str">
        <f t="shared" si="22"/>
        <v>7-Dépenses</v>
      </c>
      <c r="R303" s="150" t="str">
        <f t="shared" si="23"/>
        <v>6159</v>
      </c>
      <c r="S303" s="151">
        <f t="shared" si="24"/>
        <v>0</v>
      </c>
      <c r="T303" s="153">
        <f>+VLOOKUP($L303,Data_Validation!$A:$D,1,0)</f>
        <v>6259</v>
      </c>
      <c r="U303" s="153" t="str">
        <f>+VLOOKUP($L303,Data_Validation!$A:$D,3,0)</f>
        <v>Véhicules usagés</v>
      </c>
      <c r="V303" s="153" t="str">
        <f>+VLOOKUP($L303,Data_Validation!$A:$D,4,0)</f>
        <v>Services extérieurs</v>
      </c>
      <c r="W303" s="153" t="str">
        <f>+VLOOKUP($L303,Data_Validation!$A:$E,5,0)</f>
        <v>$</v>
      </c>
      <c r="X303" s="153">
        <f>+VLOOKUP($L303,Data_Validation!$A:$F,6,0)</f>
        <v>0</v>
      </c>
    </row>
    <row r="304" spans="1:24" ht="15" customHeight="1">
      <c r="A304" s="1193" t="s">
        <v>1330</v>
      </c>
      <c r="B304" s="1194">
        <v>6261</v>
      </c>
      <c r="C304" s="1197">
        <v>2070.96</v>
      </c>
      <c r="D304" s="1197">
        <v>517.74</v>
      </c>
      <c r="E304" s="1197">
        <v>2588.6999999999998</v>
      </c>
      <c r="F304" s="1193" t="s">
        <v>398</v>
      </c>
      <c r="G304" s="1193" t="s">
        <v>2644</v>
      </c>
      <c r="H304" s="1201"/>
      <c r="I304" s="1201"/>
      <c r="J304" s="1201"/>
      <c r="K304" s="1201"/>
      <c r="L304" s="150">
        <f t="shared" si="20"/>
        <v>6261</v>
      </c>
      <c r="M304" s="151" t="str">
        <f t="shared" si="21"/>
        <v>DEPRECIATION EQUIP. &amp; FIXTURES</v>
      </c>
      <c r="N304" s="152">
        <f>+IF(OR($Q304=Parametres!$G$2,$Q304=Parametres!$G$3),I304,C304)</f>
        <v>2070.96</v>
      </c>
      <c r="O304" s="1085">
        <f>+IF(OR($Q304=Parametres!$G$2,$Q304=Parametres!$G$3),J304,D304)</f>
        <v>517.74</v>
      </c>
      <c r="P304" s="152">
        <f>+IF(OR($Q304=Parametres!$G$2,$Q304=Parametres!$G$3),K304,E304)</f>
        <v>2588.6999999999998</v>
      </c>
      <c r="Q304" s="151" t="str">
        <f t="shared" si="22"/>
        <v>7-Dépenses</v>
      </c>
      <c r="R304" s="150" t="str">
        <f t="shared" si="23"/>
        <v>6161</v>
      </c>
      <c r="S304" s="151">
        <f t="shared" si="24"/>
        <v>0</v>
      </c>
      <c r="T304" s="153">
        <f>+VLOOKUP($L304,Data_Validation!$A:$D,1,0)</f>
        <v>6261</v>
      </c>
      <c r="U304" s="153" t="str">
        <f>+VLOOKUP($L304,Data_Validation!$A:$D,3,0)</f>
        <v>Véhicules usagés</v>
      </c>
      <c r="V304" s="153" t="str">
        <f>+VLOOKUP($L304,Data_Validation!$A:$D,4,0)</f>
        <v>Amortissement</v>
      </c>
      <c r="W304" s="153" t="str">
        <f>+VLOOKUP($L304,Data_Validation!$A:$E,5,0)</f>
        <v>$</v>
      </c>
      <c r="X304" s="153">
        <f>+VLOOKUP($L304,Data_Validation!$A:$F,6,0)</f>
        <v>0</v>
      </c>
    </row>
    <row r="305" spans="1:24" ht="15.75" customHeight="1">
      <c r="A305" s="1193" t="s">
        <v>1377</v>
      </c>
      <c r="B305" s="1194">
        <v>6281</v>
      </c>
      <c r="C305" s="1197">
        <v>971.69</v>
      </c>
      <c r="D305" s="1197">
        <v>448.23</v>
      </c>
      <c r="E305" s="1197">
        <v>1419.92</v>
      </c>
      <c r="F305" s="1193" t="s">
        <v>398</v>
      </c>
      <c r="G305" s="1193" t="s">
        <v>2595</v>
      </c>
      <c r="H305" s="1201"/>
      <c r="I305" s="1202"/>
      <c r="J305" s="1202"/>
      <c r="K305" s="1202"/>
      <c r="L305" s="150">
        <f t="shared" si="20"/>
        <v>6281</v>
      </c>
      <c r="M305" s="151" t="str">
        <f t="shared" si="21"/>
        <v>CHAUFFAGE,ELECTRICITE,EAU-USAGE</v>
      </c>
      <c r="N305" s="152">
        <f>+IF(OR($Q305=Parametres!$G$2,$Q305=Parametres!$G$3),I305,C305)</f>
        <v>971.69</v>
      </c>
      <c r="O305" s="1084">
        <f>+IF(OR($Q305=Parametres!$G$2,$Q305=Parametres!$G$3),J305,D305)</f>
        <v>448.23</v>
      </c>
      <c r="P305" s="152">
        <f>+IF(OR($Q305=Parametres!$G$2,$Q305=Parametres!$G$3),K305,E305)</f>
        <v>1419.92</v>
      </c>
      <c r="Q305" s="151" t="str">
        <f t="shared" si="22"/>
        <v>7-Dépenses</v>
      </c>
      <c r="R305" s="150" t="str">
        <f t="shared" si="23"/>
        <v>6181</v>
      </c>
      <c r="S305" s="151">
        <f t="shared" si="24"/>
        <v>0</v>
      </c>
      <c r="T305" s="153">
        <f>+VLOOKUP($L305,Data_Validation!$A:$D,1,0)</f>
        <v>6281</v>
      </c>
      <c r="U305" s="153" t="str">
        <f>+VLOOKUP($L305,Data_Validation!$A:$D,3,0)</f>
        <v>Véhicules usagés</v>
      </c>
      <c r="V305" s="153" t="str">
        <f>+VLOOKUP($L305,Data_Validation!$A:$D,4,0)</f>
        <v>Chauffage, éclairage</v>
      </c>
      <c r="W305" s="153" t="str">
        <f>+VLOOKUP($L305,Data_Validation!$A:$E,5,0)</f>
        <v>$</v>
      </c>
      <c r="X305" s="153">
        <f>+VLOOKUP($L305,Data_Validation!$A:$F,6,0)</f>
        <v>0</v>
      </c>
    </row>
    <row r="306" spans="1:24" ht="15" customHeight="1">
      <c r="A306" s="1193" t="s">
        <v>1459</v>
      </c>
      <c r="B306" s="1194">
        <v>6282</v>
      </c>
      <c r="C306" s="1197">
        <v>12480</v>
      </c>
      <c r="D306" s="1197">
        <v>3120</v>
      </c>
      <c r="E306" s="1197">
        <v>15600</v>
      </c>
      <c r="F306" s="1193" t="s">
        <v>398</v>
      </c>
      <c r="G306" s="1193" t="s">
        <v>2700</v>
      </c>
      <c r="H306" s="987"/>
      <c r="I306" s="987"/>
      <c r="J306" s="987"/>
      <c r="K306" s="987"/>
      <c r="L306" s="150">
        <f t="shared" si="20"/>
        <v>6282</v>
      </c>
      <c r="M306" s="151" t="str">
        <f t="shared" si="21"/>
        <v>LOYER - USAGE</v>
      </c>
      <c r="N306" s="152">
        <f>+IF(OR($Q306=Parametres!$G$2,$Q306=Parametres!$G$3),I306,C306)</f>
        <v>12480</v>
      </c>
      <c r="O306" s="1084">
        <f>+IF(OR($Q306=Parametres!$G$2,$Q306=Parametres!$G$3),J306,D306)</f>
        <v>3120</v>
      </c>
      <c r="P306" s="152">
        <f>+IF(OR($Q306=Parametres!$G$2,$Q306=Parametres!$G$3),K306,E306)</f>
        <v>15600</v>
      </c>
      <c r="Q306" s="151" t="str">
        <f t="shared" si="22"/>
        <v>7-Dépenses</v>
      </c>
      <c r="R306" s="150" t="str">
        <f t="shared" si="23"/>
        <v>6182</v>
      </c>
      <c r="S306" s="151">
        <f t="shared" si="24"/>
        <v>0</v>
      </c>
      <c r="T306" s="153">
        <f>+VLOOKUP($L306,Data_Validation!$A:$D,1,0)</f>
        <v>6282</v>
      </c>
      <c r="U306" s="153" t="str">
        <f>+VLOOKUP($L306,Data_Validation!$A:$D,3,0)</f>
        <v>Véhicules usagés</v>
      </c>
      <c r="V306" s="153" t="str">
        <f>+VLOOKUP($L306,Data_Validation!$A:$D,4,0)</f>
        <v>Loyer</v>
      </c>
      <c r="W306" s="153" t="str">
        <f>+VLOOKUP($L306,Data_Validation!$A:$E,5,0)</f>
        <v>$</v>
      </c>
      <c r="X306" s="153">
        <f>+VLOOKUP($L306,Data_Validation!$A:$F,6,0)</f>
        <v>0</v>
      </c>
    </row>
    <row r="307" spans="1:24" ht="15" customHeight="1">
      <c r="A307" s="1193" t="s">
        <v>1287</v>
      </c>
      <c r="B307" s="1194">
        <v>6286</v>
      </c>
      <c r="C307" s="1197">
        <v>2050.08</v>
      </c>
      <c r="D307" s="1197">
        <v>512.52</v>
      </c>
      <c r="E307" s="1197">
        <v>2562.6</v>
      </c>
      <c r="F307" s="1193" t="s">
        <v>398</v>
      </c>
      <c r="G307" s="1193" t="s">
        <v>2585</v>
      </c>
      <c r="H307" s="1201"/>
      <c r="I307" s="1201"/>
      <c r="J307" s="1201"/>
      <c r="K307" s="1201"/>
      <c r="L307" s="150">
        <f t="shared" si="20"/>
        <v>6286</v>
      </c>
      <c r="M307" s="151" t="str">
        <f t="shared" si="21"/>
        <v>ASSURANCE BATISSE &amp; AMEL.-USAGE</v>
      </c>
      <c r="N307" s="152">
        <f>+IF(OR($Q307=Parametres!$G$2,$Q307=Parametres!$G$3),I307,C307)</f>
        <v>2050.08</v>
      </c>
      <c r="O307" s="1082">
        <f>+IF(OR($Q307=Parametres!$G$2,$Q307=Parametres!$G$3),J307,D307)</f>
        <v>512.52</v>
      </c>
      <c r="P307" s="152">
        <f>+IF(OR($Q307=Parametres!$G$2,$Q307=Parametres!$G$3),K307,E307)</f>
        <v>2562.6</v>
      </c>
      <c r="Q307" s="151" t="str">
        <f t="shared" si="22"/>
        <v>7-Dépenses</v>
      </c>
      <c r="R307" s="150" t="str">
        <f t="shared" si="23"/>
        <v>6186</v>
      </c>
      <c r="S307" s="151">
        <f t="shared" si="24"/>
        <v>0</v>
      </c>
      <c r="T307" s="153">
        <f>+VLOOKUP($L307,Data_Validation!$A:$D,1,0)</f>
        <v>6286</v>
      </c>
      <c r="U307" s="153" t="str">
        <f>+VLOOKUP($L307,Data_Validation!$A:$D,3,0)</f>
        <v>Véhicules usagés</v>
      </c>
      <c r="V307" s="153" t="str">
        <f>+VLOOKUP($L307,Data_Validation!$A:$D,4,0)</f>
        <v>Assurances</v>
      </c>
      <c r="W307" s="153" t="str">
        <f>+VLOOKUP($L307,Data_Validation!$A:$E,5,0)</f>
        <v>$</v>
      </c>
      <c r="X307" s="153">
        <f>+VLOOKUP($L307,Data_Validation!$A:$F,6,0)</f>
        <v>0</v>
      </c>
    </row>
    <row r="308" spans="1:24" ht="15" customHeight="1">
      <c r="A308" s="1193" t="s">
        <v>1200</v>
      </c>
      <c r="B308" s="1194">
        <v>6287</v>
      </c>
      <c r="C308" s="1197">
        <v>2366.4</v>
      </c>
      <c r="D308" s="1197">
        <v>591.6</v>
      </c>
      <c r="E308" s="1197">
        <v>2958</v>
      </c>
      <c r="F308" s="1193" t="s">
        <v>398</v>
      </c>
      <c r="G308" s="1193" t="s">
        <v>2605</v>
      </c>
      <c r="H308" s="1201"/>
      <c r="I308" s="1201"/>
      <c r="J308" s="1201"/>
      <c r="K308" s="1201"/>
      <c r="L308" s="150">
        <f t="shared" si="20"/>
        <v>6287</v>
      </c>
      <c r="M308" s="151" t="str">
        <f t="shared" si="21"/>
        <v>TAXES FONCIERES - USAGE</v>
      </c>
      <c r="N308" s="152">
        <f>+IF(OR($Q308=Parametres!$G$2,$Q308=Parametres!$G$3),I308,C308)</f>
        <v>2366.4</v>
      </c>
      <c r="O308" s="1084">
        <f>+IF(OR($Q308=Parametres!$G$2,$Q308=Parametres!$G$3),J308,D308)</f>
        <v>591.6</v>
      </c>
      <c r="P308" s="152">
        <f>+IF(OR($Q308=Parametres!$G$2,$Q308=Parametres!$G$3),K308,E308)</f>
        <v>2958</v>
      </c>
      <c r="Q308" s="151" t="str">
        <f t="shared" si="22"/>
        <v>7-Dépenses</v>
      </c>
      <c r="R308" s="150" t="str">
        <f t="shared" si="23"/>
        <v>6187</v>
      </c>
      <c r="S308" s="151">
        <f t="shared" si="24"/>
        <v>0</v>
      </c>
      <c r="T308" s="153">
        <f>+VLOOKUP($L308,Data_Validation!$A:$D,1,0)</f>
        <v>6287</v>
      </c>
      <c r="U308" s="153" t="str">
        <f>+VLOOKUP($L308,Data_Validation!$A:$D,3,0)</f>
        <v>Véhicules usagés</v>
      </c>
      <c r="V308" s="153" t="str">
        <f>+VLOOKUP($L308,Data_Validation!$A:$D,4,0)</f>
        <v>Taxes foncières</v>
      </c>
      <c r="W308" s="153" t="str">
        <f>+VLOOKUP($L308,Data_Validation!$A:$E,5,0)</f>
        <v>$</v>
      </c>
      <c r="X308" s="153">
        <f>+VLOOKUP($L308,Data_Validation!$A:$F,6,0)</f>
        <v>0</v>
      </c>
    </row>
    <row r="309" spans="1:24" ht="15.75" customHeight="1">
      <c r="A309" s="1193" t="s">
        <v>1390</v>
      </c>
      <c r="B309" s="1194">
        <v>6293</v>
      </c>
      <c r="C309" s="1197">
        <v>1574.4</v>
      </c>
      <c r="D309" s="1197">
        <v>393.6</v>
      </c>
      <c r="E309" s="1197">
        <v>1968</v>
      </c>
      <c r="F309" s="1193" t="s">
        <v>398</v>
      </c>
      <c r="G309" s="1193" t="s">
        <v>2588</v>
      </c>
      <c r="H309" s="1201"/>
      <c r="I309" s="1201"/>
      <c r="J309" s="1201"/>
      <c r="K309" s="1201"/>
      <c r="L309" s="150">
        <f t="shared" si="20"/>
        <v>6293</v>
      </c>
      <c r="M309" s="151" t="str">
        <f t="shared" si="21"/>
        <v>AUTRE TAXES - USAGES</v>
      </c>
      <c r="N309" s="152">
        <f>+IF(OR($Q309=Parametres!$G$2,$Q309=Parametres!$G$3),I309,C309)</f>
        <v>1574.4</v>
      </c>
      <c r="O309" s="1084">
        <f>+IF(OR($Q309=Parametres!$G$2,$Q309=Parametres!$G$3),J309,D309)</f>
        <v>393.6</v>
      </c>
      <c r="P309" s="152">
        <f>+IF(OR($Q309=Parametres!$G$2,$Q309=Parametres!$G$3),K309,E309)</f>
        <v>1968</v>
      </c>
      <c r="Q309" s="151" t="str">
        <f t="shared" si="22"/>
        <v>7-Dépenses</v>
      </c>
      <c r="R309" s="150" t="str">
        <f t="shared" si="23"/>
        <v>6193</v>
      </c>
      <c r="S309" s="151">
        <f t="shared" si="24"/>
        <v>0</v>
      </c>
      <c r="T309" s="153">
        <f>+VLOOKUP($L309,Data_Validation!$A:$D,1,0)</f>
        <v>6293</v>
      </c>
      <c r="U309" s="153" t="str">
        <f>+VLOOKUP($L309,Data_Validation!$A:$D,3,0)</f>
        <v>Véhicules usagés</v>
      </c>
      <c r="V309" s="153" t="str">
        <f>+VLOOKUP($L309,Data_Validation!$A:$D,4,0)</f>
        <v>Taxes d`affaires</v>
      </c>
      <c r="W309" s="153" t="str">
        <f>+VLOOKUP($L309,Data_Validation!$A:$E,5,0)</f>
        <v>$</v>
      </c>
      <c r="X309" s="153">
        <f>+VLOOKUP($L309,Data_Validation!$A:$F,6,0)</f>
        <v>0</v>
      </c>
    </row>
    <row r="310" spans="1:24" ht="15" customHeight="1">
      <c r="A310" s="1193" t="s">
        <v>1315</v>
      </c>
      <c r="B310" s="1194">
        <v>6294</v>
      </c>
      <c r="C310" s="1197">
        <v>2939.2</v>
      </c>
      <c r="D310" s="1197">
        <v>734.8</v>
      </c>
      <c r="E310" s="1197">
        <v>3674</v>
      </c>
      <c r="F310" s="1193" t="s">
        <v>398</v>
      </c>
      <c r="G310" s="1193" t="s">
        <v>2626</v>
      </c>
      <c r="H310" s="1201"/>
      <c r="I310" s="1201"/>
      <c r="J310" s="1201"/>
      <c r="K310" s="1201"/>
      <c r="L310" s="150">
        <f t="shared" si="20"/>
        <v>6294</v>
      </c>
      <c r="M310" s="151" t="str">
        <f t="shared" si="21"/>
        <v>FRAIS PROFESSIONNEL-USAGE</v>
      </c>
      <c r="N310" s="152">
        <f>+IF(OR($Q310=Parametres!$G$2,$Q310=Parametres!$G$3),I310,C310)</f>
        <v>2939.2</v>
      </c>
      <c r="O310" s="1084">
        <f>+IF(OR($Q310=Parametres!$G$2,$Q310=Parametres!$G$3),J310,D310)</f>
        <v>734.8</v>
      </c>
      <c r="P310" s="152">
        <f>+IF(OR($Q310=Parametres!$G$2,$Q310=Parametres!$G$3),K310,E310)</f>
        <v>3674</v>
      </c>
      <c r="Q310" s="151" t="str">
        <f t="shared" si="22"/>
        <v>7-Dépenses</v>
      </c>
      <c r="R310" s="150" t="str">
        <f t="shared" si="23"/>
        <v>6194</v>
      </c>
      <c r="S310" s="151">
        <f t="shared" si="24"/>
        <v>0</v>
      </c>
      <c r="T310" s="153">
        <f>+VLOOKUP($L310,Data_Validation!$A:$D,1,0)</f>
        <v>6294</v>
      </c>
      <c r="U310" s="153" t="str">
        <f>+VLOOKUP($L310,Data_Validation!$A:$D,3,0)</f>
        <v>Véhicules usagés</v>
      </c>
      <c r="V310" s="153" t="str">
        <f>+VLOOKUP($L310,Data_Validation!$A:$D,4,0)</f>
        <v>Honoraires</v>
      </c>
      <c r="W310" s="153" t="str">
        <f>+VLOOKUP($L310,Data_Validation!$A:$E,5,0)</f>
        <v>$</v>
      </c>
      <c r="X310" s="153">
        <f>+VLOOKUP($L310,Data_Validation!$A:$F,6,0)</f>
        <v>0</v>
      </c>
    </row>
    <row r="311" spans="1:24" ht="15" customHeight="1">
      <c r="A311" s="1193" t="s">
        <v>1400</v>
      </c>
      <c r="B311" s="1194">
        <v>6403</v>
      </c>
      <c r="C311" s="1197">
        <v>8536.48</v>
      </c>
      <c r="D311" s="1197">
        <v>2822.28</v>
      </c>
      <c r="E311" s="1197">
        <v>11358.76</v>
      </c>
      <c r="F311" s="1193" t="s">
        <v>398</v>
      </c>
      <c r="G311" s="1193" t="s">
        <v>2458</v>
      </c>
      <c r="H311" s="1201"/>
      <c r="I311" s="1201"/>
      <c r="J311" s="1201"/>
      <c r="K311" s="1201"/>
      <c r="L311" s="150">
        <f t="shared" si="20"/>
        <v>6403</v>
      </c>
      <c r="M311" s="151" t="str">
        <f t="shared" si="21"/>
        <v>RELAT. A LA CLIENTELE &amp; AJUST</v>
      </c>
      <c r="N311" s="152">
        <f>+IF(OR($Q311=Parametres!$G$2,$Q311=Parametres!$G$3),I311,C311)</f>
        <v>8536.48</v>
      </c>
      <c r="O311" s="1082">
        <f>+IF(OR($Q311=Parametres!$G$2,$Q311=Parametres!$G$3),J311,D311)</f>
        <v>2822.28</v>
      </c>
      <c r="P311" s="152">
        <f>+IF(OR($Q311=Parametres!$G$2,$Q311=Parametres!$G$3),K311,E311)</f>
        <v>11358.76</v>
      </c>
      <c r="Q311" s="151" t="str">
        <f t="shared" si="22"/>
        <v>7-Dépenses</v>
      </c>
      <c r="R311" s="150" t="str">
        <f t="shared" si="23"/>
        <v>6112</v>
      </c>
      <c r="S311" s="151">
        <f t="shared" si="24"/>
        <v>0</v>
      </c>
      <c r="T311" s="153">
        <f>+VLOOKUP($L311,Data_Validation!$A:$D,1,0)</f>
        <v>6403</v>
      </c>
      <c r="U311" s="153" t="str">
        <f>+VLOOKUP($L311,Data_Validation!$A:$D,3,0)</f>
        <v>Service</v>
      </c>
      <c r="V311" s="153" t="str">
        <f>+VLOOKUP($L311,Data_Validation!$A:$D,4,0)</f>
        <v>Service gratuit 2</v>
      </c>
      <c r="W311" s="153" t="str">
        <f>+VLOOKUP($L311,Data_Validation!$A:$E,5,0)</f>
        <v>$</v>
      </c>
      <c r="X311" s="153">
        <f>+VLOOKUP($L311,Data_Validation!$A:$F,6,0)</f>
        <v>0</v>
      </c>
    </row>
    <row r="312" spans="1:24" ht="15" customHeight="1">
      <c r="A312" s="1193" t="s">
        <v>1447</v>
      </c>
      <c r="B312" s="1194">
        <v>6412</v>
      </c>
      <c r="C312" s="1197">
        <v>-129.91</v>
      </c>
      <c r="D312" s="1197">
        <v>308.45999999999998</v>
      </c>
      <c r="E312" s="1197">
        <v>178.55</v>
      </c>
      <c r="F312" s="1193" t="s">
        <v>398</v>
      </c>
      <c r="G312" s="1193" t="s">
        <v>2458</v>
      </c>
      <c r="H312" s="1201"/>
      <c r="I312" s="1201"/>
      <c r="J312" s="1201"/>
      <c r="K312" s="1201"/>
      <c r="L312" s="150">
        <f t="shared" si="20"/>
        <v>6412</v>
      </c>
      <c r="M312" s="151" t="str">
        <f t="shared" si="21"/>
        <v>AUTORISATION &amp; GAR./VEH. USA</v>
      </c>
      <c r="N312" s="152">
        <f>+IF(OR($Q312=Parametres!$G$2,$Q312=Parametres!$G$3),I312,C312)</f>
        <v>-129.91</v>
      </c>
      <c r="O312" s="1084">
        <f>+IF(OR($Q312=Parametres!$G$2,$Q312=Parametres!$G$3),J312,D312)</f>
        <v>308.45999999999998</v>
      </c>
      <c r="P312" s="152">
        <f>+IF(OR($Q312=Parametres!$G$2,$Q312=Parametres!$G$3),K312,E312)</f>
        <v>178.55</v>
      </c>
      <c r="Q312" s="151" t="str">
        <f t="shared" si="22"/>
        <v>7-Dépenses</v>
      </c>
      <c r="R312" s="150" t="str">
        <f t="shared" si="23"/>
        <v>6112</v>
      </c>
      <c r="S312" s="151">
        <f t="shared" si="24"/>
        <v>0</v>
      </c>
      <c r="T312" s="153">
        <f>+VLOOKUP($L312,Data_Validation!$A:$D,1,0)</f>
        <v>6412</v>
      </c>
      <c r="U312" s="153" t="str">
        <f>+VLOOKUP($L312,Data_Validation!$A:$D,3,0)</f>
        <v>Service</v>
      </c>
      <c r="V312" s="153" t="str">
        <f>+VLOOKUP($L312,Data_Validation!$A:$D,4,0)</f>
        <v>Service gratuit 2</v>
      </c>
      <c r="W312" s="153" t="str">
        <f>+VLOOKUP($L312,Data_Validation!$A:$E,5,0)</f>
        <v>$</v>
      </c>
      <c r="X312" s="153">
        <f>+VLOOKUP($L312,Data_Validation!$A:$F,6,0)</f>
        <v>0</v>
      </c>
    </row>
    <row r="313" spans="1:24" ht="15" customHeight="1">
      <c r="A313" s="1193" t="s">
        <v>1371</v>
      </c>
      <c r="B313" s="1194">
        <v>6414</v>
      </c>
      <c r="C313" s="1197">
        <v>34235.53</v>
      </c>
      <c r="D313" s="1197">
        <v>17434.89</v>
      </c>
      <c r="E313" s="1197">
        <v>51670.42</v>
      </c>
      <c r="F313" s="1193" t="s">
        <v>398</v>
      </c>
      <c r="G313" s="1193" t="s">
        <v>2106</v>
      </c>
      <c r="H313" s="1201"/>
      <c r="I313" s="1201"/>
      <c r="J313" s="1201"/>
      <c r="K313" s="1201"/>
      <c r="L313" s="150">
        <f t="shared" si="20"/>
        <v>6414</v>
      </c>
      <c r="M313" s="151" t="str">
        <f t="shared" si="21"/>
        <v>PUBLICITE</v>
      </c>
      <c r="N313" s="152">
        <f>+IF(OR($Q313=Parametres!$G$2,$Q313=Parametres!$G$3),I313,C313)</f>
        <v>34235.53</v>
      </c>
      <c r="O313" s="1085">
        <f>+IF(OR($Q313=Parametres!$G$2,$Q313=Parametres!$G$3),J313,D313)</f>
        <v>17434.89</v>
      </c>
      <c r="P313" s="152">
        <f>+IF(OR($Q313=Parametres!$G$2,$Q313=Parametres!$G$3),K313,E313)</f>
        <v>51670.42</v>
      </c>
      <c r="Q313" s="151" t="str">
        <f t="shared" si="22"/>
        <v>7-Dépenses</v>
      </c>
      <c r="R313" s="150" t="str">
        <f t="shared" si="23"/>
        <v>6114</v>
      </c>
      <c r="S313" s="151">
        <f t="shared" si="24"/>
        <v>0</v>
      </c>
      <c r="T313" s="153">
        <f>+VLOOKUP($L313,Data_Validation!$A:$D,1,0)</f>
        <v>6414</v>
      </c>
      <c r="U313" s="153" t="str">
        <f>+VLOOKUP($L313,Data_Validation!$A:$D,3,0)</f>
        <v>Service</v>
      </c>
      <c r="V313" s="153" t="str">
        <f>+VLOOKUP($L313,Data_Validation!$A:$D,4,0)</f>
        <v>Publicité 2</v>
      </c>
      <c r="W313" s="153" t="str">
        <f>+VLOOKUP($L313,Data_Validation!$A:$E,5,0)</f>
        <v>$</v>
      </c>
      <c r="X313" s="153">
        <f>+VLOOKUP($L313,Data_Validation!$A:$F,6,0)</f>
        <v>0</v>
      </c>
    </row>
    <row r="314" spans="1:24" ht="15" customHeight="1">
      <c r="A314" s="1193" t="s">
        <v>1256</v>
      </c>
      <c r="B314" s="1194">
        <v>6421</v>
      </c>
      <c r="C314" s="1197">
        <v>14194.18</v>
      </c>
      <c r="D314" s="1197">
        <v>3835.32</v>
      </c>
      <c r="E314" s="1197">
        <v>18029.5</v>
      </c>
      <c r="F314" s="1193" t="s">
        <v>398</v>
      </c>
      <c r="G314" s="1193" t="s">
        <v>2639</v>
      </c>
      <c r="H314" s="1201"/>
      <c r="I314" s="1201"/>
      <c r="J314" s="1201"/>
      <c r="K314" s="1201"/>
      <c r="L314" s="150">
        <f t="shared" si="20"/>
        <v>6421</v>
      </c>
      <c r="M314" s="151" t="str">
        <f t="shared" si="21"/>
        <v>SALAIRES - PROPRIETAIRES</v>
      </c>
      <c r="N314" s="152">
        <f>+IF(OR($Q314=Parametres!$G$2,$Q314=Parametres!$G$3),I314,C314)</f>
        <v>14194.18</v>
      </c>
      <c r="O314" s="1084">
        <f>+IF(OR($Q314=Parametres!$G$2,$Q314=Parametres!$G$3),J314,D314)</f>
        <v>3835.32</v>
      </c>
      <c r="P314" s="152">
        <f>+IF(OR($Q314=Parametres!$G$2,$Q314=Parametres!$G$3),K314,E314)</f>
        <v>18029.5</v>
      </c>
      <c r="Q314" s="151" t="str">
        <f t="shared" si="22"/>
        <v>7-Dépenses</v>
      </c>
      <c r="R314" s="150" t="str">
        <f t="shared" si="23"/>
        <v>6121</v>
      </c>
      <c r="S314" s="151">
        <f t="shared" si="24"/>
        <v>0</v>
      </c>
      <c r="T314" s="153">
        <f>+VLOOKUP($L314,Data_Validation!$A:$D,1,0)</f>
        <v>6421</v>
      </c>
      <c r="U314" s="153" t="str">
        <f>+VLOOKUP($L314,Data_Validation!$A:$D,3,0)</f>
        <v>Service</v>
      </c>
      <c r="V314" s="153" t="str">
        <f>+VLOOKUP($L314,Data_Validation!$A:$D,4,0)</f>
        <v>Salaires propriétaire</v>
      </c>
      <c r="W314" s="153" t="str">
        <f>+VLOOKUP($L314,Data_Validation!$A:$E,5,0)</f>
        <v>$</v>
      </c>
      <c r="X314" s="153">
        <f>+VLOOKUP($L314,Data_Validation!$A:$F,6,0)</f>
        <v>0</v>
      </c>
    </row>
    <row r="315" spans="1:24" ht="15" customHeight="1">
      <c r="A315" s="1193" t="s">
        <v>2615</v>
      </c>
      <c r="B315" s="1194">
        <v>6422</v>
      </c>
      <c r="C315" s="1197">
        <v>39776.49</v>
      </c>
      <c r="D315" s="1197">
        <v>8901.44</v>
      </c>
      <c r="E315" s="1197">
        <v>48677.93</v>
      </c>
      <c r="F315" s="1193" t="s">
        <v>398</v>
      </c>
      <c r="G315" s="1193" t="s">
        <v>2617</v>
      </c>
      <c r="H315" s="1201"/>
      <c r="I315" s="1201"/>
      <c r="J315" s="1201"/>
      <c r="K315" s="1201"/>
      <c r="L315" s="150">
        <f t="shared" si="20"/>
        <v>6422</v>
      </c>
      <c r="M315" s="151" t="str">
        <f t="shared" si="21"/>
        <v>SAL SUPERVISION / GERANT</v>
      </c>
      <c r="N315" s="152">
        <f>+IF(OR($Q315=Parametres!$G$2,$Q315=Parametres!$G$3),I315,C315)</f>
        <v>39776.49</v>
      </c>
      <c r="O315" s="1082">
        <f>+IF(OR($Q315=Parametres!$G$2,$Q315=Parametres!$G$3),J315,D315)</f>
        <v>8901.44</v>
      </c>
      <c r="P315" s="152">
        <f>+IF(OR($Q315=Parametres!$G$2,$Q315=Parametres!$G$3),K315,E315)</f>
        <v>48677.93</v>
      </c>
      <c r="Q315" s="151" t="str">
        <f t="shared" si="22"/>
        <v>7-Dépenses</v>
      </c>
      <c r="R315" s="150" t="str">
        <f t="shared" si="23"/>
        <v>6122</v>
      </c>
      <c r="S315" s="151">
        <f t="shared" si="24"/>
        <v>0</v>
      </c>
      <c r="T315" s="153">
        <f>+VLOOKUP($L315,Data_Validation!$A:$D,1,0)</f>
        <v>6422</v>
      </c>
      <c r="U315" s="153" t="str">
        <f>+VLOOKUP($L315,Data_Validation!$A:$D,3,0)</f>
        <v>Service</v>
      </c>
      <c r="V315" s="153" t="str">
        <f>+VLOOKUP($L315,Data_Validation!$A:$D,4,0)</f>
        <v>Salaires cadres</v>
      </c>
      <c r="W315" s="153" t="str">
        <f>+VLOOKUP($L315,Data_Validation!$A:$E,5,0)</f>
        <v>$</v>
      </c>
      <c r="X315" s="153">
        <f>+VLOOKUP($L315,Data_Validation!$A:$F,6,0)</f>
        <v>0</v>
      </c>
    </row>
    <row r="316" spans="1:24" ht="15" customHeight="1">
      <c r="A316" s="1193" t="s">
        <v>1263</v>
      </c>
      <c r="B316" s="1194">
        <v>6423</v>
      </c>
      <c r="C316" s="1197">
        <v>32424.9</v>
      </c>
      <c r="D316" s="1197">
        <v>7896.83</v>
      </c>
      <c r="E316" s="1197">
        <v>40321.730000000003</v>
      </c>
      <c r="F316" s="1193" t="s">
        <v>398</v>
      </c>
      <c r="G316" s="1193" t="s">
        <v>2670</v>
      </c>
      <c r="H316" s="948"/>
      <c r="I316" s="951"/>
      <c r="J316" s="951"/>
      <c r="K316" s="951"/>
      <c r="L316" s="150">
        <f t="shared" si="20"/>
        <v>6423</v>
      </c>
      <c r="M316" s="151" t="str">
        <f t="shared" si="21"/>
        <v>SAL. &amp; RENUM. CLERICAL</v>
      </c>
      <c r="N316" s="152">
        <f>+IF(OR($Q316=Parametres!$G$2,$Q316=Parametres!$G$3),I316,C316)</f>
        <v>32424.9</v>
      </c>
      <c r="O316" s="1084">
        <f>+IF(OR($Q316=Parametres!$G$2,$Q316=Parametres!$G$3),J316,D316)</f>
        <v>7896.83</v>
      </c>
      <c r="P316" s="152">
        <f>+IF(OR($Q316=Parametres!$G$2,$Q316=Parametres!$G$3),K316,E316)</f>
        <v>40321.730000000003</v>
      </c>
      <c r="Q316" s="151" t="str">
        <f t="shared" si="22"/>
        <v>7-Dépenses</v>
      </c>
      <c r="R316" s="150" t="str">
        <f t="shared" si="23"/>
        <v>6123</v>
      </c>
      <c r="S316" s="151">
        <f t="shared" si="24"/>
        <v>0</v>
      </c>
      <c r="T316" s="153">
        <f>+VLOOKUP($L316,Data_Validation!$A:$D,1,0)</f>
        <v>6423</v>
      </c>
      <c r="U316" s="153" t="str">
        <f>+VLOOKUP($L316,Data_Validation!$A:$D,3,0)</f>
        <v>Service</v>
      </c>
      <c r="V316" s="153" t="str">
        <f>+VLOOKUP($L316,Data_Validation!$A:$D,4,0)</f>
        <v>Salaires commis</v>
      </c>
      <c r="W316" s="153" t="str">
        <f>+VLOOKUP($L316,Data_Validation!$A:$E,5,0)</f>
        <v>$</v>
      </c>
      <c r="X316" s="153">
        <f>+VLOOKUP($L316,Data_Validation!$A:$F,6,0)</f>
        <v>0</v>
      </c>
    </row>
    <row r="317" spans="1:24" ht="15" customHeight="1">
      <c r="A317" s="1193" t="s">
        <v>1246</v>
      </c>
      <c r="B317" s="1194">
        <v>6424</v>
      </c>
      <c r="C317" s="1197">
        <v>69292.88</v>
      </c>
      <c r="D317" s="1197">
        <v>23017.51</v>
      </c>
      <c r="E317" s="1197">
        <v>92310.39</v>
      </c>
      <c r="F317" s="1193" t="s">
        <v>398</v>
      </c>
      <c r="G317" s="1193" t="s">
        <v>2726</v>
      </c>
      <c r="H317" s="928"/>
      <c r="I317" s="928"/>
      <c r="J317" s="928"/>
      <c r="K317" s="928"/>
      <c r="L317" s="150">
        <f t="shared" si="20"/>
        <v>6424</v>
      </c>
      <c r="M317" s="151" t="str">
        <f t="shared" si="21"/>
        <v>SALAIRES &amp; RENUM. - AUTRES</v>
      </c>
      <c r="N317" s="152">
        <f>+IF(OR($Q317=Parametres!$G$2,$Q317=Parametres!$G$3),I317,C317)</f>
        <v>69292.88</v>
      </c>
      <c r="O317" s="1084">
        <f>+IF(OR($Q317=Parametres!$G$2,$Q317=Parametres!$G$3),J317,D317)</f>
        <v>23017.51</v>
      </c>
      <c r="P317" s="152">
        <f>+IF(OR($Q317=Parametres!$G$2,$Q317=Parametres!$G$3),K317,E317)</f>
        <v>92310.39</v>
      </c>
      <c r="Q317" s="151" t="str">
        <f t="shared" si="22"/>
        <v>7-Dépenses</v>
      </c>
      <c r="R317" s="150" t="str">
        <f t="shared" si="23"/>
        <v>6124</v>
      </c>
      <c r="S317" s="151">
        <f t="shared" si="24"/>
        <v>0</v>
      </c>
      <c r="T317" s="153">
        <f>+VLOOKUP($L317,Data_Validation!$A:$D,1,0)</f>
        <v>6424</v>
      </c>
      <c r="U317" s="153" t="str">
        <f>+VLOOKUP($L317,Data_Validation!$A:$D,3,0)</f>
        <v>Service</v>
      </c>
      <c r="V317" s="153" t="str">
        <f>+VLOOKUP($L317,Data_Validation!$A:$D,4,0)</f>
        <v>Salaires autres</v>
      </c>
      <c r="W317" s="153" t="str">
        <f>+VLOOKUP($L317,Data_Validation!$A:$E,5,0)</f>
        <v>$</v>
      </c>
      <c r="X317" s="153">
        <f>+VLOOKUP($L317,Data_Validation!$A:$F,6,0)</f>
        <v>0</v>
      </c>
    </row>
    <row r="318" spans="1:24" ht="15.75" customHeight="1">
      <c r="A318" s="1193" t="s">
        <v>1327</v>
      </c>
      <c r="B318" s="1194">
        <v>6425</v>
      </c>
      <c r="C318" s="1197">
        <v>96798.67</v>
      </c>
      <c r="D318" s="1197">
        <v>25133.54</v>
      </c>
      <c r="E318" s="1197">
        <v>121932.21</v>
      </c>
      <c r="F318" s="1193" t="s">
        <v>398</v>
      </c>
      <c r="G318" s="1193" t="s">
        <v>2712</v>
      </c>
      <c r="H318" s="948"/>
      <c r="I318" s="951"/>
      <c r="J318" s="951"/>
      <c r="K318" s="951"/>
      <c r="L318" s="150">
        <f t="shared" si="20"/>
        <v>6425</v>
      </c>
      <c r="M318" s="151" t="str">
        <f t="shared" si="21"/>
        <v>SALAIRE SPECIALISTES</v>
      </c>
      <c r="N318" s="152">
        <f>+IF(OR($Q318=Parametres!$G$2,$Q318=Parametres!$G$3),I318,C318)</f>
        <v>96798.67</v>
      </c>
      <c r="O318" s="1084">
        <f>+IF(OR($Q318=Parametres!$G$2,$Q318=Parametres!$G$3),J318,D318)</f>
        <v>25133.54</v>
      </c>
      <c r="P318" s="152">
        <f>+IF(OR($Q318=Parametres!$G$2,$Q318=Parametres!$G$3),K318,E318)</f>
        <v>121932.21</v>
      </c>
      <c r="Q318" s="151" t="str">
        <f t="shared" si="22"/>
        <v>7-Dépenses</v>
      </c>
      <c r="R318" s="150" t="str">
        <f t="shared" si="23"/>
        <v>6125</v>
      </c>
      <c r="S318" s="151">
        <f t="shared" si="24"/>
        <v>0</v>
      </c>
      <c r="T318" s="153">
        <f>+VLOOKUP($L318,Data_Validation!$A:$D,1,0)</f>
        <v>6425</v>
      </c>
      <c r="U318" s="153" t="str">
        <f>+VLOOKUP($L318,Data_Validation!$A:$D,3,0)</f>
        <v>Service</v>
      </c>
      <c r="V318" s="153" t="str">
        <f>+VLOOKUP($L318,Data_Validation!$A:$D,4,0)</f>
        <v>Salaires spécialistes</v>
      </c>
      <c r="W318" s="153" t="str">
        <f>+VLOOKUP($L318,Data_Validation!$A:$E,5,0)</f>
        <v>$</v>
      </c>
      <c r="X318" s="153">
        <f>+VLOOKUP($L318,Data_Validation!$A:$F,6,0)</f>
        <v>0</v>
      </c>
    </row>
    <row r="319" spans="1:24" ht="15" customHeight="1">
      <c r="A319" s="1193" t="s">
        <v>1445</v>
      </c>
      <c r="B319" s="1194">
        <v>6429</v>
      </c>
      <c r="C319" s="1197">
        <v>51437.73</v>
      </c>
      <c r="D319" s="1197">
        <v>18602.09</v>
      </c>
      <c r="E319" s="1197">
        <v>70039.820000000007</v>
      </c>
      <c r="F319" s="1193" t="s">
        <v>398</v>
      </c>
      <c r="G319" s="1193" t="s">
        <v>2632</v>
      </c>
      <c r="H319" s="948"/>
      <c r="I319" s="949"/>
      <c r="J319" s="949"/>
      <c r="K319" s="949"/>
      <c r="L319" s="150">
        <f t="shared" si="20"/>
        <v>6429</v>
      </c>
      <c r="M319" s="151" t="str">
        <f t="shared" si="21"/>
        <v>SAL.,VACANCE, &amp; SAL. JOURS FER</v>
      </c>
      <c r="N319" s="152">
        <f>+IF(OR($Q319=Parametres!$G$2,$Q319=Parametres!$G$3),I319,C319)</f>
        <v>51437.73</v>
      </c>
      <c r="O319" s="1084">
        <f>+IF(OR($Q319=Parametres!$G$2,$Q319=Parametres!$G$3),J319,D319)</f>
        <v>18602.09</v>
      </c>
      <c r="P319" s="152">
        <f>+IF(OR($Q319=Parametres!$G$2,$Q319=Parametres!$G$3),K319,E319)</f>
        <v>70039.820000000007</v>
      </c>
      <c r="Q319" s="151" t="str">
        <f t="shared" si="22"/>
        <v>7-Dépenses</v>
      </c>
      <c r="R319" s="150" t="str">
        <f t="shared" si="23"/>
        <v>6129</v>
      </c>
      <c r="S319" s="151">
        <f t="shared" si="24"/>
        <v>0</v>
      </c>
      <c r="T319" s="153">
        <f>+VLOOKUP($L319,Data_Validation!$A:$D,1,0)</f>
        <v>6429</v>
      </c>
      <c r="U319" s="153" t="str">
        <f>+VLOOKUP($L319,Data_Validation!$A:$D,3,0)</f>
        <v>Service</v>
      </c>
      <c r="V319" s="153" t="str">
        <f>+VLOOKUP($L319,Data_Validation!$A:$D,4,0)</f>
        <v>Salaires en absences</v>
      </c>
      <c r="W319" s="153" t="str">
        <f>+VLOOKUP($L319,Data_Validation!$A:$E,5,0)</f>
        <v>$</v>
      </c>
      <c r="X319" s="153">
        <f>+VLOOKUP($L319,Data_Validation!$A:$F,6,0)</f>
        <v>0</v>
      </c>
    </row>
    <row r="320" spans="1:24" ht="15" customHeight="1">
      <c r="A320" s="1193" t="s">
        <v>1249</v>
      </c>
      <c r="B320" s="1194">
        <v>6431</v>
      </c>
      <c r="C320" s="1197">
        <v>16919.71</v>
      </c>
      <c r="D320" s="1197">
        <v>3020.26</v>
      </c>
      <c r="E320" s="1197">
        <v>19939.97</v>
      </c>
      <c r="F320" s="1193" t="s">
        <v>398</v>
      </c>
      <c r="G320" s="1193" t="s">
        <v>2577</v>
      </c>
      <c r="H320" s="948"/>
      <c r="I320" s="949"/>
      <c r="J320" s="949"/>
      <c r="K320" s="949"/>
      <c r="L320" s="150">
        <f t="shared" si="20"/>
        <v>6431</v>
      </c>
      <c r="M320" s="151" t="str">
        <f t="shared" si="21"/>
        <v>CSST</v>
      </c>
      <c r="N320" s="152">
        <f>+IF(OR($Q320=Parametres!$G$2,$Q320=Parametres!$G$3),I320,C320)</f>
        <v>16919.71</v>
      </c>
      <c r="O320" s="1084">
        <f>+IF(OR($Q320=Parametres!$G$2,$Q320=Parametres!$G$3),J320,D320)</f>
        <v>3020.26</v>
      </c>
      <c r="P320" s="152">
        <f>+IF(OR($Q320=Parametres!$G$2,$Q320=Parametres!$G$3),K320,E320)</f>
        <v>19939.97</v>
      </c>
      <c r="Q320" s="151" t="str">
        <f t="shared" si="22"/>
        <v>7-Dépenses</v>
      </c>
      <c r="R320" s="150" t="str">
        <f t="shared" si="23"/>
        <v>6131</v>
      </c>
      <c r="S320" s="151">
        <f t="shared" si="24"/>
        <v>0</v>
      </c>
      <c r="T320" s="153">
        <f>+VLOOKUP($L320,Data_Validation!$A:$D,1,0)</f>
        <v>6431</v>
      </c>
      <c r="U320" s="153" t="str">
        <f>+VLOOKUP($L320,Data_Validation!$A:$D,3,0)</f>
        <v>Service</v>
      </c>
      <c r="V320" s="153" t="str">
        <f>+VLOOKUP($L320,Data_Validation!$A:$D,4,0)</f>
        <v>Csst</v>
      </c>
      <c r="W320" s="153" t="str">
        <f>+VLOOKUP($L320,Data_Validation!$A:$E,5,0)</f>
        <v>$</v>
      </c>
      <c r="X320" s="153">
        <f>+VLOOKUP($L320,Data_Validation!$A:$F,6,0)</f>
        <v>0</v>
      </c>
    </row>
    <row r="321" spans="1:24" ht="15" customHeight="1">
      <c r="A321" s="1193" t="s">
        <v>1280</v>
      </c>
      <c r="B321" s="1194">
        <v>6432</v>
      </c>
      <c r="C321" s="1197">
        <v>69614.37</v>
      </c>
      <c r="D321" s="1197">
        <v>17197.330000000002</v>
      </c>
      <c r="E321" s="1197">
        <v>86811.7</v>
      </c>
      <c r="F321" s="1193" t="s">
        <v>398</v>
      </c>
      <c r="G321" s="1193" t="s">
        <v>2676</v>
      </c>
      <c r="H321" s="948"/>
      <c r="I321" s="951"/>
      <c r="J321" s="951"/>
      <c r="K321" s="951"/>
      <c r="L321" s="150">
        <f t="shared" si="20"/>
        <v>6432</v>
      </c>
      <c r="M321" s="151" t="str">
        <f t="shared" si="21"/>
        <v>RRQ RAMQ AC</v>
      </c>
      <c r="N321" s="152">
        <f>+IF(OR($Q321=Parametres!$G$2,$Q321=Parametres!$G$3),I321,C321)</f>
        <v>69614.37</v>
      </c>
      <c r="O321" s="1084">
        <f>+IF(OR($Q321=Parametres!$G$2,$Q321=Parametres!$G$3),J321,D321)</f>
        <v>17197.330000000002</v>
      </c>
      <c r="P321" s="152">
        <f>+IF(OR($Q321=Parametres!$G$2,$Q321=Parametres!$G$3),K321,E321)</f>
        <v>86811.7</v>
      </c>
      <c r="Q321" s="151" t="str">
        <f t="shared" si="22"/>
        <v>7-Dépenses</v>
      </c>
      <c r="R321" s="150" t="str">
        <f t="shared" si="23"/>
        <v>6132</v>
      </c>
      <c r="S321" s="151">
        <f t="shared" si="24"/>
        <v>0</v>
      </c>
      <c r="T321" s="153">
        <f>+VLOOKUP($L321,Data_Validation!$A:$D,1,0)</f>
        <v>6432</v>
      </c>
      <c r="U321" s="153" t="str">
        <f>+VLOOKUP($L321,Data_Validation!$A:$D,3,0)</f>
        <v>Service</v>
      </c>
      <c r="V321" s="153" t="str">
        <f>+VLOOKUP($L321,Data_Validation!$A:$D,4,0)</f>
        <v>Déduction à la source</v>
      </c>
      <c r="W321" s="153" t="str">
        <f>+VLOOKUP($L321,Data_Validation!$A:$E,5,0)</f>
        <v>$</v>
      </c>
      <c r="X321" s="153">
        <f>+VLOOKUP($L321,Data_Validation!$A:$F,6,0)</f>
        <v>0</v>
      </c>
    </row>
    <row r="322" spans="1:24" ht="15.75" customHeight="1">
      <c r="A322" s="1193" t="s">
        <v>1217</v>
      </c>
      <c r="B322" s="1194">
        <v>6433</v>
      </c>
      <c r="C322" s="1197">
        <v>1004.92</v>
      </c>
      <c r="D322" s="1197">
        <v>316.27999999999997</v>
      </c>
      <c r="E322" s="1197">
        <v>1321.2</v>
      </c>
      <c r="F322" s="1193" t="s">
        <v>398</v>
      </c>
      <c r="G322" s="1193" t="s">
        <v>2570</v>
      </c>
      <c r="H322" s="928"/>
      <c r="I322" s="928"/>
      <c r="J322" s="928"/>
      <c r="K322" s="928"/>
      <c r="L322" s="150">
        <f t="shared" ref="L322:L385" si="25">+B322</f>
        <v>6433</v>
      </c>
      <c r="M322" s="151" t="str">
        <f t="shared" ref="M322:M385" si="26">+A322</f>
        <v>FOND PENSION - SERVICE</v>
      </c>
      <c r="N322" s="152">
        <f>+IF(OR($Q322=Parametres!$G$2,$Q322=Parametres!$G$3),I322,C322)</f>
        <v>1004.92</v>
      </c>
      <c r="O322" s="1084">
        <f>+IF(OR($Q322=Parametres!$G$2,$Q322=Parametres!$G$3),J322,D322)</f>
        <v>316.27999999999997</v>
      </c>
      <c r="P322" s="152">
        <f>+IF(OR($Q322=Parametres!$G$2,$Q322=Parametres!$G$3),K322,E322)</f>
        <v>1321.2</v>
      </c>
      <c r="Q322" s="151" t="str">
        <f t="shared" ref="Q322:Q385" si="27">+F322</f>
        <v>7-Dépenses</v>
      </c>
      <c r="R322" s="150" t="str">
        <f t="shared" ref="R322:R385" si="28">+G322</f>
        <v>6133</v>
      </c>
      <c r="S322" s="151">
        <f t="shared" ref="S322:S385" si="29">+H322</f>
        <v>0</v>
      </c>
      <c r="T322" s="153">
        <f>+VLOOKUP($L322,Data_Validation!$A:$D,1,0)</f>
        <v>6433</v>
      </c>
      <c r="U322" s="153" t="str">
        <f>+VLOOKUP($L322,Data_Validation!$A:$D,3,0)</f>
        <v>Service</v>
      </c>
      <c r="V322" s="153" t="str">
        <f>+VLOOKUP($L322,Data_Validation!$A:$D,4,0)</f>
        <v>Bénéfices marginaux</v>
      </c>
      <c r="W322" s="153" t="str">
        <f>+VLOOKUP($L322,Data_Validation!$A:$E,5,0)</f>
        <v>$</v>
      </c>
      <c r="X322" s="153">
        <f>+VLOOKUP($L322,Data_Validation!$A:$F,6,0)</f>
        <v>0</v>
      </c>
    </row>
    <row r="323" spans="1:24" ht="15" customHeight="1">
      <c r="A323" s="1193" t="s">
        <v>1302</v>
      </c>
      <c r="B323" s="1194">
        <v>6439</v>
      </c>
      <c r="C323" s="1197">
        <v>26142.11</v>
      </c>
      <c r="D323" s="1197">
        <v>4988.01</v>
      </c>
      <c r="E323" s="1197">
        <v>31130.12</v>
      </c>
      <c r="F323" s="1193" t="s">
        <v>398</v>
      </c>
      <c r="G323" s="1193" t="s">
        <v>2685</v>
      </c>
      <c r="H323" s="928"/>
      <c r="I323" s="927"/>
      <c r="J323" s="927"/>
      <c r="K323" s="927"/>
      <c r="L323" s="150">
        <f t="shared" si="25"/>
        <v>6439</v>
      </c>
      <c r="M323" s="151" t="str">
        <f t="shared" si="26"/>
        <v>ASSURANCE GROUPE</v>
      </c>
      <c r="N323" s="152">
        <f>+IF(OR($Q323=Parametres!$G$2,$Q323=Parametres!$G$3),I323,C323)</f>
        <v>26142.11</v>
      </c>
      <c r="O323" s="1084">
        <f>+IF(OR($Q323=Parametres!$G$2,$Q323=Parametres!$G$3),J323,D323)</f>
        <v>4988.01</v>
      </c>
      <c r="P323" s="152">
        <f>+IF(OR($Q323=Parametres!$G$2,$Q323=Parametres!$G$3),K323,E323)</f>
        <v>31130.12</v>
      </c>
      <c r="Q323" s="151" t="str">
        <f t="shared" si="27"/>
        <v>7-Dépenses</v>
      </c>
      <c r="R323" s="150" t="str">
        <f t="shared" si="28"/>
        <v>6139</v>
      </c>
      <c r="S323" s="151">
        <f t="shared" si="29"/>
        <v>0</v>
      </c>
      <c r="T323" s="153">
        <f>+VLOOKUP($L323,Data_Validation!$A:$D,1,0)</f>
        <v>6439</v>
      </c>
      <c r="U323" s="153" t="str">
        <f>+VLOOKUP($L323,Data_Validation!$A:$D,3,0)</f>
        <v>Service</v>
      </c>
      <c r="V323" s="153" t="str">
        <f>+VLOOKUP($L323,Data_Validation!$A:$D,4,0)</f>
        <v>Bénéfices marginaux</v>
      </c>
      <c r="W323" s="153" t="str">
        <f>+VLOOKUP($L323,Data_Validation!$A:$E,5,0)</f>
        <v>$</v>
      </c>
      <c r="X323" s="153">
        <f>+VLOOKUP($L323,Data_Validation!$A:$F,6,0)</f>
        <v>0</v>
      </c>
    </row>
    <row r="324" spans="1:24" ht="15" customHeight="1">
      <c r="A324" s="1193" t="s">
        <v>1175</v>
      </c>
      <c r="B324" s="1194">
        <v>6441</v>
      </c>
      <c r="C324" s="1197">
        <v>1860.11</v>
      </c>
      <c r="D324" s="1197">
        <v>622.11</v>
      </c>
      <c r="E324" s="1197">
        <v>2482.2199999999998</v>
      </c>
      <c r="F324" s="1193" t="s">
        <v>398</v>
      </c>
      <c r="G324" s="1193" t="s">
        <v>2458</v>
      </c>
      <c r="H324" s="948"/>
      <c r="I324" s="949"/>
      <c r="J324" s="949"/>
      <c r="K324" s="949"/>
      <c r="L324" s="150">
        <f t="shared" si="25"/>
        <v>6441</v>
      </c>
      <c r="M324" s="151" t="str">
        <f t="shared" si="26"/>
        <v>RETOURS</v>
      </c>
      <c r="N324" s="152">
        <f>+IF(OR($Q324=Parametres!$G$2,$Q324=Parametres!$G$3),I324,C324)</f>
        <v>1860.11</v>
      </c>
      <c r="O324" s="1084">
        <f>+IF(OR($Q324=Parametres!$G$2,$Q324=Parametres!$G$3),J324,D324)</f>
        <v>622.11</v>
      </c>
      <c r="P324" s="152">
        <f>+IF(OR($Q324=Parametres!$G$2,$Q324=Parametres!$G$3),K324,E324)</f>
        <v>2482.2199999999998</v>
      </c>
      <c r="Q324" s="151" t="str">
        <f t="shared" si="27"/>
        <v>7-Dépenses</v>
      </c>
      <c r="R324" s="150" t="str">
        <f t="shared" si="28"/>
        <v>6112</v>
      </c>
      <c r="S324" s="151">
        <f t="shared" si="29"/>
        <v>0</v>
      </c>
      <c r="T324" s="153">
        <f>+VLOOKUP($L324,Data_Validation!$A:$D,1,0)</f>
        <v>6441</v>
      </c>
      <c r="U324" s="153" t="str">
        <f>+VLOOKUP($L324,Data_Validation!$A:$D,3,0)</f>
        <v>Service</v>
      </c>
      <c r="V324" s="153" t="str">
        <f>+VLOOKUP($L324,Data_Validation!$A:$D,4,0)</f>
        <v>Service gratuit 2</v>
      </c>
      <c r="W324" s="153" t="str">
        <f>+VLOOKUP($L324,Data_Validation!$A:$E,5,0)</f>
        <v>$</v>
      </c>
      <c r="X324" s="153">
        <f>+VLOOKUP($L324,Data_Validation!$A:$F,6,0)</f>
        <v>0</v>
      </c>
    </row>
    <row r="325" spans="1:24" ht="15" customHeight="1">
      <c r="A325" s="1193" t="s">
        <v>1154</v>
      </c>
      <c r="B325" s="1194">
        <v>6442</v>
      </c>
      <c r="C325" s="1197">
        <v>9167.2000000000007</v>
      </c>
      <c r="D325" s="1197">
        <v>4920.3599999999997</v>
      </c>
      <c r="E325" s="1197">
        <v>14087.56</v>
      </c>
      <c r="F325" s="1193" t="s">
        <v>398</v>
      </c>
      <c r="G325" s="1193" t="s">
        <v>2554</v>
      </c>
      <c r="H325" s="948"/>
      <c r="I325" s="949"/>
      <c r="J325" s="949"/>
      <c r="K325" s="949"/>
      <c r="L325" s="150">
        <f t="shared" si="25"/>
        <v>6442</v>
      </c>
      <c r="M325" s="151" t="str">
        <f t="shared" si="26"/>
        <v>FOURNITURES &amp; PETITS OUTILS</v>
      </c>
      <c r="N325" s="152">
        <f>+IF(OR($Q325=Parametres!$G$2,$Q325=Parametres!$G$3),I325,C325)</f>
        <v>9167.2000000000007</v>
      </c>
      <c r="O325" s="1084">
        <f>+IF(OR($Q325=Parametres!$G$2,$Q325=Parametres!$G$3),J325,D325)</f>
        <v>4920.3599999999997</v>
      </c>
      <c r="P325" s="152">
        <f>+IF(OR($Q325=Parametres!$G$2,$Q325=Parametres!$G$3),K325,E325)</f>
        <v>14087.56</v>
      </c>
      <c r="Q325" s="151" t="str">
        <f t="shared" si="27"/>
        <v>7-Dépenses</v>
      </c>
      <c r="R325" s="150" t="str">
        <f t="shared" si="28"/>
        <v>6142</v>
      </c>
      <c r="S325" s="151">
        <f t="shared" si="29"/>
        <v>0</v>
      </c>
      <c r="T325" s="153">
        <f>+VLOOKUP($L325,Data_Validation!$A:$D,1,0)</f>
        <v>6442</v>
      </c>
      <c r="U325" s="153" t="str">
        <f>+VLOOKUP($L325,Data_Validation!$A:$D,3,0)</f>
        <v>Service</v>
      </c>
      <c r="V325" s="153" t="str">
        <f>+VLOOKUP($L325,Data_Validation!$A:$D,4,0)</f>
        <v>Fournitures autres</v>
      </c>
      <c r="W325" s="153" t="str">
        <f>+VLOOKUP($L325,Data_Validation!$A:$E,5,0)</f>
        <v>$</v>
      </c>
      <c r="X325" s="153">
        <f>+VLOOKUP($L325,Data_Validation!$A:$F,6,0)</f>
        <v>0</v>
      </c>
    </row>
    <row r="326" spans="1:24" ht="15" customHeight="1">
      <c r="A326" s="1193" t="s">
        <v>929</v>
      </c>
      <c r="B326" s="1194">
        <v>6443</v>
      </c>
      <c r="C326" s="1197">
        <v>3184.22</v>
      </c>
      <c r="D326" s="1197">
        <v>5498.29</v>
      </c>
      <c r="E326" s="1197">
        <v>8682.51</v>
      </c>
      <c r="F326" s="1193" t="s">
        <v>398</v>
      </c>
      <c r="G326" s="1193" t="s">
        <v>2152</v>
      </c>
      <c r="H326" s="987"/>
      <c r="I326" s="987"/>
      <c r="J326" s="987"/>
      <c r="K326" s="987"/>
      <c r="L326" s="150">
        <f t="shared" si="25"/>
        <v>6443</v>
      </c>
      <c r="M326" s="151" t="str">
        <f t="shared" si="26"/>
        <v>UNIFORMES &amp; LESSIVE</v>
      </c>
      <c r="N326" s="152">
        <f>+IF(OR($Q326=Parametres!$G$2,$Q326=Parametres!$G$3),I326,C326)</f>
        <v>3184.22</v>
      </c>
      <c r="O326" s="1084">
        <f>+IF(OR($Q326=Parametres!$G$2,$Q326=Parametres!$G$3),J326,D326)</f>
        <v>5498.29</v>
      </c>
      <c r="P326" s="152">
        <f>+IF(OR($Q326=Parametres!$G$2,$Q326=Parametres!$G$3),K326,E326)</f>
        <v>8682.51</v>
      </c>
      <c r="Q326" s="151" t="str">
        <f t="shared" si="27"/>
        <v>7-Dépenses</v>
      </c>
      <c r="R326" s="150" t="str">
        <f t="shared" si="28"/>
        <v>6143</v>
      </c>
      <c r="S326" s="151">
        <f t="shared" si="29"/>
        <v>0</v>
      </c>
      <c r="T326" s="153">
        <f>+VLOOKUP($L326,Data_Validation!$A:$D,1,0)</f>
        <v>6443</v>
      </c>
      <c r="U326" s="153" t="str">
        <f>+VLOOKUP($L326,Data_Validation!$A:$D,3,0)</f>
        <v>Service</v>
      </c>
      <c r="V326" s="153" t="str">
        <f>+VLOOKUP($L326,Data_Validation!$A:$D,4,0)</f>
        <v>Uniformes</v>
      </c>
      <c r="W326" s="153" t="str">
        <f>+VLOOKUP($L326,Data_Validation!$A:$E,5,0)</f>
        <v>$</v>
      </c>
      <c r="X326" s="153">
        <f>+VLOOKUP($L326,Data_Validation!$A:$F,6,0)</f>
        <v>0</v>
      </c>
    </row>
    <row r="327" spans="1:24" ht="15.75" customHeight="1">
      <c r="A327" s="1193" t="s">
        <v>931</v>
      </c>
      <c r="B327" s="1194">
        <v>6444</v>
      </c>
      <c r="C327" s="1197">
        <v>4247.5600000000004</v>
      </c>
      <c r="D327" s="1197">
        <v>986.64</v>
      </c>
      <c r="E327" s="1197">
        <v>5234.2</v>
      </c>
      <c r="F327" s="1193" t="s">
        <v>398</v>
      </c>
      <c r="G327" s="1193" t="s">
        <v>2552</v>
      </c>
      <c r="H327" s="987"/>
      <c r="I327" s="988"/>
      <c r="J327" s="988"/>
      <c r="K327" s="988"/>
      <c r="L327" s="150">
        <f t="shared" si="25"/>
        <v>6444</v>
      </c>
      <c r="M327" s="151" t="str">
        <f t="shared" si="26"/>
        <v>FORMATION</v>
      </c>
      <c r="N327" s="152">
        <f>+IF(OR($Q327=Parametres!$G$2,$Q327=Parametres!$G$3),I327,C327)</f>
        <v>4247.5600000000004</v>
      </c>
      <c r="O327" s="1084">
        <f>+IF(OR($Q327=Parametres!$G$2,$Q327=Parametres!$G$3),J327,D327)</f>
        <v>986.64</v>
      </c>
      <c r="P327" s="152">
        <f>+IF(OR($Q327=Parametres!$G$2,$Q327=Parametres!$G$3),K327,E327)</f>
        <v>5234.2</v>
      </c>
      <c r="Q327" s="151" t="str">
        <f t="shared" si="27"/>
        <v>7-Dépenses</v>
      </c>
      <c r="R327" s="150" t="str">
        <f t="shared" si="28"/>
        <v>6144</v>
      </c>
      <c r="S327" s="151">
        <f t="shared" si="29"/>
        <v>0</v>
      </c>
      <c r="T327" s="153">
        <f>+VLOOKUP($L327,Data_Validation!$A:$D,1,0)</f>
        <v>6444</v>
      </c>
      <c r="U327" s="153" t="str">
        <f>+VLOOKUP($L327,Data_Validation!$A:$D,3,0)</f>
        <v>Service</v>
      </c>
      <c r="V327" s="153" t="str">
        <f>+VLOOKUP($L327,Data_Validation!$A:$D,4,0)</f>
        <v>Formation</v>
      </c>
      <c r="W327" s="153" t="str">
        <f>+VLOOKUP($L327,Data_Validation!$A:$E,5,0)</f>
        <v>$</v>
      </c>
      <c r="X327" s="153">
        <f>+VLOOKUP($L327,Data_Validation!$A:$F,6,0)</f>
        <v>0</v>
      </c>
    </row>
    <row r="328" spans="1:24" ht="15" customHeight="1">
      <c r="A328" s="1193" t="s">
        <v>1524</v>
      </c>
      <c r="B328" s="1194">
        <v>6445</v>
      </c>
      <c r="C328" s="1197">
        <v>41088.699999999997</v>
      </c>
      <c r="D328" s="1197">
        <v>11752.87</v>
      </c>
      <c r="E328" s="1197">
        <v>52841.57</v>
      </c>
      <c r="F328" s="1193" t="s">
        <v>398</v>
      </c>
      <c r="G328" s="1193" t="s">
        <v>2623</v>
      </c>
      <c r="H328" s="987"/>
      <c r="I328" s="987"/>
      <c r="J328" s="987"/>
      <c r="K328" s="987"/>
      <c r="L328" s="150">
        <f t="shared" si="25"/>
        <v>6445</v>
      </c>
      <c r="M328" s="151" t="str">
        <f t="shared" si="26"/>
        <v>LOCATION COURTOISIE</v>
      </c>
      <c r="N328" s="152">
        <f>+IF(OR($Q328=Parametres!$G$2,$Q328=Parametres!$G$3),I328,C328)</f>
        <v>41088.699999999997</v>
      </c>
      <c r="O328" s="1084">
        <f>+IF(OR($Q328=Parametres!$G$2,$Q328=Parametres!$G$3),J328,D328)</f>
        <v>11752.87</v>
      </c>
      <c r="P328" s="152">
        <f>+IF(OR($Q328=Parametres!$G$2,$Q328=Parametres!$G$3),K328,E328)</f>
        <v>52841.57</v>
      </c>
      <c r="Q328" s="151" t="str">
        <f t="shared" si="27"/>
        <v>7-Dépenses</v>
      </c>
      <c r="R328" s="150" t="str">
        <f t="shared" si="28"/>
        <v>6145</v>
      </c>
      <c r="S328" s="151">
        <f t="shared" si="29"/>
        <v>0</v>
      </c>
      <c r="T328" s="153">
        <f>+VLOOKUP($L328,Data_Validation!$A:$D,1,0)</f>
        <v>6445</v>
      </c>
      <c r="U328" s="153" t="str">
        <f>+VLOOKUP($L328,Data_Validation!$A:$D,3,0)</f>
        <v>Service</v>
      </c>
      <c r="V328" s="153" t="str">
        <f>+VLOOKUP($L328,Data_Validation!$A:$D,4,0)</f>
        <v>Frais véhicules de cie</v>
      </c>
      <c r="W328" s="153" t="str">
        <f>+VLOOKUP($L328,Data_Validation!$A:$E,5,0)</f>
        <v>$</v>
      </c>
      <c r="X328" s="153">
        <f>+VLOOKUP($L328,Data_Validation!$A:$F,6,0)</f>
        <v>0</v>
      </c>
    </row>
    <row r="329" spans="1:24" ht="15" customHeight="1">
      <c r="A329" s="1193" t="s">
        <v>1177</v>
      </c>
      <c r="B329" s="1194">
        <v>6447</v>
      </c>
      <c r="C329" s="1197">
        <v>373.07</v>
      </c>
      <c r="D329" s="1197">
        <v>76.099999999999994</v>
      </c>
      <c r="E329" s="1197">
        <v>449.17</v>
      </c>
      <c r="F329" s="1193" t="s">
        <v>398</v>
      </c>
      <c r="G329" s="1193" t="s">
        <v>2572</v>
      </c>
      <c r="H329" s="987"/>
      <c r="I329" s="988"/>
      <c r="J329" s="988"/>
      <c r="K329" s="988"/>
      <c r="L329" s="150">
        <f t="shared" si="25"/>
        <v>6447</v>
      </c>
      <c r="M329" s="151" t="str">
        <f t="shared" si="26"/>
        <v>FRET/EXPRESS/TRANS. PAR CAMION</v>
      </c>
      <c r="N329" s="152">
        <f>+IF(OR($Q329=Parametres!$G$2,$Q329=Parametres!$G$3),I329,C329)</f>
        <v>373.07</v>
      </c>
      <c r="O329" s="1082">
        <f>+IF(OR($Q329=Parametres!$G$2,$Q329=Parametres!$G$3),J329,D329)</f>
        <v>76.099999999999994</v>
      </c>
      <c r="P329" s="152">
        <f>+IF(OR($Q329=Parametres!$G$2,$Q329=Parametres!$G$3),K329,E329)</f>
        <v>449.17</v>
      </c>
      <c r="Q329" s="151" t="str">
        <f t="shared" si="27"/>
        <v>7-Dépenses</v>
      </c>
      <c r="R329" s="150" t="str">
        <f t="shared" si="28"/>
        <v>6147</v>
      </c>
      <c r="S329" s="151">
        <f t="shared" si="29"/>
        <v>0</v>
      </c>
      <c r="T329" s="153">
        <f>+VLOOKUP($L329,Data_Validation!$A:$D,1,0)</f>
        <v>6447</v>
      </c>
      <c r="U329" s="153" t="str">
        <f>+VLOOKUP($L329,Data_Validation!$A:$D,3,0)</f>
        <v>Service</v>
      </c>
      <c r="V329" s="153" t="str">
        <f>+VLOOKUP($L329,Data_Validation!$A:$D,4,0)</f>
        <v>Frais postaux</v>
      </c>
      <c r="W329" s="153" t="str">
        <f>+VLOOKUP($L329,Data_Validation!$A:$E,5,0)</f>
        <v>$</v>
      </c>
      <c r="X329" s="153">
        <f>+VLOOKUP($L329,Data_Validation!$A:$F,6,0)</f>
        <v>0</v>
      </c>
    </row>
    <row r="330" spans="1:24" ht="15" customHeight="1">
      <c r="A330" s="1193" t="s">
        <v>1283</v>
      </c>
      <c r="B330" s="1194">
        <v>6451</v>
      </c>
      <c r="C330" s="1197">
        <v>19261.57</v>
      </c>
      <c r="D330" s="1197">
        <v>4063.95</v>
      </c>
      <c r="E330" s="1197">
        <v>23325.52</v>
      </c>
      <c r="F330" s="1193" t="s">
        <v>398</v>
      </c>
      <c r="G330" s="1193" t="s">
        <v>2693</v>
      </c>
      <c r="H330" s="987"/>
      <c r="I330" s="987"/>
      <c r="J330" s="987"/>
      <c r="K330" s="987"/>
      <c r="L330" s="150">
        <f t="shared" si="25"/>
        <v>6451</v>
      </c>
      <c r="M330" s="151" t="str">
        <f t="shared" si="26"/>
        <v>DEP. DU TRAITEMENT DES DONNEES</v>
      </c>
      <c r="N330" s="152">
        <f>+IF(OR($Q330=Parametres!$G$2,$Q330=Parametres!$G$3),I330,C330)</f>
        <v>19261.57</v>
      </c>
      <c r="O330" s="1084">
        <f>+IF(OR($Q330=Parametres!$G$2,$Q330=Parametres!$G$3),J330,D330)</f>
        <v>4063.95</v>
      </c>
      <c r="P330" s="152">
        <f>+IF(OR($Q330=Parametres!$G$2,$Q330=Parametres!$G$3),K330,E330)</f>
        <v>23325.52</v>
      </c>
      <c r="Q330" s="151" t="str">
        <f t="shared" si="27"/>
        <v>7-Dépenses</v>
      </c>
      <c r="R330" s="150" t="str">
        <f t="shared" si="28"/>
        <v>6151</v>
      </c>
      <c r="S330" s="151">
        <f t="shared" si="29"/>
        <v>0</v>
      </c>
      <c r="T330" s="153">
        <f>+VLOOKUP($L330,Data_Validation!$A:$D,1,0)</f>
        <v>6451</v>
      </c>
      <c r="U330" s="153" t="str">
        <f>+VLOOKUP($L330,Data_Validation!$A:$D,3,0)</f>
        <v>Service</v>
      </c>
      <c r="V330" s="153" t="str">
        <f>+VLOOKUP($L330,Data_Validation!$A:$D,4,0)</f>
        <v>Informatique</v>
      </c>
      <c r="W330" s="153" t="str">
        <f>+VLOOKUP($L330,Data_Validation!$A:$E,5,0)</f>
        <v>$</v>
      </c>
      <c r="X330" s="153">
        <f>+VLOOKUP($L330,Data_Validation!$A:$F,6,0)</f>
        <v>0</v>
      </c>
    </row>
    <row r="331" spans="1:24" ht="15" customHeight="1">
      <c r="A331" s="1193" t="s">
        <v>1203</v>
      </c>
      <c r="B331" s="1194">
        <v>6452</v>
      </c>
      <c r="C331" s="1197">
        <v>1845.51</v>
      </c>
      <c r="D331" s="1197">
        <v>1750.75</v>
      </c>
      <c r="E331" s="1197">
        <v>3596.26</v>
      </c>
      <c r="F331" s="1193" t="s">
        <v>398</v>
      </c>
      <c r="G331" s="1193" t="s">
        <v>2579</v>
      </c>
      <c r="H331" s="948"/>
      <c r="I331" s="949"/>
      <c r="J331" s="949"/>
      <c r="K331" s="949"/>
      <c r="L331" s="150">
        <f t="shared" si="25"/>
        <v>6452</v>
      </c>
      <c r="M331" s="151" t="str">
        <f t="shared" si="26"/>
        <v>PAPETERIE</v>
      </c>
      <c r="N331" s="152">
        <f>+IF(OR($Q331=Parametres!$G$2,$Q331=Parametres!$G$3),I331,C331)</f>
        <v>1845.51</v>
      </c>
      <c r="O331" s="1084">
        <f>+IF(OR($Q331=Parametres!$G$2,$Q331=Parametres!$G$3),J331,D331)</f>
        <v>1750.75</v>
      </c>
      <c r="P331" s="152">
        <f>+IF(OR($Q331=Parametres!$G$2,$Q331=Parametres!$G$3),K331,E331)</f>
        <v>3596.26</v>
      </c>
      <c r="Q331" s="151" t="str">
        <f t="shared" si="27"/>
        <v>7-Dépenses</v>
      </c>
      <c r="R331" s="150" t="str">
        <f t="shared" si="28"/>
        <v>6152</v>
      </c>
      <c r="S331" s="151">
        <f t="shared" si="29"/>
        <v>0</v>
      </c>
      <c r="T331" s="153">
        <f>+VLOOKUP($L331,Data_Validation!$A:$D,1,0)</f>
        <v>6452</v>
      </c>
      <c r="U331" s="153" t="str">
        <f>+VLOOKUP($L331,Data_Validation!$A:$D,3,0)</f>
        <v>Service</v>
      </c>
      <c r="V331" s="153" t="str">
        <f>+VLOOKUP($L331,Data_Validation!$A:$D,4,0)</f>
        <v>Papeterie</v>
      </c>
      <c r="W331" s="153" t="str">
        <f>+VLOOKUP($L331,Data_Validation!$A:$E,5,0)</f>
        <v>$</v>
      </c>
      <c r="X331" s="153">
        <f>+VLOOKUP($L331,Data_Validation!$A:$F,6,0)</f>
        <v>0</v>
      </c>
    </row>
    <row r="332" spans="1:24" ht="15" customHeight="1">
      <c r="A332" s="1193" t="s">
        <v>1151</v>
      </c>
      <c r="B332" s="1194">
        <v>6453</v>
      </c>
      <c r="C332" s="1197">
        <v>899.29</v>
      </c>
      <c r="D332" s="1197">
        <v>130.22999999999999</v>
      </c>
      <c r="E332" s="1197">
        <v>1029.52</v>
      </c>
      <c r="F332" s="1193" t="s">
        <v>398</v>
      </c>
      <c r="G332" s="1193" t="s">
        <v>2583</v>
      </c>
      <c r="H332" s="948"/>
      <c r="I332" s="951"/>
      <c r="J332" s="951"/>
      <c r="K332" s="951"/>
      <c r="L332" s="150">
        <f t="shared" si="25"/>
        <v>6453</v>
      </c>
      <c r="M332" s="151" t="str">
        <f t="shared" si="26"/>
        <v>TELEPHONE ET TELEX</v>
      </c>
      <c r="N332" s="152">
        <f>+IF(OR($Q332=Parametres!$G$2,$Q332=Parametres!$G$3),I332,C332)</f>
        <v>899.29</v>
      </c>
      <c r="O332" s="1084">
        <f>+IF(OR($Q332=Parametres!$G$2,$Q332=Parametres!$G$3),J332,D332)</f>
        <v>130.22999999999999</v>
      </c>
      <c r="P332" s="152">
        <f>+IF(OR($Q332=Parametres!$G$2,$Q332=Parametres!$G$3),K332,E332)</f>
        <v>1029.52</v>
      </c>
      <c r="Q332" s="151" t="str">
        <f t="shared" si="27"/>
        <v>7-Dépenses</v>
      </c>
      <c r="R332" s="150" t="str">
        <f t="shared" si="28"/>
        <v>6153</v>
      </c>
      <c r="S332" s="151">
        <f t="shared" si="29"/>
        <v>0</v>
      </c>
      <c r="T332" s="153">
        <f>+VLOOKUP($L332,Data_Validation!$A:$D,1,0)</f>
        <v>6453</v>
      </c>
      <c r="U332" s="153" t="str">
        <f>+VLOOKUP($L332,Data_Validation!$A:$D,3,0)</f>
        <v>Service</v>
      </c>
      <c r="V332" s="153" t="str">
        <f>+VLOOKUP($L332,Data_Validation!$A:$D,4,0)</f>
        <v>Téléphone</v>
      </c>
      <c r="W332" s="153" t="str">
        <f>+VLOOKUP($L332,Data_Validation!$A:$E,5,0)</f>
        <v>$</v>
      </c>
      <c r="X332" s="153">
        <f>+VLOOKUP($L332,Data_Validation!$A:$F,6,0)</f>
        <v>0</v>
      </c>
    </row>
    <row r="333" spans="1:24" ht="15.75" customHeight="1">
      <c r="A333" s="1193" t="s">
        <v>1234</v>
      </c>
      <c r="B333" s="1194">
        <v>6455</v>
      </c>
      <c r="C333" s="1197">
        <v>1248.05</v>
      </c>
      <c r="D333" s="1197">
        <v>200.71</v>
      </c>
      <c r="E333" s="1197">
        <v>1448.76</v>
      </c>
      <c r="F333" s="1193" t="s">
        <v>398</v>
      </c>
      <c r="G333" s="1193" t="s">
        <v>2628</v>
      </c>
      <c r="H333" s="928"/>
      <c r="I333" s="927"/>
      <c r="J333" s="927"/>
      <c r="K333" s="927"/>
      <c r="L333" s="150">
        <f t="shared" si="25"/>
        <v>6455</v>
      </c>
      <c r="M333" s="151" t="str">
        <f t="shared" si="26"/>
        <v>DEPENSES DIVERS</v>
      </c>
      <c r="N333" s="152">
        <f>+IF(OR($Q333=Parametres!$G$2,$Q333=Parametres!$G$3),I333,C333)</f>
        <v>1248.05</v>
      </c>
      <c r="O333" s="1084">
        <f>+IF(OR($Q333=Parametres!$G$2,$Q333=Parametres!$G$3),J333,D333)</f>
        <v>200.71</v>
      </c>
      <c r="P333" s="152">
        <f>+IF(OR($Q333=Parametres!$G$2,$Q333=Parametres!$G$3),K333,E333)</f>
        <v>1448.76</v>
      </c>
      <c r="Q333" s="151" t="str">
        <f t="shared" si="27"/>
        <v>7-Dépenses</v>
      </c>
      <c r="R333" s="150" t="str">
        <f t="shared" si="28"/>
        <v>6155</v>
      </c>
      <c r="S333" s="151">
        <f t="shared" si="29"/>
        <v>0</v>
      </c>
      <c r="T333" s="153">
        <f>+VLOOKUP($L333,Data_Validation!$A:$D,1,0)</f>
        <v>6455</v>
      </c>
      <c r="U333" s="153" t="str">
        <f>+VLOOKUP($L333,Data_Validation!$A:$D,3,0)</f>
        <v>Service</v>
      </c>
      <c r="V333" s="153" t="str">
        <f>+VLOOKUP($L333,Data_Validation!$A:$D,4,0)</f>
        <v>Divers</v>
      </c>
      <c r="W333" s="153" t="str">
        <f>+VLOOKUP($L333,Data_Validation!$A:$E,5,0)</f>
        <v>$</v>
      </c>
      <c r="X333" s="153">
        <f>+VLOOKUP($L333,Data_Validation!$A:$F,6,0)</f>
        <v>0</v>
      </c>
    </row>
    <row r="334" spans="1:24" ht="15.75" customHeight="1">
      <c r="A334" s="1193" t="s">
        <v>1289</v>
      </c>
      <c r="B334" s="1194">
        <v>6456</v>
      </c>
      <c r="C334" s="1197">
        <v>3138.63</v>
      </c>
      <c r="D334" s="1197">
        <v>1233.52</v>
      </c>
      <c r="E334" s="1197">
        <v>4372.1499999999996</v>
      </c>
      <c r="F334" s="1193" t="s">
        <v>398</v>
      </c>
      <c r="G334" s="1193" t="s">
        <v>2461</v>
      </c>
      <c r="H334" s="948"/>
      <c r="I334" s="951"/>
      <c r="J334" s="951"/>
      <c r="K334" s="951"/>
      <c r="L334" s="150">
        <f t="shared" si="25"/>
        <v>6456</v>
      </c>
      <c r="M334" s="151" t="str">
        <f t="shared" si="26"/>
        <v>FRAIS REPRESENTATION - SERVICE</v>
      </c>
      <c r="N334" s="152">
        <f>+IF(OR($Q334=Parametres!$G$2,$Q334=Parametres!$G$3),I334,C334)</f>
        <v>3138.63</v>
      </c>
      <c r="O334" s="1084">
        <f>+IF(OR($Q334=Parametres!$G$2,$Q334=Parametres!$G$3),J334,D334)</f>
        <v>1233.52</v>
      </c>
      <c r="P334" s="152">
        <f>+IF(OR($Q334=Parametres!$G$2,$Q334=Parametres!$G$3),K334,E334)</f>
        <v>4372.1499999999996</v>
      </c>
      <c r="Q334" s="151" t="str">
        <f t="shared" si="27"/>
        <v>7-Dépenses</v>
      </c>
      <c r="R334" s="150" t="str">
        <f t="shared" si="28"/>
        <v>6156</v>
      </c>
      <c r="S334" s="151">
        <f t="shared" si="29"/>
        <v>0</v>
      </c>
      <c r="T334" s="153">
        <f>+VLOOKUP($L334,Data_Validation!$A:$D,1,0)</f>
        <v>6456</v>
      </c>
      <c r="U334" s="153" t="str">
        <f>+VLOOKUP($L334,Data_Validation!$A:$D,3,0)</f>
        <v>Service</v>
      </c>
      <c r="V334" s="153" t="str">
        <f>+VLOOKUP($L334,Data_Validation!$A:$D,4,0)</f>
        <v>Frais de déplacement</v>
      </c>
      <c r="W334" s="153" t="str">
        <f>+VLOOKUP($L334,Data_Validation!$A:$E,5,0)</f>
        <v>$</v>
      </c>
      <c r="X334" s="153">
        <f>+VLOOKUP($L334,Data_Validation!$A:$F,6,0)</f>
        <v>0</v>
      </c>
    </row>
    <row r="335" spans="1:24" ht="15" customHeight="1">
      <c r="A335" s="1193" t="s">
        <v>1305</v>
      </c>
      <c r="B335" s="1194">
        <v>6459</v>
      </c>
      <c r="C335" s="1197">
        <v>9950.35</v>
      </c>
      <c r="D335" s="1197">
        <v>1232.6500000000001</v>
      </c>
      <c r="E335" s="1197">
        <v>11183</v>
      </c>
      <c r="F335" s="1193" t="s">
        <v>398</v>
      </c>
      <c r="G335" s="1193" t="s">
        <v>2653</v>
      </c>
      <c r="H335" s="948"/>
      <c r="I335" s="951"/>
      <c r="J335" s="951"/>
      <c r="K335" s="951"/>
      <c r="L335" s="150">
        <f t="shared" si="25"/>
        <v>6459</v>
      </c>
      <c r="M335" s="151" t="str">
        <f t="shared" si="26"/>
        <v>SERVICE EXTERIEUR</v>
      </c>
      <c r="N335" s="152">
        <f>+IF(OR($Q335=Parametres!$G$2,$Q335=Parametres!$G$3),I335,C335)</f>
        <v>9950.35</v>
      </c>
      <c r="O335" s="1084">
        <f>+IF(OR($Q335=Parametres!$G$2,$Q335=Parametres!$G$3),J335,D335)</f>
        <v>1232.6500000000001</v>
      </c>
      <c r="P335" s="152">
        <f>+IF(OR($Q335=Parametres!$G$2,$Q335=Parametres!$G$3),K335,E335)</f>
        <v>11183</v>
      </c>
      <c r="Q335" s="151" t="str">
        <f t="shared" si="27"/>
        <v>7-Dépenses</v>
      </c>
      <c r="R335" s="150" t="str">
        <f t="shared" si="28"/>
        <v>6159</v>
      </c>
      <c r="S335" s="151">
        <f t="shared" si="29"/>
        <v>0</v>
      </c>
      <c r="T335" s="153">
        <f>+VLOOKUP($L335,Data_Validation!$A:$D,1,0)</f>
        <v>6459</v>
      </c>
      <c r="U335" s="153" t="str">
        <f>+VLOOKUP($L335,Data_Validation!$A:$D,3,0)</f>
        <v>Service</v>
      </c>
      <c r="V335" s="153" t="str">
        <f>+VLOOKUP($L335,Data_Validation!$A:$D,4,0)</f>
        <v>Services extérieurs</v>
      </c>
      <c r="W335" s="153" t="str">
        <f>+VLOOKUP($L335,Data_Validation!$A:$E,5,0)</f>
        <v>$</v>
      </c>
      <c r="X335" s="153">
        <f>+VLOOKUP($L335,Data_Validation!$A:$F,6,0)</f>
        <v>0</v>
      </c>
    </row>
    <row r="336" spans="1:24" ht="15" customHeight="1">
      <c r="A336" s="1193" t="s">
        <v>1330</v>
      </c>
      <c r="B336" s="1194">
        <v>6461</v>
      </c>
      <c r="C336" s="1197">
        <v>4141.92</v>
      </c>
      <c r="D336" s="1197">
        <v>1035.48</v>
      </c>
      <c r="E336" s="1197">
        <v>5177.3999999999996</v>
      </c>
      <c r="F336" s="1193" t="s">
        <v>398</v>
      </c>
      <c r="G336" s="1193" t="s">
        <v>2644</v>
      </c>
      <c r="H336" s="948"/>
      <c r="I336" s="949"/>
      <c r="J336" s="949"/>
      <c r="K336" s="949"/>
      <c r="L336" s="150">
        <f t="shared" si="25"/>
        <v>6461</v>
      </c>
      <c r="M336" s="151" t="str">
        <f t="shared" si="26"/>
        <v>DEPRECIATION EQUIP. &amp; FIXTURES</v>
      </c>
      <c r="N336" s="152">
        <f>+IF(OR($Q336=Parametres!$G$2,$Q336=Parametres!$G$3),I336,C336)</f>
        <v>4141.92</v>
      </c>
      <c r="O336" s="1084">
        <f>+IF(OR($Q336=Parametres!$G$2,$Q336=Parametres!$G$3),J336,D336)</f>
        <v>1035.48</v>
      </c>
      <c r="P336" s="152">
        <f>+IF(OR($Q336=Parametres!$G$2,$Q336=Parametres!$G$3),K336,E336)</f>
        <v>5177.3999999999996</v>
      </c>
      <c r="Q336" s="151" t="str">
        <f t="shared" si="27"/>
        <v>7-Dépenses</v>
      </c>
      <c r="R336" s="150" t="str">
        <f t="shared" si="28"/>
        <v>6161</v>
      </c>
      <c r="S336" s="151">
        <f t="shared" si="29"/>
        <v>0</v>
      </c>
      <c r="T336" s="153">
        <f>+VLOOKUP($L336,Data_Validation!$A:$D,1,0)</f>
        <v>6461</v>
      </c>
      <c r="U336" s="153" t="str">
        <f>+VLOOKUP($L336,Data_Validation!$A:$D,3,0)</f>
        <v>Service</v>
      </c>
      <c r="V336" s="153" t="str">
        <f>+VLOOKUP($L336,Data_Validation!$A:$D,4,0)</f>
        <v>Amortissement</v>
      </c>
      <c r="W336" s="153" t="str">
        <f>+VLOOKUP($L336,Data_Validation!$A:$E,5,0)</f>
        <v>$</v>
      </c>
      <c r="X336" s="153">
        <f>+VLOOKUP($L336,Data_Validation!$A:$F,6,0)</f>
        <v>0</v>
      </c>
    </row>
    <row r="337" spans="1:24" ht="15" customHeight="1">
      <c r="A337" s="1193" t="s">
        <v>1165</v>
      </c>
      <c r="B337" s="1194">
        <v>6463</v>
      </c>
      <c r="C337" s="1197">
        <v>6676.55</v>
      </c>
      <c r="D337" s="1197">
        <v>1216.69</v>
      </c>
      <c r="E337" s="1197">
        <v>7893.24</v>
      </c>
      <c r="F337" s="1193" t="s">
        <v>398</v>
      </c>
      <c r="G337" s="1193" t="s">
        <v>2630</v>
      </c>
      <c r="H337" s="928"/>
      <c r="I337" s="927"/>
      <c r="J337" s="927"/>
      <c r="K337" s="927"/>
      <c r="L337" s="150">
        <f t="shared" si="25"/>
        <v>6463</v>
      </c>
      <c r="M337" s="151" t="str">
        <f t="shared" si="26"/>
        <v>REPARATION &amp; ENT. - EQUIP.</v>
      </c>
      <c r="N337" s="152">
        <f>+IF(OR($Q337=Parametres!$G$2,$Q337=Parametres!$G$3),I337,C337)</f>
        <v>6676.55</v>
      </c>
      <c r="O337" s="1084">
        <f>+IF(OR($Q337=Parametres!$G$2,$Q337=Parametres!$G$3),J337,D337)</f>
        <v>1216.69</v>
      </c>
      <c r="P337" s="152">
        <f>+IF(OR($Q337=Parametres!$G$2,$Q337=Parametres!$G$3),K337,E337)</f>
        <v>7893.24</v>
      </c>
      <c r="Q337" s="151" t="str">
        <f t="shared" si="27"/>
        <v>7-Dépenses</v>
      </c>
      <c r="R337" s="150" t="str">
        <f t="shared" si="28"/>
        <v>6163</v>
      </c>
      <c r="S337" s="151">
        <f t="shared" si="29"/>
        <v>0</v>
      </c>
      <c r="T337" s="153">
        <f>+VLOOKUP($L337,Data_Validation!$A:$D,1,0)</f>
        <v>6463</v>
      </c>
      <c r="U337" s="153" t="str">
        <f>+VLOOKUP($L337,Data_Validation!$A:$D,3,0)</f>
        <v>Service</v>
      </c>
      <c r="V337" s="153" t="str">
        <f>+VLOOKUP($L337,Data_Validation!$A:$D,4,0)</f>
        <v>Réparation équipement</v>
      </c>
      <c r="W337" s="153" t="str">
        <f>+VLOOKUP($L337,Data_Validation!$A:$E,5,0)</f>
        <v>$</v>
      </c>
      <c r="X337" s="153">
        <f>+VLOOKUP($L337,Data_Validation!$A:$F,6,0)</f>
        <v>0</v>
      </c>
    </row>
    <row r="338" spans="1:24" ht="15.75" customHeight="1">
      <c r="A338" s="1193" t="s">
        <v>1308</v>
      </c>
      <c r="B338" s="1194">
        <v>6481</v>
      </c>
      <c r="C338" s="1197">
        <v>1943.38</v>
      </c>
      <c r="D338" s="1197">
        <v>896.48</v>
      </c>
      <c r="E338" s="1197">
        <v>2839.86</v>
      </c>
      <c r="F338" s="1193" t="s">
        <v>398</v>
      </c>
      <c r="G338" s="1193" t="s">
        <v>2595</v>
      </c>
      <c r="H338" s="948"/>
      <c r="I338" s="949"/>
      <c r="J338" s="949"/>
      <c r="K338" s="949"/>
      <c r="L338" s="150">
        <f t="shared" si="25"/>
        <v>6481</v>
      </c>
      <c r="M338" s="151" t="str">
        <f t="shared" si="26"/>
        <v>CHAUFFAGE,ELECTRICITE,EAU-SERVICE</v>
      </c>
      <c r="N338" s="152">
        <f>+IF(OR($Q338=Parametres!$G$2,$Q338=Parametres!$G$3),I338,C338)</f>
        <v>1943.38</v>
      </c>
      <c r="O338" s="1084">
        <f>+IF(OR($Q338=Parametres!$G$2,$Q338=Parametres!$G$3),J338,D338)</f>
        <v>896.48</v>
      </c>
      <c r="P338" s="152">
        <f>+IF(OR($Q338=Parametres!$G$2,$Q338=Parametres!$G$3),K338,E338)</f>
        <v>2839.86</v>
      </c>
      <c r="Q338" s="151" t="str">
        <f t="shared" si="27"/>
        <v>7-Dépenses</v>
      </c>
      <c r="R338" s="150" t="str">
        <f t="shared" si="28"/>
        <v>6181</v>
      </c>
      <c r="S338" s="151">
        <f t="shared" si="29"/>
        <v>0</v>
      </c>
      <c r="T338" s="153">
        <f>+VLOOKUP($L338,Data_Validation!$A:$D,1,0)</f>
        <v>6481</v>
      </c>
      <c r="U338" s="153" t="str">
        <f>+VLOOKUP($L338,Data_Validation!$A:$D,3,0)</f>
        <v>Service</v>
      </c>
      <c r="V338" s="153" t="str">
        <f>+VLOOKUP($L338,Data_Validation!$A:$D,4,0)</f>
        <v>Chauffage, éclairage</v>
      </c>
      <c r="W338" s="153" t="str">
        <f>+VLOOKUP($L338,Data_Validation!$A:$E,5,0)</f>
        <v>$</v>
      </c>
      <c r="X338" s="153">
        <f>+VLOOKUP($L338,Data_Validation!$A:$F,6,0)</f>
        <v>0</v>
      </c>
    </row>
    <row r="339" spans="1:24" ht="15" customHeight="1">
      <c r="A339" s="1193" t="s">
        <v>1449</v>
      </c>
      <c r="B339" s="1194">
        <v>6482</v>
      </c>
      <c r="C339" s="1197">
        <v>24960</v>
      </c>
      <c r="D339" s="1197">
        <v>6240</v>
      </c>
      <c r="E339" s="1197">
        <v>31200</v>
      </c>
      <c r="F339" s="1193" t="s">
        <v>398</v>
      </c>
      <c r="G339" s="1193" t="s">
        <v>2700</v>
      </c>
      <c r="H339" s="948"/>
      <c r="I339" s="951"/>
      <c r="J339" s="951"/>
      <c r="K339" s="951"/>
      <c r="L339" s="150">
        <f t="shared" si="25"/>
        <v>6482</v>
      </c>
      <c r="M339" s="151" t="str">
        <f t="shared" si="26"/>
        <v>LOYER - SERVICE</v>
      </c>
      <c r="N339" s="152">
        <f>+IF(OR($Q339=Parametres!$G$2,$Q339=Parametres!$G$3),I339,C339)</f>
        <v>24960</v>
      </c>
      <c r="O339" s="1084">
        <f>+IF(OR($Q339=Parametres!$G$2,$Q339=Parametres!$G$3),J339,D339)</f>
        <v>6240</v>
      </c>
      <c r="P339" s="152">
        <f>+IF(OR($Q339=Parametres!$G$2,$Q339=Parametres!$G$3),K339,E339)</f>
        <v>31200</v>
      </c>
      <c r="Q339" s="151" t="str">
        <f t="shared" si="27"/>
        <v>7-Dépenses</v>
      </c>
      <c r="R339" s="150" t="str">
        <f t="shared" si="28"/>
        <v>6182</v>
      </c>
      <c r="S339" s="151">
        <f t="shared" si="29"/>
        <v>0</v>
      </c>
      <c r="T339" s="153">
        <f>+VLOOKUP($L339,Data_Validation!$A:$D,1,0)</f>
        <v>6482</v>
      </c>
      <c r="U339" s="153" t="str">
        <f>+VLOOKUP($L339,Data_Validation!$A:$D,3,0)</f>
        <v>Service</v>
      </c>
      <c r="V339" s="153" t="str">
        <f>+VLOOKUP($L339,Data_Validation!$A:$D,4,0)</f>
        <v>Loyer</v>
      </c>
      <c r="W339" s="153" t="str">
        <f>+VLOOKUP($L339,Data_Validation!$A:$E,5,0)</f>
        <v>$</v>
      </c>
      <c r="X339" s="153">
        <f>+VLOOKUP($L339,Data_Validation!$A:$F,6,0)</f>
        <v>0</v>
      </c>
    </row>
    <row r="340" spans="1:24" ht="15" customHeight="1">
      <c r="A340" s="1193" t="s">
        <v>1344</v>
      </c>
      <c r="B340" s="1194">
        <v>6486</v>
      </c>
      <c r="C340" s="1197">
        <v>4100.16</v>
      </c>
      <c r="D340" s="1197">
        <v>1025.04</v>
      </c>
      <c r="E340" s="1197">
        <v>5125.2</v>
      </c>
      <c r="F340" s="1193" t="s">
        <v>398</v>
      </c>
      <c r="G340" s="1193" t="s">
        <v>2585</v>
      </c>
      <c r="H340" s="948"/>
      <c r="I340" s="951"/>
      <c r="J340" s="951"/>
      <c r="K340" s="951"/>
      <c r="L340" s="150">
        <f t="shared" si="25"/>
        <v>6486</v>
      </c>
      <c r="M340" s="151" t="str">
        <f t="shared" si="26"/>
        <v>ASSURANCE BATISSE &amp; AMEL.-SERVICE</v>
      </c>
      <c r="N340" s="152">
        <f>+IF(OR($Q340=Parametres!$G$2,$Q340=Parametres!$G$3),I340,C340)</f>
        <v>4100.16</v>
      </c>
      <c r="O340" s="1084">
        <f>+IF(OR($Q340=Parametres!$G$2,$Q340=Parametres!$G$3),J340,D340)</f>
        <v>1025.04</v>
      </c>
      <c r="P340" s="152">
        <f>+IF(OR($Q340=Parametres!$G$2,$Q340=Parametres!$G$3),K340,E340)</f>
        <v>5125.2</v>
      </c>
      <c r="Q340" s="151" t="str">
        <f t="shared" si="27"/>
        <v>7-Dépenses</v>
      </c>
      <c r="R340" s="150" t="str">
        <f t="shared" si="28"/>
        <v>6186</v>
      </c>
      <c r="S340" s="151">
        <f t="shared" si="29"/>
        <v>0</v>
      </c>
      <c r="T340" s="153">
        <f>+VLOOKUP($L340,Data_Validation!$A:$D,1,0)</f>
        <v>6486</v>
      </c>
      <c r="U340" s="153" t="str">
        <f>+VLOOKUP($L340,Data_Validation!$A:$D,3,0)</f>
        <v>Service</v>
      </c>
      <c r="V340" s="153" t="str">
        <f>+VLOOKUP($L340,Data_Validation!$A:$D,4,0)</f>
        <v>Assurances</v>
      </c>
      <c r="W340" s="153" t="str">
        <f>+VLOOKUP($L340,Data_Validation!$A:$E,5,0)</f>
        <v>$</v>
      </c>
      <c r="X340" s="153">
        <f>+VLOOKUP($L340,Data_Validation!$A:$F,6,0)</f>
        <v>0</v>
      </c>
    </row>
    <row r="341" spans="1:24" ht="15" customHeight="1">
      <c r="A341" s="1193" t="s">
        <v>1337</v>
      </c>
      <c r="B341" s="1194">
        <v>6487</v>
      </c>
      <c r="C341" s="1197">
        <v>4732.8</v>
      </c>
      <c r="D341" s="1197">
        <v>1183.2</v>
      </c>
      <c r="E341" s="1197">
        <v>5916</v>
      </c>
      <c r="F341" s="1193" t="s">
        <v>398</v>
      </c>
      <c r="G341" s="1193" t="s">
        <v>2605</v>
      </c>
      <c r="H341" s="948"/>
      <c r="I341" s="951"/>
      <c r="J341" s="951"/>
      <c r="K341" s="951"/>
      <c r="L341" s="150">
        <f t="shared" si="25"/>
        <v>6487</v>
      </c>
      <c r="M341" s="151" t="str">
        <f t="shared" si="26"/>
        <v>TAXES FONCIERES - SERVICE</v>
      </c>
      <c r="N341" s="152">
        <f>+IF(OR($Q341=Parametres!$G$2,$Q341=Parametres!$G$3),I341,C341)</f>
        <v>4732.8</v>
      </c>
      <c r="O341" s="1084">
        <f>+IF(OR($Q341=Parametres!$G$2,$Q341=Parametres!$G$3),J341,D341)</f>
        <v>1183.2</v>
      </c>
      <c r="P341" s="152">
        <f>+IF(OR($Q341=Parametres!$G$2,$Q341=Parametres!$G$3),K341,E341)</f>
        <v>5916</v>
      </c>
      <c r="Q341" s="151" t="str">
        <f t="shared" si="27"/>
        <v>7-Dépenses</v>
      </c>
      <c r="R341" s="150" t="str">
        <f t="shared" si="28"/>
        <v>6187</v>
      </c>
      <c r="S341" s="151">
        <f t="shared" si="29"/>
        <v>0</v>
      </c>
      <c r="T341" s="153">
        <f>+VLOOKUP($L341,Data_Validation!$A:$D,1,0)</f>
        <v>6487</v>
      </c>
      <c r="U341" s="153" t="str">
        <f>+VLOOKUP($L341,Data_Validation!$A:$D,3,0)</f>
        <v>Service</v>
      </c>
      <c r="V341" s="153" t="str">
        <f>+VLOOKUP($L341,Data_Validation!$A:$D,4,0)</f>
        <v>Taxes foncières</v>
      </c>
      <c r="W341" s="153" t="str">
        <f>+VLOOKUP($L341,Data_Validation!$A:$E,5,0)</f>
        <v>$</v>
      </c>
      <c r="X341" s="153">
        <f>+VLOOKUP($L341,Data_Validation!$A:$F,6,0)</f>
        <v>0</v>
      </c>
    </row>
    <row r="342" spans="1:24" ht="15" customHeight="1">
      <c r="A342" s="1193" t="s">
        <v>1271</v>
      </c>
      <c r="B342" s="1194">
        <v>6493</v>
      </c>
      <c r="C342" s="1197">
        <v>3148.8</v>
      </c>
      <c r="D342" s="1197">
        <v>787.2</v>
      </c>
      <c r="E342" s="1197">
        <v>3936</v>
      </c>
      <c r="F342" s="1193" t="s">
        <v>398</v>
      </c>
      <c r="G342" s="1193" t="s">
        <v>2588</v>
      </c>
      <c r="H342" s="948"/>
      <c r="I342" s="949"/>
      <c r="J342" s="949"/>
      <c r="K342" s="949"/>
      <c r="L342" s="150">
        <f t="shared" si="25"/>
        <v>6493</v>
      </c>
      <c r="M342" s="151" t="str">
        <f t="shared" si="26"/>
        <v>AUTRE TAXES-SERVICE</v>
      </c>
      <c r="N342" s="152">
        <f>+IF(OR($Q342=Parametres!$G$2,$Q342=Parametres!$G$3),I342,C342)</f>
        <v>3148.8</v>
      </c>
      <c r="O342" s="1084">
        <f>+IF(OR($Q342=Parametres!$G$2,$Q342=Parametres!$G$3),J342,D342)</f>
        <v>787.2</v>
      </c>
      <c r="P342" s="152">
        <f>+IF(OR($Q342=Parametres!$G$2,$Q342=Parametres!$G$3),K342,E342)</f>
        <v>3936</v>
      </c>
      <c r="Q342" s="151" t="str">
        <f t="shared" si="27"/>
        <v>7-Dépenses</v>
      </c>
      <c r="R342" s="150" t="str">
        <f t="shared" si="28"/>
        <v>6193</v>
      </c>
      <c r="S342" s="151">
        <f t="shared" si="29"/>
        <v>0</v>
      </c>
      <c r="T342" s="153">
        <f>+VLOOKUP($L342,Data_Validation!$A:$D,1,0)</f>
        <v>6493</v>
      </c>
      <c r="U342" s="153" t="str">
        <f>+VLOOKUP($L342,Data_Validation!$A:$D,3,0)</f>
        <v>Service</v>
      </c>
      <c r="V342" s="153" t="str">
        <f>+VLOOKUP($L342,Data_Validation!$A:$D,4,0)</f>
        <v>Taxes d`affaires</v>
      </c>
      <c r="W342" s="153" t="str">
        <f>+VLOOKUP($L342,Data_Validation!$A:$E,5,0)</f>
        <v>$</v>
      </c>
      <c r="X342" s="153">
        <f>+VLOOKUP($L342,Data_Validation!$A:$F,6,0)</f>
        <v>0</v>
      </c>
    </row>
    <row r="343" spans="1:24" ht="15.75" customHeight="1">
      <c r="A343" s="1193" t="s">
        <v>1364</v>
      </c>
      <c r="B343" s="1194">
        <v>6494</v>
      </c>
      <c r="C343" s="1197">
        <v>5878.4</v>
      </c>
      <c r="D343" s="1197">
        <v>1469.6</v>
      </c>
      <c r="E343" s="1197">
        <v>7348</v>
      </c>
      <c r="F343" s="1193" t="s">
        <v>398</v>
      </c>
      <c r="G343" s="1193" t="s">
        <v>2626</v>
      </c>
      <c r="H343" s="948"/>
      <c r="I343" s="949"/>
      <c r="J343" s="949"/>
      <c r="K343" s="949"/>
      <c r="L343" s="150">
        <f t="shared" si="25"/>
        <v>6494</v>
      </c>
      <c r="M343" s="151" t="str">
        <f t="shared" si="26"/>
        <v>FRAIS PROFESSIONNEL-SERVICE</v>
      </c>
      <c r="N343" s="152">
        <f>+IF(OR($Q343=Parametres!$G$2,$Q343=Parametres!$G$3),I343,C343)</f>
        <v>5878.4</v>
      </c>
      <c r="O343" s="1082">
        <f>+IF(OR($Q343=Parametres!$G$2,$Q343=Parametres!$G$3),J343,D343)</f>
        <v>1469.6</v>
      </c>
      <c r="P343" s="152">
        <f>+IF(OR($Q343=Parametres!$G$2,$Q343=Parametres!$G$3),K343,E343)</f>
        <v>7348</v>
      </c>
      <c r="Q343" s="151" t="str">
        <f t="shared" si="27"/>
        <v>7-Dépenses</v>
      </c>
      <c r="R343" s="150" t="str">
        <f t="shared" si="28"/>
        <v>6194</v>
      </c>
      <c r="S343" s="151">
        <f t="shared" si="29"/>
        <v>0</v>
      </c>
      <c r="T343" s="153">
        <f>+VLOOKUP($L343,Data_Validation!$A:$D,1,0)</f>
        <v>6494</v>
      </c>
      <c r="U343" s="153" t="str">
        <f>+VLOOKUP($L343,Data_Validation!$A:$D,3,0)</f>
        <v>Service</v>
      </c>
      <c r="V343" s="153" t="str">
        <f>+VLOOKUP($L343,Data_Validation!$A:$D,4,0)</f>
        <v>Honoraires</v>
      </c>
      <c r="W343" s="153" t="str">
        <f>+VLOOKUP($L343,Data_Validation!$A:$E,5,0)</f>
        <v>$</v>
      </c>
      <c r="X343" s="153">
        <f>+VLOOKUP($L343,Data_Validation!$A:$F,6,0)</f>
        <v>0</v>
      </c>
    </row>
    <row r="344" spans="1:24" ht="15" customHeight="1">
      <c r="A344" s="1193" t="s">
        <v>396</v>
      </c>
      <c r="B344" s="1194">
        <v>6503</v>
      </c>
      <c r="C344" s="1197">
        <v>1291.45</v>
      </c>
      <c r="D344" s="1197">
        <v>-37.9</v>
      </c>
      <c r="E344" s="1197">
        <v>1253.55</v>
      </c>
      <c r="F344" s="1193" t="s">
        <v>398</v>
      </c>
      <c r="G344" s="1193" t="s">
        <v>2458</v>
      </c>
      <c r="H344" s="948"/>
      <c r="I344" s="951"/>
      <c r="J344" s="951"/>
      <c r="K344" s="951"/>
      <c r="L344" s="150">
        <f t="shared" si="25"/>
        <v>6503</v>
      </c>
      <c r="M344" s="151" t="str">
        <f t="shared" si="26"/>
        <v>RELAT. A LA CLIENTELE &amp; AJUST.</v>
      </c>
      <c r="N344" s="152">
        <f>+IF(OR($Q344=Parametres!$G$2,$Q344=Parametres!$G$3),I344,C344)</f>
        <v>1291.45</v>
      </c>
      <c r="O344" s="1084">
        <f>+IF(OR($Q344=Parametres!$G$2,$Q344=Parametres!$G$3),J344,D344)</f>
        <v>-37.9</v>
      </c>
      <c r="P344" s="152">
        <f>+IF(OR($Q344=Parametres!$G$2,$Q344=Parametres!$G$3),K344,E344)</f>
        <v>1253.55</v>
      </c>
      <c r="Q344" s="151" t="str">
        <f t="shared" si="27"/>
        <v>7-Dépenses</v>
      </c>
      <c r="R344" s="150" t="str">
        <f t="shared" si="28"/>
        <v>6112</v>
      </c>
      <c r="S344" s="151">
        <f t="shared" si="29"/>
        <v>0</v>
      </c>
      <c r="T344" s="153">
        <f>+VLOOKUP($L344,Data_Validation!$A:$D,1,0)</f>
        <v>6503</v>
      </c>
      <c r="U344" s="153" t="str">
        <f>+VLOOKUP($L344,Data_Validation!$A:$D,3,0)</f>
        <v>Carrosserie</v>
      </c>
      <c r="V344" s="153" t="str">
        <f>+VLOOKUP($L344,Data_Validation!$A:$D,4,0)</f>
        <v>Service gratuit 2</v>
      </c>
      <c r="W344" s="153" t="str">
        <f>+VLOOKUP($L344,Data_Validation!$A:$E,5,0)</f>
        <v>$</v>
      </c>
      <c r="X344" s="153">
        <f>+VLOOKUP($L344,Data_Validation!$A:$F,6,0)</f>
        <v>0</v>
      </c>
    </row>
    <row r="345" spans="1:24" ht="15" customHeight="1">
      <c r="A345" s="1193" t="s">
        <v>1371</v>
      </c>
      <c r="B345" s="1194">
        <v>6514</v>
      </c>
      <c r="C345" s="1197">
        <v>0.34</v>
      </c>
      <c r="D345" s="1197">
        <v>0.06</v>
      </c>
      <c r="E345" s="1197">
        <v>0.4</v>
      </c>
      <c r="F345" s="1193" t="s">
        <v>398</v>
      </c>
      <c r="G345" s="1193" t="s">
        <v>2106</v>
      </c>
      <c r="H345" s="948"/>
      <c r="I345" s="950"/>
      <c r="J345" s="950"/>
      <c r="K345" s="950"/>
      <c r="L345" s="150">
        <f t="shared" si="25"/>
        <v>6514</v>
      </c>
      <c r="M345" s="151" t="str">
        <f t="shared" si="26"/>
        <v>PUBLICITE</v>
      </c>
      <c r="N345" s="152">
        <f>+IF(OR($Q345=Parametres!$G$2,$Q345=Parametres!$G$3),I345,C345)</f>
        <v>0.34</v>
      </c>
      <c r="O345" s="1084">
        <f>+IF(OR($Q345=Parametres!$G$2,$Q345=Parametres!$G$3),J345,D345)</f>
        <v>0.06</v>
      </c>
      <c r="P345" s="152">
        <f>+IF(OR($Q345=Parametres!$G$2,$Q345=Parametres!$G$3),K345,E345)</f>
        <v>0.4</v>
      </c>
      <c r="Q345" s="151" t="str">
        <f t="shared" si="27"/>
        <v>7-Dépenses</v>
      </c>
      <c r="R345" s="150" t="str">
        <f t="shared" si="28"/>
        <v>6114</v>
      </c>
      <c r="S345" s="151">
        <f t="shared" si="29"/>
        <v>0</v>
      </c>
      <c r="T345" s="153">
        <f>+VLOOKUP($L345,Data_Validation!$A:$D,1,0)</f>
        <v>6514</v>
      </c>
      <c r="U345" s="153" t="str">
        <f>+VLOOKUP($L345,Data_Validation!$A:$D,3,0)</f>
        <v>Carrosserie</v>
      </c>
      <c r="V345" s="153" t="str">
        <f>+VLOOKUP($L345,Data_Validation!$A:$D,4,0)</f>
        <v>Publicité 2</v>
      </c>
      <c r="W345" s="153" t="str">
        <f>+VLOOKUP($L345,Data_Validation!$A:$E,5,0)</f>
        <v>$</v>
      </c>
      <c r="X345" s="153">
        <f>+VLOOKUP($L345,Data_Validation!$A:$F,6,0)</f>
        <v>0</v>
      </c>
    </row>
    <row r="346" spans="1:24" ht="15" customHeight="1">
      <c r="A346" s="1193" t="s">
        <v>1256</v>
      </c>
      <c r="B346" s="1194">
        <v>6521</v>
      </c>
      <c r="C346" s="1197">
        <v>1577.17</v>
      </c>
      <c r="D346" s="1197">
        <v>426.16</v>
      </c>
      <c r="E346" s="1197">
        <v>2003.33</v>
      </c>
      <c r="F346" s="1193" t="s">
        <v>398</v>
      </c>
      <c r="G346" s="1193" t="s">
        <v>2639</v>
      </c>
      <c r="H346" s="948"/>
      <c r="I346" s="949"/>
      <c r="J346" s="949"/>
      <c r="K346" s="949"/>
      <c r="L346" s="150">
        <f t="shared" si="25"/>
        <v>6521</v>
      </c>
      <c r="M346" s="151" t="str">
        <f t="shared" si="26"/>
        <v>SALAIRES - PROPRIETAIRES</v>
      </c>
      <c r="N346" s="152">
        <f>+IF(OR($Q346=Parametres!$G$2,$Q346=Parametres!$G$3),I346,C346)</f>
        <v>1577.17</v>
      </c>
      <c r="O346" s="1084">
        <f>+IF(OR($Q346=Parametres!$G$2,$Q346=Parametres!$G$3),J346,D346)</f>
        <v>426.16</v>
      </c>
      <c r="P346" s="152">
        <f>+IF(OR($Q346=Parametres!$G$2,$Q346=Parametres!$G$3),K346,E346)</f>
        <v>2003.33</v>
      </c>
      <c r="Q346" s="151" t="str">
        <f t="shared" si="27"/>
        <v>7-Dépenses</v>
      </c>
      <c r="R346" s="150" t="str">
        <f t="shared" si="28"/>
        <v>6121</v>
      </c>
      <c r="S346" s="151">
        <f t="shared" si="29"/>
        <v>0</v>
      </c>
      <c r="T346" s="153">
        <f>+VLOOKUP($L346,Data_Validation!$A:$D,1,0)</f>
        <v>6521</v>
      </c>
      <c r="U346" s="153" t="str">
        <f>+VLOOKUP($L346,Data_Validation!$A:$D,3,0)</f>
        <v>Carrosserie</v>
      </c>
      <c r="V346" s="153" t="str">
        <f>+VLOOKUP($L346,Data_Validation!$A:$D,4,0)</f>
        <v>Salaires propriétaire</v>
      </c>
      <c r="W346" s="153" t="str">
        <f>+VLOOKUP($L346,Data_Validation!$A:$E,5,0)</f>
        <v>$</v>
      </c>
      <c r="X346" s="153">
        <f>+VLOOKUP($L346,Data_Validation!$A:$F,6,0)</f>
        <v>0</v>
      </c>
    </row>
    <row r="347" spans="1:24" ht="15.75" customHeight="1">
      <c r="A347" s="1193" t="s">
        <v>2615</v>
      </c>
      <c r="B347" s="1194">
        <v>6522</v>
      </c>
      <c r="C347" s="1197">
        <v>5107.5200000000004</v>
      </c>
      <c r="D347" s="1197">
        <v>901.88</v>
      </c>
      <c r="E347" s="1197">
        <v>6009.4</v>
      </c>
      <c r="F347" s="1193" t="s">
        <v>398</v>
      </c>
      <c r="G347" s="1193" t="s">
        <v>2617</v>
      </c>
      <c r="H347" s="948"/>
      <c r="I347" s="951"/>
      <c r="J347" s="951"/>
      <c r="K347" s="951"/>
      <c r="L347" s="150">
        <f t="shared" si="25"/>
        <v>6522</v>
      </c>
      <c r="M347" s="151" t="str">
        <f t="shared" si="26"/>
        <v>SAL SUPERVISION / GERANT</v>
      </c>
      <c r="N347" s="152">
        <f>+IF(OR($Q347=Parametres!$G$2,$Q347=Parametres!$G$3),I347,C347)</f>
        <v>5107.5200000000004</v>
      </c>
      <c r="O347" s="1084">
        <f>+IF(OR($Q347=Parametres!$G$2,$Q347=Parametres!$G$3),J347,D347)</f>
        <v>901.88</v>
      </c>
      <c r="P347" s="152">
        <f>+IF(OR($Q347=Parametres!$G$2,$Q347=Parametres!$G$3),K347,E347)</f>
        <v>6009.4</v>
      </c>
      <c r="Q347" s="151" t="str">
        <f t="shared" si="27"/>
        <v>7-Dépenses</v>
      </c>
      <c r="R347" s="150" t="str">
        <f t="shared" si="28"/>
        <v>6122</v>
      </c>
      <c r="S347" s="151">
        <f t="shared" si="29"/>
        <v>0</v>
      </c>
      <c r="T347" s="153">
        <f>+VLOOKUP($L347,Data_Validation!$A:$D,1,0)</f>
        <v>6522</v>
      </c>
      <c r="U347" s="153" t="str">
        <f>+VLOOKUP($L347,Data_Validation!$A:$D,3,0)</f>
        <v>Carrosserie</v>
      </c>
      <c r="V347" s="153" t="str">
        <f>+VLOOKUP($L347,Data_Validation!$A:$D,4,0)</f>
        <v>Salaires cadres</v>
      </c>
      <c r="W347" s="153" t="str">
        <f>+VLOOKUP($L347,Data_Validation!$A:$E,5,0)</f>
        <v>$</v>
      </c>
      <c r="X347" s="153">
        <f>+VLOOKUP($L347,Data_Validation!$A:$F,6,0)</f>
        <v>0</v>
      </c>
    </row>
    <row r="348" spans="1:24" ht="15" customHeight="1">
      <c r="A348" s="1193" t="s">
        <v>1263</v>
      </c>
      <c r="B348" s="1194">
        <v>6523</v>
      </c>
      <c r="C348" s="1197">
        <v>1823.42</v>
      </c>
      <c r="D348" s="1197">
        <v>430.15</v>
      </c>
      <c r="E348" s="1197">
        <v>2253.5700000000002</v>
      </c>
      <c r="F348" s="1193" t="s">
        <v>398</v>
      </c>
      <c r="G348" s="1193" t="s">
        <v>2670</v>
      </c>
      <c r="H348" s="948"/>
      <c r="I348" s="951"/>
      <c r="J348" s="951"/>
      <c r="K348" s="951"/>
      <c r="L348" s="150">
        <f t="shared" si="25"/>
        <v>6523</v>
      </c>
      <c r="M348" s="151" t="str">
        <f t="shared" si="26"/>
        <v>SAL. &amp; RENUM. CLERICAL</v>
      </c>
      <c r="N348" s="152">
        <f>+IF(OR($Q348=Parametres!$G$2,$Q348=Parametres!$G$3),I348,C348)</f>
        <v>1823.42</v>
      </c>
      <c r="O348" s="1084">
        <f>+IF(OR($Q348=Parametres!$G$2,$Q348=Parametres!$G$3),J348,D348)</f>
        <v>430.15</v>
      </c>
      <c r="P348" s="152">
        <f>+IF(OR($Q348=Parametres!$G$2,$Q348=Parametres!$G$3),K348,E348)</f>
        <v>2253.5700000000002</v>
      </c>
      <c r="Q348" s="151" t="str">
        <f t="shared" si="27"/>
        <v>7-Dépenses</v>
      </c>
      <c r="R348" s="150" t="str">
        <f t="shared" si="28"/>
        <v>6123</v>
      </c>
      <c r="S348" s="151">
        <f t="shared" si="29"/>
        <v>0</v>
      </c>
      <c r="T348" s="153">
        <f>+VLOOKUP($L348,Data_Validation!$A:$D,1,0)</f>
        <v>6523</v>
      </c>
      <c r="U348" s="153" t="str">
        <f>+VLOOKUP($L348,Data_Validation!$A:$D,3,0)</f>
        <v>Carrosserie</v>
      </c>
      <c r="V348" s="153" t="str">
        <f>+VLOOKUP($L348,Data_Validation!$A:$D,4,0)</f>
        <v>Salaires commis</v>
      </c>
      <c r="W348" s="153" t="str">
        <f>+VLOOKUP($L348,Data_Validation!$A:$E,5,0)</f>
        <v>$</v>
      </c>
      <c r="X348" s="153">
        <f>+VLOOKUP($L348,Data_Validation!$A:$F,6,0)</f>
        <v>0</v>
      </c>
    </row>
    <row r="349" spans="1:24" ht="15" customHeight="1">
      <c r="A349" s="1193" t="s">
        <v>1246</v>
      </c>
      <c r="B349" s="1194">
        <v>6524</v>
      </c>
      <c r="C349" s="1197">
        <v>4788.84</v>
      </c>
      <c r="D349" s="1197">
        <v>1.23</v>
      </c>
      <c r="E349" s="1197">
        <v>4790.07</v>
      </c>
      <c r="F349" s="1193" t="s">
        <v>398</v>
      </c>
      <c r="G349" s="1193" t="s">
        <v>2726</v>
      </c>
      <c r="H349" s="948"/>
      <c r="I349" s="950"/>
      <c r="J349" s="950"/>
      <c r="K349" s="950"/>
      <c r="L349" s="150">
        <f t="shared" si="25"/>
        <v>6524</v>
      </c>
      <c r="M349" s="151" t="str">
        <f t="shared" si="26"/>
        <v>SALAIRES &amp; RENUM. - AUTRES</v>
      </c>
      <c r="N349" s="152">
        <f>+IF(OR($Q349=Parametres!$G$2,$Q349=Parametres!$G$3),I349,C349)</f>
        <v>4788.84</v>
      </c>
      <c r="O349" s="1084">
        <f>+IF(OR($Q349=Parametres!$G$2,$Q349=Parametres!$G$3),J349,D349)</f>
        <v>1.23</v>
      </c>
      <c r="P349" s="152">
        <f>+IF(OR($Q349=Parametres!$G$2,$Q349=Parametres!$G$3),K349,E349)</f>
        <v>4790.07</v>
      </c>
      <c r="Q349" s="151" t="str">
        <f t="shared" si="27"/>
        <v>7-Dépenses</v>
      </c>
      <c r="R349" s="150" t="str">
        <f t="shared" si="28"/>
        <v>6124</v>
      </c>
      <c r="S349" s="151">
        <f t="shared" si="29"/>
        <v>0</v>
      </c>
      <c r="T349" s="153">
        <f>+VLOOKUP($L349,Data_Validation!$A:$D,1,0)</f>
        <v>6524</v>
      </c>
      <c r="U349" s="153" t="str">
        <f>+VLOOKUP($L349,Data_Validation!$A:$D,3,0)</f>
        <v>Carrosserie</v>
      </c>
      <c r="V349" s="153" t="str">
        <f>+VLOOKUP($L349,Data_Validation!$A:$D,4,0)</f>
        <v>Salaires autres</v>
      </c>
      <c r="W349" s="153" t="str">
        <f>+VLOOKUP($L349,Data_Validation!$A:$E,5,0)</f>
        <v>$</v>
      </c>
      <c r="X349" s="153">
        <f>+VLOOKUP($L349,Data_Validation!$A:$F,6,0)</f>
        <v>0</v>
      </c>
    </row>
    <row r="350" spans="1:24" ht="15" customHeight="1">
      <c r="A350" s="1193" t="s">
        <v>1327</v>
      </c>
      <c r="B350" s="1194">
        <v>6525</v>
      </c>
      <c r="C350" s="1197">
        <v>11849.28</v>
      </c>
      <c r="D350" s="1197">
        <v>4571.3500000000004</v>
      </c>
      <c r="E350" s="1197">
        <v>16420.63</v>
      </c>
      <c r="F350" s="1193" t="s">
        <v>398</v>
      </c>
      <c r="G350" s="1193" t="s">
        <v>2712</v>
      </c>
      <c r="H350" s="948"/>
      <c r="I350" s="951"/>
      <c r="J350" s="951"/>
      <c r="K350" s="951"/>
      <c r="L350" s="150">
        <f t="shared" si="25"/>
        <v>6525</v>
      </c>
      <c r="M350" s="151" t="str">
        <f t="shared" si="26"/>
        <v>SALAIRE SPECIALISTES</v>
      </c>
      <c r="N350" s="152">
        <f>+IF(OR($Q350=Parametres!$G$2,$Q350=Parametres!$G$3),I350,C350)</f>
        <v>11849.28</v>
      </c>
      <c r="O350" s="1084">
        <f>+IF(OR($Q350=Parametres!$G$2,$Q350=Parametres!$G$3),J350,D350)</f>
        <v>4571.3500000000004</v>
      </c>
      <c r="P350" s="152">
        <f>+IF(OR($Q350=Parametres!$G$2,$Q350=Parametres!$G$3),K350,E350)</f>
        <v>16420.63</v>
      </c>
      <c r="Q350" s="151" t="str">
        <f t="shared" si="27"/>
        <v>7-Dépenses</v>
      </c>
      <c r="R350" s="150" t="str">
        <f t="shared" si="28"/>
        <v>6125</v>
      </c>
      <c r="S350" s="151">
        <f t="shared" si="29"/>
        <v>0</v>
      </c>
      <c r="T350" s="153">
        <f>+VLOOKUP($L350,Data_Validation!$A:$D,1,0)</f>
        <v>6525</v>
      </c>
      <c r="U350" s="153" t="str">
        <f>+VLOOKUP($L350,Data_Validation!$A:$D,3,0)</f>
        <v>Carrosserie</v>
      </c>
      <c r="V350" s="153" t="str">
        <f>+VLOOKUP($L350,Data_Validation!$A:$D,4,0)</f>
        <v>Salaires spécialistes</v>
      </c>
      <c r="W350" s="153" t="str">
        <f>+VLOOKUP($L350,Data_Validation!$A:$E,5,0)</f>
        <v>$</v>
      </c>
      <c r="X350" s="153">
        <f>+VLOOKUP($L350,Data_Validation!$A:$F,6,0)</f>
        <v>0</v>
      </c>
    </row>
    <row r="351" spans="1:24" ht="15" customHeight="1">
      <c r="A351" s="1193" t="s">
        <v>1208</v>
      </c>
      <c r="B351" s="1194">
        <v>6529</v>
      </c>
      <c r="C351" s="1197">
        <v>1868.29</v>
      </c>
      <c r="D351" s="1197">
        <v>966.5</v>
      </c>
      <c r="E351" s="1197">
        <v>2834.79</v>
      </c>
      <c r="F351" s="1193" t="s">
        <v>398</v>
      </c>
      <c r="G351" s="1193" t="s">
        <v>2632</v>
      </c>
      <c r="H351" s="948"/>
      <c r="I351" s="950"/>
      <c r="J351" s="950"/>
      <c r="K351" s="950"/>
      <c r="L351" s="150">
        <f t="shared" si="25"/>
        <v>6529</v>
      </c>
      <c r="M351" s="151" t="str">
        <f t="shared" si="26"/>
        <v>ABS.,VACANCES &amp; SAL. JOURS FER</v>
      </c>
      <c r="N351" s="152">
        <f>+IF(OR($Q351=Parametres!$G$2,$Q351=Parametres!$G$3),I351,C351)</f>
        <v>1868.29</v>
      </c>
      <c r="O351" s="1084">
        <f>+IF(OR($Q351=Parametres!$G$2,$Q351=Parametres!$G$3),J351,D351)</f>
        <v>966.5</v>
      </c>
      <c r="P351" s="152">
        <f>+IF(OR($Q351=Parametres!$G$2,$Q351=Parametres!$G$3),K351,E351)</f>
        <v>2834.79</v>
      </c>
      <c r="Q351" s="151" t="str">
        <f t="shared" si="27"/>
        <v>7-Dépenses</v>
      </c>
      <c r="R351" s="150" t="str">
        <f t="shared" si="28"/>
        <v>6129</v>
      </c>
      <c r="S351" s="151">
        <f t="shared" si="29"/>
        <v>0</v>
      </c>
      <c r="T351" s="153">
        <f>+VLOOKUP($L351,Data_Validation!$A:$D,1,0)</f>
        <v>6529</v>
      </c>
      <c r="U351" s="153" t="str">
        <f>+VLOOKUP($L351,Data_Validation!$A:$D,3,0)</f>
        <v>Carrosserie</v>
      </c>
      <c r="V351" s="153" t="str">
        <f>+VLOOKUP($L351,Data_Validation!$A:$D,4,0)</f>
        <v>Salaires en absences</v>
      </c>
      <c r="W351" s="153" t="str">
        <f>+VLOOKUP($L351,Data_Validation!$A:$E,5,0)</f>
        <v>$</v>
      </c>
      <c r="X351" s="153">
        <f>+VLOOKUP($L351,Data_Validation!$A:$F,6,0)</f>
        <v>0</v>
      </c>
    </row>
    <row r="352" spans="1:24" ht="15.75" customHeight="1">
      <c r="A352" s="1193" t="s">
        <v>1249</v>
      </c>
      <c r="B352" s="1194">
        <v>6531</v>
      </c>
      <c r="C352" s="1197">
        <v>954.28</v>
      </c>
      <c r="D352" s="1197">
        <v>193.54</v>
      </c>
      <c r="E352" s="1197">
        <v>1147.82</v>
      </c>
      <c r="F352" s="1193" t="s">
        <v>398</v>
      </c>
      <c r="G352" s="1193" t="s">
        <v>2577</v>
      </c>
      <c r="H352" s="948"/>
      <c r="I352" s="950"/>
      <c r="J352" s="950"/>
      <c r="K352" s="950"/>
      <c r="L352" s="150">
        <f t="shared" si="25"/>
        <v>6531</v>
      </c>
      <c r="M352" s="151" t="str">
        <f t="shared" si="26"/>
        <v>CSST</v>
      </c>
      <c r="N352" s="152">
        <f>+IF(OR($Q352=Parametres!$G$2,$Q352=Parametres!$G$3),I352,C352)</f>
        <v>954.28</v>
      </c>
      <c r="O352" s="1084">
        <f>+IF(OR($Q352=Parametres!$G$2,$Q352=Parametres!$G$3),J352,D352)</f>
        <v>193.54</v>
      </c>
      <c r="P352" s="152">
        <f>+IF(OR($Q352=Parametres!$G$2,$Q352=Parametres!$G$3),K352,E352)</f>
        <v>1147.82</v>
      </c>
      <c r="Q352" s="151" t="str">
        <f t="shared" si="27"/>
        <v>7-Dépenses</v>
      </c>
      <c r="R352" s="150" t="str">
        <f t="shared" si="28"/>
        <v>6131</v>
      </c>
      <c r="S352" s="151">
        <f t="shared" si="29"/>
        <v>0</v>
      </c>
      <c r="T352" s="153">
        <f>+VLOOKUP($L352,Data_Validation!$A:$D,1,0)</f>
        <v>6531</v>
      </c>
      <c r="U352" s="153" t="str">
        <f>+VLOOKUP($L352,Data_Validation!$A:$D,3,0)</f>
        <v>Carrosserie</v>
      </c>
      <c r="V352" s="153" t="str">
        <f>+VLOOKUP($L352,Data_Validation!$A:$D,4,0)</f>
        <v>Csst</v>
      </c>
      <c r="W352" s="153" t="str">
        <f>+VLOOKUP($L352,Data_Validation!$A:$E,5,0)</f>
        <v>$</v>
      </c>
      <c r="X352" s="153">
        <f>+VLOOKUP($L352,Data_Validation!$A:$F,6,0)</f>
        <v>0</v>
      </c>
    </row>
    <row r="353" spans="1:24" ht="15" customHeight="1">
      <c r="A353" s="1193" t="s">
        <v>1280</v>
      </c>
      <c r="B353" s="1194">
        <v>6532</v>
      </c>
      <c r="C353" s="1197">
        <v>5427.03</v>
      </c>
      <c r="D353" s="1197">
        <v>1787.74</v>
      </c>
      <c r="E353" s="1197">
        <v>7214.77</v>
      </c>
      <c r="F353" s="1193" t="s">
        <v>398</v>
      </c>
      <c r="G353" s="1193" t="s">
        <v>2676</v>
      </c>
      <c r="H353" s="928"/>
      <c r="I353" s="927"/>
      <c r="J353" s="927"/>
      <c r="K353" s="927"/>
      <c r="L353" s="150">
        <f t="shared" si="25"/>
        <v>6532</v>
      </c>
      <c r="M353" s="151" t="str">
        <f t="shared" si="26"/>
        <v>RRQ RAMQ AC</v>
      </c>
      <c r="N353" s="152">
        <f>+IF(OR($Q353=Parametres!$G$2,$Q353=Parametres!$G$3),I353,C353)</f>
        <v>5427.03</v>
      </c>
      <c r="O353" s="1084">
        <f>+IF(OR($Q353=Parametres!$G$2,$Q353=Parametres!$G$3),J353,D353)</f>
        <v>1787.74</v>
      </c>
      <c r="P353" s="152">
        <f>+IF(OR($Q353=Parametres!$G$2,$Q353=Parametres!$G$3),K353,E353)</f>
        <v>7214.77</v>
      </c>
      <c r="Q353" s="151" t="str">
        <f t="shared" si="27"/>
        <v>7-Dépenses</v>
      </c>
      <c r="R353" s="150" t="str">
        <f t="shared" si="28"/>
        <v>6132</v>
      </c>
      <c r="S353" s="151">
        <f t="shared" si="29"/>
        <v>0</v>
      </c>
      <c r="T353" s="153">
        <f>+VLOOKUP($L353,Data_Validation!$A:$D,1,0)</f>
        <v>6532</v>
      </c>
      <c r="U353" s="153" t="str">
        <f>+VLOOKUP($L353,Data_Validation!$A:$D,3,0)</f>
        <v>Carrosserie</v>
      </c>
      <c r="V353" s="153" t="str">
        <f>+VLOOKUP($L353,Data_Validation!$A:$D,4,0)</f>
        <v>Déduction à la source</v>
      </c>
      <c r="W353" s="153" t="str">
        <f>+VLOOKUP($L353,Data_Validation!$A:$E,5,0)</f>
        <v>$</v>
      </c>
      <c r="X353" s="153">
        <f>+VLOOKUP($L353,Data_Validation!$A:$F,6,0)</f>
        <v>0</v>
      </c>
    </row>
    <row r="354" spans="1:24" ht="15" customHeight="1">
      <c r="A354" s="1193" t="s">
        <v>1302</v>
      </c>
      <c r="B354" s="1194">
        <v>6539</v>
      </c>
      <c r="C354" s="1197">
        <v>3751.79</v>
      </c>
      <c r="D354" s="1197">
        <v>1454.83</v>
      </c>
      <c r="E354" s="1197">
        <v>5206.62</v>
      </c>
      <c r="F354" s="1193" t="s">
        <v>398</v>
      </c>
      <c r="G354" s="1193" t="s">
        <v>2685</v>
      </c>
      <c r="H354" s="948"/>
      <c r="I354" s="951"/>
      <c r="J354" s="951"/>
      <c r="K354" s="951"/>
      <c r="L354" s="150">
        <f t="shared" si="25"/>
        <v>6539</v>
      </c>
      <c r="M354" s="151" t="str">
        <f t="shared" si="26"/>
        <v>ASSURANCE GROUPE</v>
      </c>
      <c r="N354" s="152">
        <f>+IF(OR($Q354=Parametres!$G$2,$Q354=Parametres!$G$3),I354,C354)</f>
        <v>3751.79</v>
      </c>
      <c r="O354" s="1084">
        <f>+IF(OR($Q354=Parametres!$G$2,$Q354=Parametres!$G$3),J354,D354)</f>
        <v>1454.83</v>
      </c>
      <c r="P354" s="152">
        <f>+IF(OR($Q354=Parametres!$G$2,$Q354=Parametres!$G$3),K354,E354)</f>
        <v>5206.62</v>
      </c>
      <c r="Q354" s="151" t="str">
        <f t="shared" si="27"/>
        <v>7-Dépenses</v>
      </c>
      <c r="R354" s="150" t="str">
        <f t="shared" si="28"/>
        <v>6139</v>
      </c>
      <c r="S354" s="151">
        <f t="shared" si="29"/>
        <v>0</v>
      </c>
      <c r="T354" s="153">
        <f>+VLOOKUP($L354,Data_Validation!$A:$D,1,0)</f>
        <v>6539</v>
      </c>
      <c r="U354" s="153" t="str">
        <f>+VLOOKUP($L354,Data_Validation!$A:$D,3,0)</f>
        <v>Carrosserie</v>
      </c>
      <c r="V354" s="153" t="str">
        <f>+VLOOKUP($L354,Data_Validation!$A:$D,4,0)</f>
        <v>Bénéfices marginaux</v>
      </c>
      <c r="W354" s="153" t="str">
        <f>+VLOOKUP($L354,Data_Validation!$A:$E,5,0)</f>
        <v>$</v>
      </c>
      <c r="X354" s="153">
        <f>+VLOOKUP($L354,Data_Validation!$A:$F,6,0)</f>
        <v>0</v>
      </c>
    </row>
    <row r="355" spans="1:24" ht="15" customHeight="1">
      <c r="A355" s="1193" t="s">
        <v>1154</v>
      </c>
      <c r="B355" s="1194">
        <v>6542</v>
      </c>
      <c r="C355" s="1197">
        <v>2.8</v>
      </c>
      <c r="D355" s="1197" t="s">
        <v>3444</v>
      </c>
      <c r="E355" s="1197">
        <v>2.8</v>
      </c>
      <c r="F355" s="1193" t="s">
        <v>398</v>
      </c>
      <c r="G355" s="1193" t="s">
        <v>2554</v>
      </c>
      <c r="H355" s="948"/>
      <c r="I355" s="949"/>
      <c r="J355" s="949"/>
      <c r="K355" s="949"/>
      <c r="L355" s="150">
        <f t="shared" si="25"/>
        <v>6542</v>
      </c>
      <c r="M355" s="151" t="str">
        <f t="shared" si="26"/>
        <v>FOURNITURES &amp; PETITS OUTILS</v>
      </c>
      <c r="N355" s="152">
        <f>+IF(OR($Q355=Parametres!$G$2,$Q355=Parametres!$G$3),I355,C355)</f>
        <v>2.8</v>
      </c>
      <c r="O355" s="1084" t="str">
        <f>+IF(OR($Q355=Parametres!$G$2,$Q355=Parametres!$G$3),J355,D355)</f>
        <v xml:space="preserve">                       -   </v>
      </c>
      <c r="P355" s="152">
        <f>+IF(OR($Q355=Parametres!$G$2,$Q355=Parametres!$G$3),K355,E355)</f>
        <v>2.8</v>
      </c>
      <c r="Q355" s="151" t="str">
        <f t="shared" si="27"/>
        <v>7-Dépenses</v>
      </c>
      <c r="R355" s="150" t="str">
        <f t="shared" si="28"/>
        <v>6142</v>
      </c>
      <c r="S355" s="151">
        <f t="shared" si="29"/>
        <v>0</v>
      </c>
      <c r="T355" s="153">
        <f>+VLOOKUP($L355,Data_Validation!$A:$D,1,0)</f>
        <v>6542</v>
      </c>
      <c r="U355" s="153" t="str">
        <f>+VLOOKUP($L355,Data_Validation!$A:$D,3,0)</f>
        <v>Carrosserie</v>
      </c>
      <c r="V355" s="153" t="str">
        <f>+VLOOKUP($L355,Data_Validation!$A:$D,4,0)</f>
        <v>Fournitures autres</v>
      </c>
      <c r="W355" s="153" t="str">
        <f>+VLOOKUP($L355,Data_Validation!$A:$E,5,0)</f>
        <v>$</v>
      </c>
      <c r="X355" s="153">
        <f>+VLOOKUP($L355,Data_Validation!$A:$F,6,0)</f>
        <v>0</v>
      </c>
    </row>
    <row r="356" spans="1:24" ht="15" customHeight="1">
      <c r="A356" s="1193" t="s">
        <v>931</v>
      </c>
      <c r="B356" s="1194">
        <v>6544</v>
      </c>
      <c r="C356" s="1197">
        <v>89.32</v>
      </c>
      <c r="D356" s="1197">
        <v>22.33</v>
      </c>
      <c r="E356" s="1197">
        <v>111.65</v>
      </c>
      <c r="F356" s="1193" t="s">
        <v>398</v>
      </c>
      <c r="G356" s="1193" t="s">
        <v>2552</v>
      </c>
      <c r="H356" s="948"/>
      <c r="I356" s="951"/>
      <c r="J356" s="951"/>
      <c r="K356" s="951"/>
      <c r="L356" s="150">
        <f t="shared" si="25"/>
        <v>6544</v>
      </c>
      <c r="M356" s="151" t="str">
        <f t="shared" si="26"/>
        <v>FORMATION</v>
      </c>
      <c r="N356" s="152">
        <f>+IF(OR($Q356=Parametres!$G$2,$Q356=Parametres!$G$3),I356,C356)</f>
        <v>89.32</v>
      </c>
      <c r="O356" s="1084">
        <f>+IF(OR($Q356=Parametres!$G$2,$Q356=Parametres!$G$3),J356,D356)</f>
        <v>22.33</v>
      </c>
      <c r="P356" s="152">
        <f>+IF(OR($Q356=Parametres!$G$2,$Q356=Parametres!$G$3),K356,E356)</f>
        <v>111.65</v>
      </c>
      <c r="Q356" s="151" t="str">
        <f t="shared" si="27"/>
        <v>7-Dépenses</v>
      </c>
      <c r="R356" s="150" t="str">
        <f t="shared" si="28"/>
        <v>6144</v>
      </c>
      <c r="S356" s="151">
        <f t="shared" si="29"/>
        <v>0</v>
      </c>
      <c r="T356" s="153">
        <f>+VLOOKUP($L356,Data_Validation!$A:$D,1,0)</f>
        <v>6544</v>
      </c>
      <c r="U356" s="153" t="str">
        <f>+VLOOKUP($L356,Data_Validation!$A:$D,3,0)</f>
        <v>Carrosserie</v>
      </c>
      <c r="V356" s="153" t="str">
        <f>+VLOOKUP($L356,Data_Validation!$A:$D,4,0)</f>
        <v>Formation</v>
      </c>
      <c r="W356" s="153" t="str">
        <f>+VLOOKUP($L356,Data_Validation!$A:$E,5,0)</f>
        <v>$</v>
      </c>
      <c r="X356" s="153">
        <f>+VLOOKUP($L356,Data_Validation!$A:$F,6,0)</f>
        <v>0</v>
      </c>
    </row>
    <row r="357" spans="1:24" ht="15" customHeight="1">
      <c r="A357" s="1193" t="s">
        <v>1183</v>
      </c>
      <c r="B357" s="1194">
        <v>6545</v>
      </c>
      <c r="C357" s="1197">
        <v>1834.29</v>
      </c>
      <c r="D357" s="1197">
        <v>297.20999999999998</v>
      </c>
      <c r="E357" s="1197">
        <v>2131.5</v>
      </c>
      <c r="F357" s="1193" t="s">
        <v>398</v>
      </c>
      <c r="G357" s="1193" t="s">
        <v>2623</v>
      </c>
      <c r="H357" s="948"/>
      <c r="I357" s="949"/>
      <c r="J357" s="949"/>
      <c r="K357" s="949"/>
      <c r="L357" s="150">
        <f t="shared" si="25"/>
        <v>6545</v>
      </c>
      <c r="M357" s="151" t="str">
        <f t="shared" si="26"/>
        <v>VEHICULE DE COMPAGNIE - DEPENS</v>
      </c>
      <c r="N357" s="152">
        <f>+IF(OR($Q357=Parametres!$G$2,$Q357=Parametres!$G$3),I357,C357)</f>
        <v>1834.29</v>
      </c>
      <c r="O357" s="1084">
        <f>+IF(OR($Q357=Parametres!$G$2,$Q357=Parametres!$G$3),J357,D357)</f>
        <v>297.20999999999998</v>
      </c>
      <c r="P357" s="152">
        <f>+IF(OR($Q357=Parametres!$G$2,$Q357=Parametres!$G$3),K357,E357)</f>
        <v>2131.5</v>
      </c>
      <c r="Q357" s="151" t="str">
        <f t="shared" si="27"/>
        <v>7-Dépenses</v>
      </c>
      <c r="R357" s="150" t="str">
        <f t="shared" si="28"/>
        <v>6145</v>
      </c>
      <c r="S357" s="151">
        <f t="shared" si="29"/>
        <v>0</v>
      </c>
      <c r="T357" s="153">
        <f>+VLOOKUP($L357,Data_Validation!$A:$D,1,0)</f>
        <v>6545</v>
      </c>
      <c r="U357" s="153" t="str">
        <f>+VLOOKUP($L357,Data_Validation!$A:$D,3,0)</f>
        <v>Carrosserie</v>
      </c>
      <c r="V357" s="153" t="str">
        <f>+VLOOKUP($L357,Data_Validation!$A:$D,4,0)</f>
        <v>Frais véhicules de cie</v>
      </c>
      <c r="W357" s="153" t="str">
        <f>+VLOOKUP($L357,Data_Validation!$A:$E,5,0)</f>
        <v>$</v>
      </c>
      <c r="X357" s="153">
        <f>+VLOOKUP($L357,Data_Validation!$A:$F,6,0)</f>
        <v>0</v>
      </c>
    </row>
    <row r="358" spans="1:24" ht="15.75" customHeight="1">
      <c r="A358" s="1193" t="s">
        <v>1177</v>
      </c>
      <c r="B358" s="1194">
        <v>6547</v>
      </c>
      <c r="C358" s="1197">
        <v>108.81</v>
      </c>
      <c r="D358" s="1197">
        <v>22.2</v>
      </c>
      <c r="E358" s="1197">
        <v>131.01</v>
      </c>
      <c r="F358" s="1193" t="s">
        <v>398</v>
      </c>
      <c r="G358" s="1193" t="s">
        <v>2572</v>
      </c>
      <c r="H358" s="948"/>
      <c r="I358" s="951"/>
      <c r="J358" s="951"/>
      <c r="K358" s="951"/>
      <c r="L358" s="150">
        <f t="shared" si="25"/>
        <v>6547</v>
      </c>
      <c r="M358" s="151" t="str">
        <f t="shared" si="26"/>
        <v>FRET/EXPRESS/TRANS. PAR CAMION</v>
      </c>
      <c r="N358" s="152">
        <f>+IF(OR($Q358=Parametres!$G$2,$Q358=Parametres!$G$3),I358,C358)</f>
        <v>108.81</v>
      </c>
      <c r="O358" s="1084">
        <f>+IF(OR($Q358=Parametres!$G$2,$Q358=Parametres!$G$3),J358,D358)</f>
        <v>22.2</v>
      </c>
      <c r="P358" s="152">
        <f>+IF(OR($Q358=Parametres!$G$2,$Q358=Parametres!$G$3),K358,E358)</f>
        <v>131.01</v>
      </c>
      <c r="Q358" s="151" t="str">
        <f t="shared" si="27"/>
        <v>7-Dépenses</v>
      </c>
      <c r="R358" s="150" t="str">
        <f t="shared" si="28"/>
        <v>6147</v>
      </c>
      <c r="S358" s="151">
        <f t="shared" si="29"/>
        <v>0</v>
      </c>
      <c r="T358" s="153">
        <f>+VLOOKUP($L358,Data_Validation!$A:$D,1,0)</f>
        <v>6547</v>
      </c>
      <c r="U358" s="153" t="str">
        <f>+VLOOKUP($L358,Data_Validation!$A:$D,3,0)</f>
        <v>Carrosserie</v>
      </c>
      <c r="V358" s="153" t="str">
        <f>+VLOOKUP($L358,Data_Validation!$A:$D,4,0)</f>
        <v>Frais postaux</v>
      </c>
      <c r="W358" s="153" t="str">
        <f>+VLOOKUP($L358,Data_Validation!$A:$E,5,0)</f>
        <v>$</v>
      </c>
      <c r="X358" s="153">
        <f>+VLOOKUP($L358,Data_Validation!$A:$F,6,0)</f>
        <v>0</v>
      </c>
    </row>
    <row r="359" spans="1:24" ht="15" customHeight="1">
      <c r="A359" s="1193" t="s">
        <v>1283</v>
      </c>
      <c r="B359" s="1194">
        <v>6551</v>
      </c>
      <c r="C359" s="1197">
        <v>5456.9</v>
      </c>
      <c r="D359" s="1197">
        <v>1412.27</v>
      </c>
      <c r="E359" s="1197">
        <v>6869.17</v>
      </c>
      <c r="F359" s="1193" t="s">
        <v>398</v>
      </c>
      <c r="G359" s="1193" t="s">
        <v>2693</v>
      </c>
      <c r="H359" s="948"/>
      <c r="I359" s="949"/>
      <c r="J359" s="949"/>
      <c r="K359" s="949"/>
      <c r="L359" s="150">
        <f t="shared" si="25"/>
        <v>6551</v>
      </c>
      <c r="M359" s="151" t="str">
        <f t="shared" si="26"/>
        <v>DEP. DU TRAITEMENT DES DONNEES</v>
      </c>
      <c r="N359" s="152">
        <f>+IF(OR($Q359=Parametres!$G$2,$Q359=Parametres!$G$3),I359,C359)</f>
        <v>5456.9</v>
      </c>
      <c r="O359" s="1084">
        <f>+IF(OR($Q359=Parametres!$G$2,$Q359=Parametres!$G$3),J359,D359)</f>
        <v>1412.27</v>
      </c>
      <c r="P359" s="152">
        <f>+IF(OR($Q359=Parametres!$G$2,$Q359=Parametres!$G$3),K359,E359)</f>
        <v>6869.17</v>
      </c>
      <c r="Q359" s="151" t="str">
        <f t="shared" si="27"/>
        <v>7-Dépenses</v>
      </c>
      <c r="R359" s="150" t="str">
        <f t="shared" si="28"/>
        <v>6151</v>
      </c>
      <c r="S359" s="151">
        <f t="shared" si="29"/>
        <v>0</v>
      </c>
      <c r="T359" s="153">
        <f>+VLOOKUP($L359,Data_Validation!$A:$D,1,0)</f>
        <v>6551</v>
      </c>
      <c r="U359" s="153" t="str">
        <f>+VLOOKUP($L359,Data_Validation!$A:$D,3,0)</f>
        <v>Carrosserie</v>
      </c>
      <c r="V359" s="153" t="str">
        <f>+VLOOKUP($L359,Data_Validation!$A:$D,4,0)</f>
        <v>Informatique</v>
      </c>
      <c r="W359" s="153" t="str">
        <f>+VLOOKUP($L359,Data_Validation!$A:$E,5,0)</f>
        <v>$</v>
      </c>
      <c r="X359" s="153">
        <f>+VLOOKUP($L359,Data_Validation!$A:$F,6,0)</f>
        <v>0</v>
      </c>
    </row>
    <row r="360" spans="1:24" ht="15" customHeight="1">
      <c r="A360" s="1193" t="s">
        <v>1203</v>
      </c>
      <c r="B360" s="1194">
        <v>6552</v>
      </c>
      <c r="C360" s="1197">
        <v>538.28</v>
      </c>
      <c r="D360" s="1197">
        <v>148.18</v>
      </c>
      <c r="E360" s="1197">
        <v>686.46</v>
      </c>
      <c r="F360" s="1193" t="s">
        <v>398</v>
      </c>
      <c r="G360" s="1193" t="s">
        <v>2579</v>
      </c>
      <c r="H360" s="948"/>
      <c r="I360" s="950"/>
      <c r="J360" s="950"/>
      <c r="K360" s="950"/>
      <c r="L360" s="150">
        <f t="shared" si="25"/>
        <v>6552</v>
      </c>
      <c r="M360" s="151" t="str">
        <f t="shared" si="26"/>
        <v>PAPETERIE</v>
      </c>
      <c r="N360" s="152">
        <f>+IF(OR($Q360=Parametres!$G$2,$Q360=Parametres!$G$3),I360,C360)</f>
        <v>538.28</v>
      </c>
      <c r="O360" s="1082">
        <f>+IF(OR($Q360=Parametres!$G$2,$Q360=Parametres!$G$3),J360,D360)</f>
        <v>148.18</v>
      </c>
      <c r="P360" s="152">
        <f>+IF(OR($Q360=Parametres!$G$2,$Q360=Parametres!$G$3),K360,E360)</f>
        <v>686.46</v>
      </c>
      <c r="Q360" s="151" t="str">
        <f t="shared" si="27"/>
        <v>7-Dépenses</v>
      </c>
      <c r="R360" s="150" t="str">
        <f t="shared" si="28"/>
        <v>6152</v>
      </c>
      <c r="S360" s="151">
        <f t="shared" si="29"/>
        <v>0</v>
      </c>
      <c r="T360" s="153">
        <f>+VLOOKUP($L360,Data_Validation!$A:$D,1,0)</f>
        <v>6552</v>
      </c>
      <c r="U360" s="153" t="str">
        <f>+VLOOKUP($L360,Data_Validation!$A:$D,3,0)</f>
        <v>Carrosserie</v>
      </c>
      <c r="V360" s="153" t="str">
        <f>+VLOOKUP($L360,Data_Validation!$A:$D,4,0)</f>
        <v>Papeterie</v>
      </c>
      <c r="W360" s="153" t="str">
        <f>+VLOOKUP($L360,Data_Validation!$A:$E,5,0)</f>
        <v>$</v>
      </c>
      <c r="X360" s="153">
        <f>+VLOOKUP($L360,Data_Validation!$A:$F,6,0)</f>
        <v>0</v>
      </c>
    </row>
    <row r="361" spans="1:24" ht="15" customHeight="1">
      <c r="A361" s="1193" t="s">
        <v>1151</v>
      </c>
      <c r="B361" s="1194">
        <v>6553</v>
      </c>
      <c r="C361" s="1197">
        <v>125.63</v>
      </c>
      <c r="D361" s="1197">
        <v>27.72</v>
      </c>
      <c r="E361" s="1197">
        <v>153.35</v>
      </c>
      <c r="F361" s="1193" t="s">
        <v>398</v>
      </c>
      <c r="G361" s="1193" t="s">
        <v>2583</v>
      </c>
      <c r="H361" s="948"/>
      <c r="I361" s="949"/>
      <c r="J361" s="949"/>
      <c r="K361" s="949"/>
      <c r="L361" s="150">
        <f t="shared" si="25"/>
        <v>6553</v>
      </c>
      <c r="M361" s="151" t="str">
        <f t="shared" si="26"/>
        <v>TELEPHONE ET TELEX</v>
      </c>
      <c r="N361" s="152">
        <f>+IF(OR($Q361=Parametres!$G$2,$Q361=Parametres!$G$3),I361,C361)</f>
        <v>125.63</v>
      </c>
      <c r="O361" s="1084">
        <f>+IF(OR($Q361=Parametres!$G$2,$Q361=Parametres!$G$3),J361,D361)</f>
        <v>27.72</v>
      </c>
      <c r="P361" s="152">
        <f>+IF(OR($Q361=Parametres!$G$2,$Q361=Parametres!$G$3),K361,E361)</f>
        <v>153.35</v>
      </c>
      <c r="Q361" s="151" t="str">
        <f t="shared" si="27"/>
        <v>7-Dépenses</v>
      </c>
      <c r="R361" s="150" t="str">
        <f t="shared" si="28"/>
        <v>6153</v>
      </c>
      <c r="S361" s="151">
        <f t="shared" si="29"/>
        <v>0</v>
      </c>
      <c r="T361" s="153">
        <f>+VLOOKUP($L361,Data_Validation!$A:$D,1,0)</f>
        <v>6553</v>
      </c>
      <c r="U361" s="153" t="str">
        <f>+VLOOKUP($L361,Data_Validation!$A:$D,3,0)</f>
        <v>Carrosserie</v>
      </c>
      <c r="V361" s="153" t="str">
        <f>+VLOOKUP($L361,Data_Validation!$A:$D,4,0)</f>
        <v>Téléphone</v>
      </c>
      <c r="W361" s="153" t="str">
        <f>+VLOOKUP($L361,Data_Validation!$A:$E,5,0)</f>
        <v>$</v>
      </c>
      <c r="X361" s="153">
        <f>+VLOOKUP($L361,Data_Validation!$A:$F,6,0)</f>
        <v>0</v>
      </c>
    </row>
    <row r="362" spans="1:24" ht="15.75" customHeight="1">
      <c r="A362" s="1193" t="s">
        <v>1234</v>
      </c>
      <c r="B362" s="1194">
        <v>6555</v>
      </c>
      <c r="C362" s="1197">
        <v>364.04</v>
      </c>
      <c r="D362" s="1197">
        <v>58.54</v>
      </c>
      <c r="E362" s="1197">
        <v>422.58</v>
      </c>
      <c r="F362" s="1193" t="s">
        <v>398</v>
      </c>
      <c r="G362" s="1193" t="s">
        <v>2628</v>
      </c>
      <c r="H362" s="948"/>
      <c r="I362" s="951"/>
      <c r="J362" s="951"/>
      <c r="K362" s="951"/>
      <c r="L362" s="150">
        <f t="shared" si="25"/>
        <v>6555</v>
      </c>
      <c r="M362" s="151" t="str">
        <f t="shared" si="26"/>
        <v>DEPENSES DIVERS</v>
      </c>
      <c r="N362" s="152">
        <f>+IF(OR($Q362=Parametres!$G$2,$Q362=Parametres!$G$3),I362,C362)</f>
        <v>364.04</v>
      </c>
      <c r="O362" s="1084">
        <f>+IF(OR($Q362=Parametres!$G$2,$Q362=Parametres!$G$3),J362,D362)</f>
        <v>58.54</v>
      </c>
      <c r="P362" s="152">
        <f>+IF(OR($Q362=Parametres!$G$2,$Q362=Parametres!$G$3),K362,E362)</f>
        <v>422.58</v>
      </c>
      <c r="Q362" s="151" t="str">
        <f t="shared" si="27"/>
        <v>7-Dépenses</v>
      </c>
      <c r="R362" s="150" t="str">
        <f t="shared" si="28"/>
        <v>6155</v>
      </c>
      <c r="S362" s="151">
        <f t="shared" si="29"/>
        <v>0</v>
      </c>
      <c r="T362" s="153">
        <f>+VLOOKUP($L362,Data_Validation!$A:$D,1,0)</f>
        <v>6555</v>
      </c>
      <c r="U362" s="153" t="str">
        <f>+VLOOKUP($L362,Data_Validation!$A:$D,3,0)</f>
        <v>Carrosserie</v>
      </c>
      <c r="V362" s="153" t="str">
        <f>+VLOOKUP($L362,Data_Validation!$A:$D,4,0)</f>
        <v>Divers</v>
      </c>
      <c r="W362" s="153" t="str">
        <f>+VLOOKUP($L362,Data_Validation!$A:$E,5,0)</f>
        <v>$</v>
      </c>
      <c r="X362" s="153">
        <f>+VLOOKUP($L362,Data_Validation!$A:$F,6,0)</f>
        <v>0</v>
      </c>
    </row>
    <row r="363" spans="1:24" ht="15.75" customHeight="1">
      <c r="A363" s="1193" t="s">
        <v>1214</v>
      </c>
      <c r="B363" s="1194">
        <v>6556</v>
      </c>
      <c r="C363" s="1197">
        <v>426.51</v>
      </c>
      <c r="D363" s="1197">
        <v>257.69</v>
      </c>
      <c r="E363" s="1197">
        <v>684.2</v>
      </c>
      <c r="F363" s="1193" t="s">
        <v>398</v>
      </c>
      <c r="G363" s="1193" t="s">
        <v>2461</v>
      </c>
      <c r="H363" s="948"/>
      <c r="I363" s="949"/>
      <c r="J363" s="949"/>
      <c r="K363" s="949"/>
      <c r="L363" s="150">
        <f t="shared" si="25"/>
        <v>6556</v>
      </c>
      <c r="M363" s="151" t="str">
        <f t="shared" si="26"/>
        <v>FRAIS REPRESENTATION</v>
      </c>
      <c r="N363" s="152">
        <f>+IF(OR($Q363=Parametres!$G$2,$Q363=Parametres!$G$3),I363,C363)</f>
        <v>426.51</v>
      </c>
      <c r="O363" s="1084">
        <f>+IF(OR($Q363=Parametres!$G$2,$Q363=Parametres!$G$3),J363,D363)</f>
        <v>257.69</v>
      </c>
      <c r="P363" s="152">
        <f>+IF(OR($Q363=Parametres!$G$2,$Q363=Parametres!$G$3),K363,E363)</f>
        <v>684.2</v>
      </c>
      <c r="Q363" s="151" t="str">
        <f t="shared" si="27"/>
        <v>7-Dépenses</v>
      </c>
      <c r="R363" s="150" t="str">
        <f t="shared" si="28"/>
        <v>6156</v>
      </c>
      <c r="S363" s="151">
        <f t="shared" si="29"/>
        <v>0</v>
      </c>
      <c r="T363" s="153">
        <f>+VLOOKUP($L363,Data_Validation!$A:$D,1,0)</f>
        <v>6556</v>
      </c>
      <c r="U363" s="153" t="str">
        <f>+VLOOKUP($L363,Data_Validation!$A:$D,3,0)</f>
        <v>Carrosserie</v>
      </c>
      <c r="V363" s="153" t="str">
        <f>+VLOOKUP($L363,Data_Validation!$A:$D,4,0)</f>
        <v>Frais de déplacement</v>
      </c>
      <c r="W363" s="153" t="str">
        <f>+VLOOKUP($L363,Data_Validation!$A:$E,5,0)</f>
        <v>$</v>
      </c>
      <c r="X363" s="153">
        <f>+VLOOKUP($L363,Data_Validation!$A:$F,6,0)</f>
        <v>0</v>
      </c>
    </row>
    <row r="364" spans="1:24" ht="15" customHeight="1">
      <c r="A364" s="1193" t="s">
        <v>1305</v>
      </c>
      <c r="B364" s="1194">
        <v>6559</v>
      </c>
      <c r="C364" s="1197">
        <v>2466.44</v>
      </c>
      <c r="D364" s="1197">
        <v>359.53</v>
      </c>
      <c r="E364" s="1197">
        <v>2825.97</v>
      </c>
      <c r="F364" s="1193" t="s">
        <v>398</v>
      </c>
      <c r="G364" s="1193" t="s">
        <v>2653</v>
      </c>
      <c r="H364" s="948"/>
      <c r="I364" s="951"/>
      <c r="J364" s="951"/>
      <c r="K364" s="951"/>
      <c r="L364" s="150">
        <f t="shared" si="25"/>
        <v>6559</v>
      </c>
      <c r="M364" s="151" t="str">
        <f t="shared" si="26"/>
        <v>SERVICE EXTERIEUR</v>
      </c>
      <c r="N364" s="152">
        <f>+IF(OR($Q364=Parametres!$G$2,$Q364=Parametres!$G$3),I364,C364)</f>
        <v>2466.44</v>
      </c>
      <c r="O364" s="1084">
        <f>+IF(OR($Q364=Parametres!$G$2,$Q364=Parametres!$G$3),J364,D364)</f>
        <v>359.53</v>
      </c>
      <c r="P364" s="152">
        <f>+IF(OR($Q364=Parametres!$G$2,$Q364=Parametres!$G$3),K364,E364)</f>
        <v>2825.97</v>
      </c>
      <c r="Q364" s="151" t="str">
        <f t="shared" si="27"/>
        <v>7-Dépenses</v>
      </c>
      <c r="R364" s="150" t="str">
        <f t="shared" si="28"/>
        <v>6159</v>
      </c>
      <c r="S364" s="151">
        <f t="shared" si="29"/>
        <v>0</v>
      </c>
      <c r="T364" s="153">
        <f>+VLOOKUP($L364,Data_Validation!$A:$D,1,0)</f>
        <v>6559</v>
      </c>
      <c r="U364" s="153" t="str">
        <f>+VLOOKUP($L364,Data_Validation!$A:$D,3,0)</f>
        <v>Carrosserie</v>
      </c>
      <c r="V364" s="153" t="str">
        <f>+VLOOKUP($L364,Data_Validation!$A:$D,4,0)</f>
        <v>Services extérieurs</v>
      </c>
      <c r="W364" s="153" t="str">
        <f>+VLOOKUP($L364,Data_Validation!$A:$E,5,0)</f>
        <v>$</v>
      </c>
      <c r="X364" s="153">
        <f>+VLOOKUP($L364,Data_Validation!$A:$F,6,0)</f>
        <v>0</v>
      </c>
    </row>
    <row r="365" spans="1:24" ht="15" customHeight="1">
      <c r="A365" s="1193" t="s">
        <v>1330</v>
      </c>
      <c r="B365" s="1194">
        <v>6561</v>
      </c>
      <c r="C365" s="1197">
        <v>1208.08</v>
      </c>
      <c r="D365" s="1197">
        <v>302.02</v>
      </c>
      <c r="E365" s="1197">
        <v>1510.1</v>
      </c>
      <c r="F365" s="1193" t="s">
        <v>398</v>
      </c>
      <c r="G365" s="1193" t="s">
        <v>2644</v>
      </c>
      <c r="H365" s="928"/>
      <c r="I365" s="927"/>
      <c r="J365" s="927"/>
      <c r="K365" s="927"/>
      <c r="L365" s="150">
        <f t="shared" si="25"/>
        <v>6561</v>
      </c>
      <c r="M365" s="151" t="str">
        <f t="shared" si="26"/>
        <v>DEPRECIATION EQUIP. &amp; FIXTURES</v>
      </c>
      <c r="N365" s="152">
        <f>+IF(OR($Q365=Parametres!$G$2,$Q365=Parametres!$G$3),I365,C365)</f>
        <v>1208.08</v>
      </c>
      <c r="O365" s="1082">
        <f>+IF(OR($Q365=Parametres!$G$2,$Q365=Parametres!$G$3),J365,D365)</f>
        <v>302.02</v>
      </c>
      <c r="P365" s="152">
        <f>+IF(OR($Q365=Parametres!$G$2,$Q365=Parametres!$G$3),K365,E365)</f>
        <v>1510.1</v>
      </c>
      <c r="Q365" s="151" t="str">
        <f t="shared" si="27"/>
        <v>7-Dépenses</v>
      </c>
      <c r="R365" s="150" t="str">
        <f t="shared" si="28"/>
        <v>6161</v>
      </c>
      <c r="S365" s="151">
        <f t="shared" si="29"/>
        <v>0</v>
      </c>
      <c r="T365" s="153">
        <f>+VLOOKUP($L365,Data_Validation!$A:$D,1,0)</f>
        <v>6561</v>
      </c>
      <c r="U365" s="153" t="str">
        <f>+VLOOKUP($L365,Data_Validation!$A:$D,3,0)</f>
        <v>Carrosserie</v>
      </c>
      <c r="V365" s="153" t="str">
        <f>+VLOOKUP($L365,Data_Validation!$A:$D,4,0)</f>
        <v>Amortissement</v>
      </c>
      <c r="W365" s="153" t="str">
        <f>+VLOOKUP($L365,Data_Validation!$A:$E,5,0)</f>
        <v>$</v>
      </c>
      <c r="X365" s="153">
        <f>+VLOOKUP($L365,Data_Validation!$A:$F,6,0)</f>
        <v>0</v>
      </c>
    </row>
    <row r="366" spans="1:24" ht="15" customHeight="1">
      <c r="A366" s="1193" t="s">
        <v>1241</v>
      </c>
      <c r="B366" s="1194">
        <v>6581</v>
      </c>
      <c r="C366" s="1197">
        <v>566.82000000000005</v>
      </c>
      <c r="D366" s="1197">
        <v>261.48</v>
      </c>
      <c r="E366" s="1197">
        <v>828.3</v>
      </c>
      <c r="F366" s="1193" t="s">
        <v>398</v>
      </c>
      <c r="G366" s="1193" t="s">
        <v>2595</v>
      </c>
      <c r="H366" s="948"/>
      <c r="I366" s="949"/>
      <c r="J366" s="949"/>
      <c r="K366" s="949"/>
      <c r="L366" s="150">
        <f t="shared" si="25"/>
        <v>6581</v>
      </c>
      <c r="M366" s="151" t="str">
        <f t="shared" si="26"/>
        <v>CHAUFFAGE,ELECTRICITE,EAU-CARROS.</v>
      </c>
      <c r="N366" s="152">
        <f>+IF(OR($Q366=Parametres!$G$2,$Q366=Parametres!$G$3),I366,C366)</f>
        <v>566.82000000000005</v>
      </c>
      <c r="O366" s="1084">
        <f>+IF(OR($Q366=Parametres!$G$2,$Q366=Parametres!$G$3),J366,D366)</f>
        <v>261.48</v>
      </c>
      <c r="P366" s="152">
        <f>+IF(OR($Q366=Parametres!$G$2,$Q366=Parametres!$G$3),K366,E366)</f>
        <v>828.3</v>
      </c>
      <c r="Q366" s="151" t="str">
        <f t="shared" si="27"/>
        <v>7-Dépenses</v>
      </c>
      <c r="R366" s="150" t="str">
        <f t="shared" si="28"/>
        <v>6181</v>
      </c>
      <c r="S366" s="151">
        <f t="shared" si="29"/>
        <v>0</v>
      </c>
      <c r="T366" s="153">
        <f>+VLOOKUP($L366,Data_Validation!$A:$D,1,0)</f>
        <v>6581</v>
      </c>
      <c r="U366" s="153" t="str">
        <f>+VLOOKUP($L366,Data_Validation!$A:$D,3,0)</f>
        <v>Carrosserie</v>
      </c>
      <c r="V366" s="153" t="str">
        <f>+VLOOKUP($L366,Data_Validation!$A:$D,4,0)</f>
        <v>Chauffage, éclairage</v>
      </c>
      <c r="W366" s="153" t="str">
        <f>+VLOOKUP($L366,Data_Validation!$A:$E,5,0)</f>
        <v>$</v>
      </c>
      <c r="X366" s="153">
        <f>+VLOOKUP($L366,Data_Validation!$A:$F,6,0)</f>
        <v>0</v>
      </c>
    </row>
    <row r="367" spans="1:24" ht="15" customHeight="1">
      <c r="A367" s="1193" t="s">
        <v>1395</v>
      </c>
      <c r="B367" s="1194">
        <v>6582</v>
      </c>
      <c r="C367" s="1197">
        <v>7280</v>
      </c>
      <c r="D367" s="1197">
        <v>1820</v>
      </c>
      <c r="E367" s="1197">
        <v>9100</v>
      </c>
      <c r="F367" s="1193" t="s">
        <v>398</v>
      </c>
      <c r="G367" s="1193" t="s">
        <v>2700</v>
      </c>
      <c r="H367" s="948"/>
      <c r="I367" s="951"/>
      <c r="J367" s="951"/>
      <c r="K367" s="951"/>
      <c r="L367" s="150">
        <f t="shared" si="25"/>
        <v>6582</v>
      </c>
      <c r="M367" s="151" t="str">
        <f t="shared" si="26"/>
        <v>LOYER - CARROSSERIE</v>
      </c>
      <c r="N367" s="152">
        <f>+IF(OR($Q367=Parametres!$G$2,$Q367=Parametres!$G$3),I367,C367)</f>
        <v>7280</v>
      </c>
      <c r="O367" s="1084">
        <f>+IF(OR($Q367=Parametres!$G$2,$Q367=Parametres!$G$3),J367,D367)</f>
        <v>1820</v>
      </c>
      <c r="P367" s="152">
        <f>+IF(OR($Q367=Parametres!$G$2,$Q367=Parametres!$G$3),K367,E367)</f>
        <v>9100</v>
      </c>
      <c r="Q367" s="151" t="str">
        <f t="shared" si="27"/>
        <v>7-Dépenses</v>
      </c>
      <c r="R367" s="150" t="str">
        <f t="shared" si="28"/>
        <v>6182</v>
      </c>
      <c r="S367" s="151">
        <f t="shared" si="29"/>
        <v>0</v>
      </c>
      <c r="T367" s="153">
        <f>+VLOOKUP($L367,Data_Validation!$A:$D,1,0)</f>
        <v>6582</v>
      </c>
      <c r="U367" s="153" t="str">
        <f>+VLOOKUP($L367,Data_Validation!$A:$D,3,0)</f>
        <v>Carrosserie</v>
      </c>
      <c r="V367" s="153" t="str">
        <f>+VLOOKUP($L367,Data_Validation!$A:$D,4,0)</f>
        <v>Loyer</v>
      </c>
      <c r="W367" s="153" t="str">
        <f>+VLOOKUP($L367,Data_Validation!$A:$E,5,0)</f>
        <v>$</v>
      </c>
      <c r="X367" s="153">
        <f>+VLOOKUP($L367,Data_Validation!$A:$F,6,0)</f>
        <v>0</v>
      </c>
    </row>
    <row r="368" spans="1:24" ht="15" customHeight="1">
      <c r="A368" s="1193" t="s">
        <v>1252</v>
      </c>
      <c r="B368" s="1194">
        <v>6586</v>
      </c>
      <c r="C368" s="1197">
        <v>1195.8800000000001</v>
      </c>
      <c r="D368" s="1197">
        <v>298.97000000000003</v>
      </c>
      <c r="E368" s="1197">
        <v>1494.85</v>
      </c>
      <c r="F368" s="1193" t="s">
        <v>398</v>
      </c>
      <c r="G368" s="1193" t="s">
        <v>2585</v>
      </c>
      <c r="H368" s="948"/>
      <c r="I368" s="949"/>
      <c r="J368" s="949"/>
      <c r="K368" s="949"/>
      <c r="L368" s="150">
        <f t="shared" si="25"/>
        <v>6586</v>
      </c>
      <c r="M368" s="151" t="str">
        <f t="shared" si="26"/>
        <v>ASSURANCE BATISSE &amp; AMEL.-CARROS.</v>
      </c>
      <c r="N368" s="152">
        <f>+IF(OR($Q368=Parametres!$G$2,$Q368=Parametres!$G$3),I368,C368)</f>
        <v>1195.8800000000001</v>
      </c>
      <c r="O368" s="1084">
        <f>+IF(OR($Q368=Parametres!$G$2,$Q368=Parametres!$G$3),J368,D368)</f>
        <v>298.97000000000003</v>
      </c>
      <c r="P368" s="152">
        <f>+IF(OR($Q368=Parametres!$G$2,$Q368=Parametres!$G$3),K368,E368)</f>
        <v>1494.85</v>
      </c>
      <c r="Q368" s="151" t="str">
        <f t="shared" si="27"/>
        <v>7-Dépenses</v>
      </c>
      <c r="R368" s="150" t="str">
        <f t="shared" si="28"/>
        <v>6186</v>
      </c>
      <c r="S368" s="151">
        <f t="shared" si="29"/>
        <v>0</v>
      </c>
      <c r="T368" s="153">
        <f>+VLOOKUP($L368,Data_Validation!$A:$D,1,0)</f>
        <v>6586</v>
      </c>
      <c r="U368" s="153" t="str">
        <f>+VLOOKUP($L368,Data_Validation!$A:$D,3,0)</f>
        <v>Carrosserie</v>
      </c>
      <c r="V368" s="153" t="str">
        <f>+VLOOKUP($L368,Data_Validation!$A:$D,4,0)</f>
        <v>Assurances</v>
      </c>
      <c r="W368" s="153" t="str">
        <f>+VLOOKUP($L368,Data_Validation!$A:$E,5,0)</f>
        <v>$</v>
      </c>
      <c r="X368" s="153">
        <f>+VLOOKUP($L368,Data_Validation!$A:$F,6,0)</f>
        <v>0</v>
      </c>
    </row>
    <row r="369" spans="1:24" ht="15.75" customHeight="1">
      <c r="A369" s="1193" t="s">
        <v>1261</v>
      </c>
      <c r="B369" s="1194">
        <v>6587</v>
      </c>
      <c r="C369" s="1197">
        <v>1380.4</v>
      </c>
      <c r="D369" s="1197">
        <v>345.1</v>
      </c>
      <c r="E369" s="1197">
        <v>1725.5</v>
      </c>
      <c r="F369" s="1193" t="s">
        <v>398</v>
      </c>
      <c r="G369" s="1193" t="s">
        <v>2605</v>
      </c>
      <c r="H369" s="948"/>
      <c r="I369" s="951"/>
      <c r="J369" s="951"/>
      <c r="K369" s="951"/>
      <c r="L369" s="150">
        <f t="shared" si="25"/>
        <v>6587</v>
      </c>
      <c r="M369" s="151" t="str">
        <f t="shared" si="26"/>
        <v>TAXES FONCIERES - CAROSSERIE</v>
      </c>
      <c r="N369" s="152">
        <f>+IF(OR($Q369=Parametres!$G$2,$Q369=Parametres!$G$3),I369,C369)</f>
        <v>1380.4</v>
      </c>
      <c r="O369" s="1084">
        <f>+IF(OR($Q369=Parametres!$G$2,$Q369=Parametres!$G$3),J369,D369)</f>
        <v>345.1</v>
      </c>
      <c r="P369" s="152">
        <f>+IF(OR($Q369=Parametres!$G$2,$Q369=Parametres!$G$3),K369,E369)</f>
        <v>1725.5</v>
      </c>
      <c r="Q369" s="151" t="str">
        <f t="shared" si="27"/>
        <v>7-Dépenses</v>
      </c>
      <c r="R369" s="150" t="str">
        <f t="shared" si="28"/>
        <v>6187</v>
      </c>
      <c r="S369" s="151">
        <f t="shared" si="29"/>
        <v>0</v>
      </c>
      <c r="T369" s="153">
        <f>+VLOOKUP($L369,Data_Validation!$A:$D,1,0)</f>
        <v>6587</v>
      </c>
      <c r="U369" s="153" t="str">
        <f>+VLOOKUP($L369,Data_Validation!$A:$D,3,0)</f>
        <v>Carrosserie</v>
      </c>
      <c r="V369" s="153" t="str">
        <f>+VLOOKUP($L369,Data_Validation!$A:$D,4,0)</f>
        <v>Taxes foncières</v>
      </c>
      <c r="W369" s="153" t="str">
        <f>+VLOOKUP($L369,Data_Validation!$A:$E,5,0)</f>
        <v>$</v>
      </c>
      <c r="X369" s="153">
        <f>+VLOOKUP($L369,Data_Validation!$A:$F,6,0)</f>
        <v>0</v>
      </c>
    </row>
    <row r="370" spans="1:24" ht="15" customHeight="1">
      <c r="A370" s="1193" t="s">
        <v>1222</v>
      </c>
      <c r="B370" s="1194">
        <v>6593</v>
      </c>
      <c r="C370" s="1197">
        <v>918.4</v>
      </c>
      <c r="D370" s="1197">
        <v>229.6</v>
      </c>
      <c r="E370" s="1197">
        <v>1148</v>
      </c>
      <c r="F370" s="1193" t="s">
        <v>398</v>
      </c>
      <c r="G370" s="1193" t="s">
        <v>2588</v>
      </c>
      <c r="H370" s="928"/>
      <c r="I370" s="927"/>
      <c r="J370" s="927"/>
      <c r="K370" s="927"/>
      <c r="L370" s="150">
        <f t="shared" si="25"/>
        <v>6593</v>
      </c>
      <c r="M370" s="573" t="str">
        <f t="shared" si="26"/>
        <v>AUTRES TAXES -CARROSSERIE</v>
      </c>
      <c r="N370" s="152">
        <f>+IF(OR($Q370=Parametres!$G$2,$Q370=Parametres!$G$3),I370,C370)</f>
        <v>918.4</v>
      </c>
      <c r="O370" s="1082">
        <f>+IF(OR($Q370=Parametres!$G$2,$Q370=Parametres!$G$3),J370,D370)</f>
        <v>229.6</v>
      </c>
      <c r="P370" s="575">
        <f>+IF(OR($Q370=Parametres!$G$2,$Q370=Parametres!$G$3),K370,E370)</f>
        <v>1148</v>
      </c>
      <c r="Q370" s="151" t="str">
        <f t="shared" si="27"/>
        <v>7-Dépenses</v>
      </c>
      <c r="R370" s="150" t="str">
        <f t="shared" si="28"/>
        <v>6193</v>
      </c>
      <c r="S370" s="151">
        <f t="shared" si="29"/>
        <v>0</v>
      </c>
      <c r="T370" s="153">
        <f>+VLOOKUP($L370,Data_Validation!$A:$D,1,0)</f>
        <v>6593</v>
      </c>
      <c r="U370" s="153" t="str">
        <f>+VLOOKUP($L370,Data_Validation!$A:$D,3,0)</f>
        <v>Carrosserie</v>
      </c>
      <c r="V370" s="153" t="str">
        <f>+VLOOKUP($L370,Data_Validation!$A:$D,4,0)</f>
        <v>Taxes d`affaires</v>
      </c>
      <c r="W370" s="153" t="str">
        <f>+VLOOKUP($L370,Data_Validation!$A:$E,5,0)</f>
        <v>$</v>
      </c>
      <c r="X370" s="153">
        <f>+VLOOKUP($L370,Data_Validation!$A:$F,6,0)</f>
        <v>0</v>
      </c>
    </row>
    <row r="371" spans="1:24" ht="15" customHeight="1">
      <c r="A371" s="1193" t="s">
        <v>1268</v>
      </c>
      <c r="B371" s="1194">
        <v>6594</v>
      </c>
      <c r="C371" s="1197">
        <v>1714.52</v>
      </c>
      <c r="D371" s="1197">
        <v>428.63</v>
      </c>
      <c r="E371" s="1197">
        <v>2143.15</v>
      </c>
      <c r="F371" s="1193" t="s">
        <v>398</v>
      </c>
      <c r="G371" s="1193" t="s">
        <v>2626</v>
      </c>
      <c r="H371" s="1201"/>
      <c r="I371" s="1206"/>
      <c r="J371" s="1201"/>
      <c r="K371" s="1206"/>
      <c r="L371" s="150">
        <f t="shared" si="25"/>
        <v>6594</v>
      </c>
      <c r="M371" s="151" t="str">
        <f t="shared" si="26"/>
        <v>FRAIS PROFESSIONNEL-CARROS.</v>
      </c>
      <c r="N371" s="152">
        <f>+IF(OR($Q371=Parametres!$G$2,$Q371=Parametres!$G$3),I371,C371)</f>
        <v>1714.52</v>
      </c>
      <c r="O371" s="1084">
        <f>+IF(OR($Q371=Parametres!$G$2,$Q371=Parametres!$G$3),J371,D371)</f>
        <v>428.63</v>
      </c>
      <c r="P371" s="152">
        <f>+IF(OR($Q371=Parametres!$G$2,$Q371=Parametres!$G$3),K371,E371)</f>
        <v>2143.15</v>
      </c>
      <c r="Q371" s="151" t="str">
        <f t="shared" si="27"/>
        <v>7-Dépenses</v>
      </c>
      <c r="R371" s="150" t="str">
        <f t="shared" si="28"/>
        <v>6194</v>
      </c>
      <c r="S371" s="151">
        <f t="shared" si="29"/>
        <v>0</v>
      </c>
      <c r="T371" s="153">
        <f>+VLOOKUP($L371,Data_Validation!$A:$D,1,0)</f>
        <v>6594</v>
      </c>
      <c r="U371" s="153" t="str">
        <f>+VLOOKUP($L371,Data_Validation!$A:$D,3,0)</f>
        <v>Carrosserie</v>
      </c>
      <c r="V371" s="153" t="str">
        <f>+VLOOKUP($L371,Data_Validation!$A:$D,4,0)</f>
        <v>Honoraires</v>
      </c>
      <c r="W371" s="153" t="str">
        <f>+VLOOKUP($L371,Data_Validation!$A:$E,5,0)</f>
        <v>$</v>
      </c>
      <c r="X371" s="153">
        <f>+VLOOKUP($L371,Data_Validation!$A:$F,6,0)</f>
        <v>0</v>
      </c>
    </row>
    <row r="372" spans="1:24" ht="15" customHeight="1">
      <c r="A372" s="1193" t="s">
        <v>396</v>
      </c>
      <c r="B372" s="1194">
        <v>6703</v>
      </c>
      <c r="C372" s="1197">
        <v>3176.92</v>
      </c>
      <c r="D372" s="1197">
        <v>1959.56</v>
      </c>
      <c r="E372" s="1197">
        <v>5136.4799999999996</v>
      </c>
      <c r="F372" s="1193" t="s">
        <v>398</v>
      </c>
      <c r="G372" s="1193" t="s">
        <v>2458</v>
      </c>
      <c r="H372" s="1201"/>
      <c r="I372" s="1202"/>
      <c r="J372" s="1202"/>
      <c r="K372" s="1202"/>
      <c r="L372" s="150">
        <f t="shared" si="25"/>
        <v>6703</v>
      </c>
      <c r="M372" s="151" t="str">
        <f t="shared" si="26"/>
        <v>RELAT. A LA CLIENTELE &amp; AJUST.</v>
      </c>
      <c r="N372" s="152">
        <f>+IF(OR($Q372=Parametres!$G$2,$Q372=Parametres!$G$3),I372,C372)</f>
        <v>3176.92</v>
      </c>
      <c r="O372" s="1084">
        <f>+IF(OR($Q372=Parametres!$G$2,$Q372=Parametres!$G$3),J372,D372)</f>
        <v>1959.56</v>
      </c>
      <c r="P372" s="152">
        <f>+IF(OR($Q372=Parametres!$G$2,$Q372=Parametres!$G$3),K372,E372)</f>
        <v>5136.4799999999996</v>
      </c>
      <c r="Q372" s="151" t="str">
        <f t="shared" si="27"/>
        <v>7-Dépenses</v>
      </c>
      <c r="R372" s="150" t="str">
        <f t="shared" si="28"/>
        <v>6112</v>
      </c>
      <c r="S372" s="151">
        <f t="shared" si="29"/>
        <v>0</v>
      </c>
      <c r="T372" s="153">
        <f>+VLOOKUP($L372,Data_Validation!$A:$D,1,0)</f>
        <v>6703</v>
      </c>
      <c r="U372" s="153" t="str">
        <f>+VLOOKUP($L372,Data_Validation!$A:$D,3,0)</f>
        <v>Pièces</v>
      </c>
      <c r="V372" s="153" t="str">
        <f>+VLOOKUP($L372,Data_Validation!$A:$D,4,0)</f>
        <v>Service gratuit 2</v>
      </c>
      <c r="W372" s="153" t="str">
        <f>+VLOOKUP($L372,Data_Validation!$A:$E,5,0)</f>
        <v>$</v>
      </c>
      <c r="X372" s="153">
        <f>+VLOOKUP($L372,Data_Validation!$A:$F,6,0)</f>
        <v>0</v>
      </c>
    </row>
    <row r="373" spans="1:24" ht="15" customHeight="1">
      <c r="A373" s="1193" t="s">
        <v>1371</v>
      </c>
      <c r="B373" s="1194">
        <v>6714</v>
      </c>
      <c r="C373" s="1197">
        <v>12249.76</v>
      </c>
      <c r="D373" s="1197">
        <v>9046.56</v>
      </c>
      <c r="E373" s="1197">
        <v>21296.32</v>
      </c>
      <c r="F373" s="1193" t="s">
        <v>398</v>
      </c>
      <c r="G373" s="1193" t="s">
        <v>2106</v>
      </c>
      <c r="H373" s="1201"/>
      <c r="I373" s="1201"/>
      <c r="J373" s="1201"/>
      <c r="K373" s="1206"/>
      <c r="L373" s="150">
        <f t="shared" si="25"/>
        <v>6714</v>
      </c>
      <c r="M373" s="151" t="str">
        <f t="shared" si="26"/>
        <v>PUBLICITE</v>
      </c>
      <c r="N373" s="152">
        <f>+IF(OR($Q373=Parametres!$G$2,$Q373=Parametres!$G$3),I373,C373)</f>
        <v>12249.76</v>
      </c>
      <c r="O373" s="1082">
        <f>+IF(OR($Q373=Parametres!$G$2,$Q373=Parametres!$G$3),J373,D373)</f>
        <v>9046.56</v>
      </c>
      <c r="P373" s="152">
        <f>+IF(OR($Q373=Parametres!$G$2,$Q373=Parametres!$G$3),K373,E373)</f>
        <v>21296.32</v>
      </c>
      <c r="Q373" s="151" t="str">
        <f t="shared" si="27"/>
        <v>7-Dépenses</v>
      </c>
      <c r="R373" s="150" t="str">
        <f t="shared" si="28"/>
        <v>6114</v>
      </c>
      <c r="S373" s="151">
        <f t="shared" si="29"/>
        <v>0</v>
      </c>
      <c r="T373" s="153">
        <f>+VLOOKUP($L373,Data_Validation!$A:$D,1,0)</f>
        <v>6714</v>
      </c>
      <c r="U373" s="153" t="str">
        <f>+VLOOKUP($L373,Data_Validation!$A:$D,3,0)</f>
        <v>Pièces</v>
      </c>
      <c r="V373" s="153" t="str">
        <f>+VLOOKUP($L373,Data_Validation!$A:$D,4,0)</f>
        <v>Publicité 2</v>
      </c>
      <c r="W373" s="153" t="str">
        <f>+VLOOKUP($L373,Data_Validation!$A:$E,5,0)</f>
        <v>$</v>
      </c>
      <c r="X373" s="153">
        <f>+VLOOKUP($L373,Data_Validation!$A:$F,6,0)</f>
        <v>0</v>
      </c>
    </row>
    <row r="374" spans="1:24" ht="15.75" customHeight="1">
      <c r="A374" s="1193" t="s">
        <v>1354</v>
      </c>
      <c r="B374" s="1194">
        <v>6721</v>
      </c>
      <c r="C374" s="1197">
        <v>12616.96</v>
      </c>
      <c r="D374" s="1197">
        <v>3409.15</v>
      </c>
      <c r="E374" s="1197">
        <v>16026.11</v>
      </c>
      <c r="F374" s="1193" t="s">
        <v>398</v>
      </c>
      <c r="G374" s="1193" t="s">
        <v>2639</v>
      </c>
      <c r="H374" s="1201"/>
      <c r="I374" s="1202"/>
      <c r="J374" s="1202"/>
      <c r="K374" s="1202"/>
      <c r="L374" s="150">
        <f t="shared" si="25"/>
        <v>6721</v>
      </c>
      <c r="M374" s="151" t="str">
        <f t="shared" si="26"/>
        <v>SALAIRES - PROPRIEATIRES</v>
      </c>
      <c r="N374" s="152">
        <f>+IF(OR($Q374=Parametres!$G$2,$Q374=Parametres!$G$3),I374,C374)</f>
        <v>12616.96</v>
      </c>
      <c r="O374" s="1084">
        <f>+IF(OR($Q374=Parametres!$G$2,$Q374=Parametres!$G$3),J374,D374)</f>
        <v>3409.15</v>
      </c>
      <c r="P374" s="152">
        <f>+IF(OR($Q374=Parametres!$G$2,$Q374=Parametres!$G$3),K374,E374)</f>
        <v>16026.11</v>
      </c>
      <c r="Q374" s="151" t="str">
        <f t="shared" si="27"/>
        <v>7-Dépenses</v>
      </c>
      <c r="R374" s="150" t="str">
        <f t="shared" si="28"/>
        <v>6121</v>
      </c>
      <c r="S374" s="151">
        <f t="shared" si="29"/>
        <v>0</v>
      </c>
      <c r="T374" s="153">
        <f>+VLOOKUP($L374,Data_Validation!$A:$D,1,0)</f>
        <v>6721</v>
      </c>
      <c r="U374" s="153" t="str">
        <f>+VLOOKUP($L374,Data_Validation!$A:$D,3,0)</f>
        <v>Pièces</v>
      </c>
      <c r="V374" s="153" t="str">
        <f>+VLOOKUP($L374,Data_Validation!$A:$D,4,0)</f>
        <v>Salaires propriétaire</v>
      </c>
      <c r="W374" s="153" t="str">
        <f>+VLOOKUP($L374,Data_Validation!$A:$E,5,0)</f>
        <v>$</v>
      </c>
      <c r="X374" s="153">
        <f>+VLOOKUP($L374,Data_Validation!$A:$F,6,0)</f>
        <v>0</v>
      </c>
    </row>
    <row r="375" spans="1:24" ht="15" customHeight="1">
      <c r="A375" s="1193" t="s">
        <v>2615</v>
      </c>
      <c r="B375" s="1194">
        <v>6722</v>
      </c>
      <c r="C375" s="1197">
        <v>18751</v>
      </c>
      <c r="D375" s="1197">
        <v>4104</v>
      </c>
      <c r="E375" s="1197">
        <v>22855</v>
      </c>
      <c r="F375" s="1193" t="s">
        <v>398</v>
      </c>
      <c r="G375" s="1193" t="s">
        <v>2617</v>
      </c>
      <c r="H375" s="1201"/>
      <c r="I375" s="1206"/>
      <c r="J375" s="1201"/>
      <c r="K375" s="1206"/>
      <c r="L375" s="150">
        <f t="shared" si="25"/>
        <v>6722</v>
      </c>
      <c r="M375" s="151" t="str">
        <f t="shared" si="26"/>
        <v>SAL SUPERVISION / GERANT</v>
      </c>
      <c r="N375" s="152">
        <f>+IF(OR($Q375=Parametres!$G$2,$Q375=Parametres!$G$3),I375,C375)</f>
        <v>18751</v>
      </c>
      <c r="O375" s="1084">
        <f>+IF(OR($Q375=Parametres!$G$2,$Q375=Parametres!$G$3),J375,D375)</f>
        <v>4104</v>
      </c>
      <c r="P375" s="152">
        <f>+IF(OR($Q375=Parametres!$G$2,$Q375=Parametres!$G$3),K375,E375)</f>
        <v>22855</v>
      </c>
      <c r="Q375" s="151" t="str">
        <f t="shared" si="27"/>
        <v>7-Dépenses</v>
      </c>
      <c r="R375" s="150" t="str">
        <f t="shared" si="28"/>
        <v>6122</v>
      </c>
      <c r="S375" s="151">
        <f t="shared" si="29"/>
        <v>0</v>
      </c>
      <c r="T375" s="153">
        <f>+VLOOKUP($L375,Data_Validation!$A:$D,1,0)</f>
        <v>6722</v>
      </c>
      <c r="U375" s="153" t="str">
        <f>+VLOOKUP($L375,Data_Validation!$A:$D,3,0)</f>
        <v>Pièces</v>
      </c>
      <c r="V375" s="153" t="str">
        <f>+VLOOKUP($L375,Data_Validation!$A:$D,4,0)</f>
        <v>Salaires cadres</v>
      </c>
      <c r="W375" s="153" t="str">
        <f>+VLOOKUP($L375,Data_Validation!$A:$E,5,0)</f>
        <v>$</v>
      </c>
      <c r="X375" s="153">
        <f>+VLOOKUP($L375,Data_Validation!$A:$F,6,0)</f>
        <v>0</v>
      </c>
    </row>
    <row r="376" spans="1:24" ht="15" customHeight="1">
      <c r="A376" s="1193" t="s">
        <v>1339</v>
      </c>
      <c r="B376" s="1194">
        <v>6723</v>
      </c>
      <c r="C376" s="1197">
        <v>14587.33</v>
      </c>
      <c r="D376" s="1197">
        <v>3441.17</v>
      </c>
      <c r="E376" s="1197">
        <v>18028.5</v>
      </c>
      <c r="F376" s="1193" t="s">
        <v>398</v>
      </c>
      <c r="G376" s="1193" t="s">
        <v>2670</v>
      </c>
      <c r="H376" s="1201"/>
      <c r="I376" s="1202"/>
      <c r="J376" s="1202"/>
      <c r="K376" s="1202"/>
      <c r="L376" s="150">
        <f t="shared" si="25"/>
        <v>6723</v>
      </c>
      <c r="M376" s="151" t="str">
        <f t="shared" si="26"/>
        <v>SAL. &amp; RENUM. - CLERICAL</v>
      </c>
      <c r="N376" s="152">
        <f>+IF(OR($Q376=Parametres!$G$2,$Q376=Parametres!$G$3),I376,C376)</f>
        <v>14587.33</v>
      </c>
      <c r="O376" s="1084">
        <f>+IF(OR($Q376=Parametres!$G$2,$Q376=Parametres!$G$3),J376,D376)</f>
        <v>3441.17</v>
      </c>
      <c r="P376" s="152">
        <f>+IF(OR($Q376=Parametres!$G$2,$Q376=Parametres!$G$3),K376,E376)</f>
        <v>18028.5</v>
      </c>
      <c r="Q376" s="151" t="str">
        <f t="shared" si="27"/>
        <v>7-Dépenses</v>
      </c>
      <c r="R376" s="150" t="str">
        <f t="shared" si="28"/>
        <v>6123</v>
      </c>
      <c r="S376" s="151">
        <f t="shared" si="29"/>
        <v>0</v>
      </c>
      <c r="T376" s="153">
        <f>+VLOOKUP($L376,Data_Validation!$A:$D,1,0)</f>
        <v>6723</v>
      </c>
      <c r="U376" s="153" t="str">
        <f>+VLOOKUP($L376,Data_Validation!$A:$D,3,0)</f>
        <v>Pièces</v>
      </c>
      <c r="V376" s="153" t="str">
        <f>+VLOOKUP($L376,Data_Validation!$A:$D,4,0)</f>
        <v>Salaires commis</v>
      </c>
      <c r="W376" s="153" t="str">
        <f>+VLOOKUP($L376,Data_Validation!$A:$E,5,0)</f>
        <v>$</v>
      </c>
      <c r="X376" s="153">
        <f>+VLOOKUP($L376,Data_Validation!$A:$F,6,0)</f>
        <v>0</v>
      </c>
    </row>
    <row r="377" spans="1:24" ht="15" customHeight="1">
      <c r="A377" s="1193" t="s">
        <v>1246</v>
      </c>
      <c r="B377" s="1194">
        <v>6724</v>
      </c>
      <c r="C377" s="1197">
        <v>72855.7</v>
      </c>
      <c r="D377" s="1197">
        <v>24682.35</v>
      </c>
      <c r="E377" s="1197">
        <v>97538.05</v>
      </c>
      <c r="F377" s="1193" t="s">
        <v>398</v>
      </c>
      <c r="G377" s="1193" t="s">
        <v>2726</v>
      </c>
      <c r="H377" s="928"/>
      <c r="I377" s="927"/>
      <c r="J377" s="927"/>
      <c r="K377" s="927"/>
      <c r="L377" s="150">
        <f t="shared" si="25"/>
        <v>6724</v>
      </c>
      <c r="M377" s="151" t="str">
        <f t="shared" si="26"/>
        <v>SALAIRES &amp; RENUM. - AUTRES</v>
      </c>
      <c r="N377" s="152">
        <f>+IF(OR($Q377=Parametres!$G$2,$Q377=Parametres!$G$3),I377,C377)</f>
        <v>72855.7</v>
      </c>
      <c r="O377" s="1084">
        <f>+IF(OR($Q377=Parametres!$G$2,$Q377=Parametres!$G$3),J377,D377)</f>
        <v>24682.35</v>
      </c>
      <c r="P377" s="152">
        <f>+IF(OR($Q377=Parametres!$G$2,$Q377=Parametres!$G$3),K377,E377)</f>
        <v>97538.05</v>
      </c>
      <c r="Q377" s="151" t="str">
        <f t="shared" si="27"/>
        <v>7-Dépenses</v>
      </c>
      <c r="R377" s="150" t="str">
        <f t="shared" si="28"/>
        <v>6124</v>
      </c>
      <c r="S377" s="151">
        <f t="shared" si="29"/>
        <v>0</v>
      </c>
      <c r="T377" s="153">
        <f>+VLOOKUP($L377,Data_Validation!$A:$D,1,0)</f>
        <v>6724</v>
      </c>
      <c r="U377" s="153" t="str">
        <f>+VLOOKUP($L377,Data_Validation!$A:$D,3,0)</f>
        <v>Pièces</v>
      </c>
      <c r="V377" s="153" t="str">
        <f>+VLOOKUP($L377,Data_Validation!$A:$D,4,0)</f>
        <v>Salaires autres</v>
      </c>
      <c r="W377" s="153" t="str">
        <f>+VLOOKUP($L377,Data_Validation!$A:$E,5,0)</f>
        <v>$</v>
      </c>
      <c r="X377" s="153">
        <f>+VLOOKUP($L377,Data_Validation!$A:$F,6,0)</f>
        <v>0</v>
      </c>
    </row>
    <row r="378" spans="1:24" ht="15" customHeight="1">
      <c r="A378" s="1193" t="s">
        <v>1325</v>
      </c>
      <c r="B378" s="1194">
        <v>6729</v>
      </c>
      <c r="C378" s="1197">
        <v>10682.62</v>
      </c>
      <c r="D378" s="1197">
        <v>4092.44</v>
      </c>
      <c r="E378" s="1197">
        <v>14775.06</v>
      </c>
      <c r="F378" s="1193" t="s">
        <v>398</v>
      </c>
      <c r="G378" s="1193" t="s">
        <v>2632</v>
      </c>
      <c r="H378" s="928"/>
      <c r="I378" s="927"/>
      <c r="J378" s="927"/>
      <c r="K378" s="927"/>
      <c r="L378" s="150">
        <f t="shared" si="25"/>
        <v>6729</v>
      </c>
      <c r="M378" s="151" t="str">
        <f t="shared" si="26"/>
        <v>ABSENCES, VACANCES, ETC</v>
      </c>
      <c r="N378" s="152">
        <f>+IF(OR($Q378=Parametres!$G$2,$Q378=Parametres!$G$3),I378,C378)</f>
        <v>10682.62</v>
      </c>
      <c r="O378" s="1084">
        <f>+IF(OR($Q378=Parametres!$G$2,$Q378=Parametres!$G$3),J378,D378)</f>
        <v>4092.44</v>
      </c>
      <c r="P378" s="152">
        <f>+IF(OR($Q378=Parametres!$G$2,$Q378=Parametres!$G$3),K378,E378)</f>
        <v>14775.06</v>
      </c>
      <c r="Q378" s="151" t="str">
        <f t="shared" si="27"/>
        <v>7-Dépenses</v>
      </c>
      <c r="R378" s="150" t="str">
        <f t="shared" si="28"/>
        <v>6129</v>
      </c>
      <c r="S378" s="151">
        <f t="shared" si="29"/>
        <v>0</v>
      </c>
      <c r="T378" s="153">
        <f>+VLOOKUP($L378,Data_Validation!$A:$D,1,0)</f>
        <v>6729</v>
      </c>
      <c r="U378" s="153" t="str">
        <f>+VLOOKUP($L378,Data_Validation!$A:$D,3,0)</f>
        <v>Pièces</v>
      </c>
      <c r="V378" s="153" t="str">
        <f>+VLOOKUP($L378,Data_Validation!$A:$D,4,0)</f>
        <v>Salaires en absences</v>
      </c>
      <c r="W378" s="153" t="str">
        <f>+VLOOKUP($L378,Data_Validation!$A:$E,5,0)</f>
        <v>$</v>
      </c>
      <c r="X378" s="153">
        <f>+VLOOKUP($L378,Data_Validation!$A:$F,6,0)</f>
        <v>0</v>
      </c>
    </row>
    <row r="379" spans="1:24" ht="15.75" customHeight="1">
      <c r="A379" s="1193" t="s">
        <v>1249</v>
      </c>
      <c r="B379" s="1194">
        <v>6731</v>
      </c>
      <c r="C379" s="1197">
        <v>-8747.52</v>
      </c>
      <c r="D379" s="1197">
        <v>722.86</v>
      </c>
      <c r="E379" s="1197">
        <v>-8024.66</v>
      </c>
      <c r="F379" s="1193" t="s">
        <v>398</v>
      </c>
      <c r="G379" s="1193" t="s">
        <v>2577</v>
      </c>
      <c r="H379" s="948"/>
      <c r="I379" s="949"/>
      <c r="J379" s="949"/>
      <c r="K379" s="949"/>
      <c r="L379" s="150">
        <f t="shared" si="25"/>
        <v>6731</v>
      </c>
      <c r="M379" s="151" t="str">
        <f t="shared" si="26"/>
        <v>CSST</v>
      </c>
      <c r="N379" s="152">
        <f>+IF(OR($Q379=Parametres!$G$2,$Q379=Parametres!$G$3),I379,C379)</f>
        <v>-8747.52</v>
      </c>
      <c r="O379" s="1084">
        <f>+IF(OR($Q379=Parametres!$G$2,$Q379=Parametres!$G$3),J379,D379)</f>
        <v>722.86</v>
      </c>
      <c r="P379" s="152">
        <f>+IF(OR($Q379=Parametres!$G$2,$Q379=Parametres!$G$3),K379,E379)</f>
        <v>-8024.66</v>
      </c>
      <c r="Q379" s="151" t="str">
        <f t="shared" si="27"/>
        <v>7-Dépenses</v>
      </c>
      <c r="R379" s="150" t="str">
        <f t="shared" si="28"/>
        <v>6131</v>
      </c>
      <c r="S379" s="151">
        <f t="shared" si="29"/>
        <v>0</v>
      </c>
      <c r="T379" s="153">
        <f>+VLOOKUP($L379,Data_Validation!$A:$D,1,0)</f>
        <v>6731</v>
      </c>
      <c r="U379" s="153" t="str">
        <f>+VLOOKUP($L379,Data_Validation!$A:$D,3,0)</f>
        <v>Pièces</v>
      </c>
      <c r="V379" s="153" t="str">
        <f>+VLOOKUP($L379,Data_Validation!$A:$D,4,0)</f>
        <v>Csst</v>
      </c>
      <c r="W379" s="153" t="str">
        <f>+VLOOKUP($L379,Data_Validation!$A:$E,5,0)</f>
        <v>$</v>
      </c>
      <c r="X379" s="153">
        <f>+VLOOKUP($L379,Data_Validation!$A:$F,6,0)</f>
        <v>0</v>
      </c>
    </row>
    <row r="380" spans="1:24" ht="15" customHeight="1">
      <c r="A380" s="1193" t="s">
        <v>1280</v>
      </c>
      <c r="B380" s="1194">
        <v>6732</v>
      </c>
      <c r="C380" s="1197">
        <v>31396.27</v>
      </c>
      <c r="D380" s="1197">
        <v>6118.77</v>
      </c>
      <c r="E380" s="1197">
        <v>37515.040000000001</v>
      </c>
      <c r="F380" s="1193" t="s">
        <v>398</v>
      </c>
      <c r="G380" s="1193" t="s">
        <v>2676</v>
      </c>
      <c r="H380" s="948"/>
      <c r="I380" s="949"/>
      <c r="J380" s="949"/>
      <c r="K380" s="949"/>
      <c r="L380" s="150">
        <f t="shared" si="25"/>
        <v>6732</v>
      </c>
      <c r="M380" s="151" t="str">
        <f t="shared" si="26"/>
        <v>RRQ RAMQ AC</v>
      </c>
      <c r="N380" s="152">
        <f>+IF(OR($Q380=Parametres!$G$2,$Q380=Parametres!$G$3),I380,C380)</f>
        <v>31396.27</v>
      </c>
      <c r="O380" s="1084">
        <f>+IF(OR($Q380=Parametres!$G$2,$Q380=Parametres!$G$3),J380,D380)</f>
        <v>6118.77</v>
      </c>
      <c r="P380" s="152">
        <f>+IF(OR($Q380=Parametres!$G$2,$Q380=Parametres!$G$3),K380,E380)</f>
        <v>37515.040000000001</v>
      </c>
      <c r="Q380" s="151" t="str">
        <f t="shared" si="27"/>
        <v>7-Dépenses</v>
      </c>
      <c r="R380" s="150" t="str">
        <f t="shared" si="28"/>
        <v>6132</v>
      </c>
      <c r="S380" s="151">
        <f t="shared" si="29"/>
        <v>0</v>
      </c>
      <c r="T380" s="153">
        <f>+VLOOKUP($L380,Data_Validation!$A:$D,1,0)</f>
        <v>6732</v>
      </c>
      <c r="U380" s="153" t="str">
        <f>+VLOOKUP($L380,Data_Validation!$A:$D,3,0)</f>
        <v>Pièces</v>
      </c>
      <c r="V380" s="153" t="str">
        <f>+VLOOKUP($L380,Data_Validation!$A:$D,4,0)</f>
        <v>Csst</v>
      </c>
      <c r="W380" s="153" t="str">
        <f>+VLOOKUP($L380,Data_Validation!$A:$E,5,0)</f>
        <v>$</v>
      </c>
      <c r="X380" s="153">
        <f>+VLOOKUP($L380,Data_Validation!$A:$F,6,0)</f>
        <v>0</v>
      </c>
    </row>
    <row r="381" spans="1:24" ht="15" customHeight="1">
      <c r="A381" s="1193" t="s">
        <v>1161</v>
      </c>
      <c r="B381" s="1194">
        <v>6733</v>
      </c>
      <c r="C381" s="1197">
        <v>177.33</v>
      </c>
      <c r="D381" s="1197">
        <v>55.8</v>
      </c>
      <c r="E381" s="1197">
        <v>233.13</v>
      </c>
      <c r="F381" s="1193" t="s">
        <v>398</v>
      </c>
      <c r="G381" s="1193" t="s">
        <v>2570</v>
      </c>
      <c r="H381" s="948"/>
      <c r="I381" s="950"/>
      <c r="J381" s="950"/>
      <c r="K381" s="950"/>
      <c r="L381" s="150">
        <f t="shared" si="25"/>
        <v>6733</v>
      </c>
      <c r="M381" s="151" t="str">
        <f t="shared" si="26"/>
        <v>FOND PENSION - PIECES</v>
      </c>
      <c r="N381" s="152">
        <f>+IF(OR($Q381=Parametres!$G$2,$Q381=Parametres!$G$3),I381,C381)</f>
        <v>177.33</v>
      </c>
      <c r="O381" s="1084">
        <f>+IF(OR($Q381=Parametres!$G$2,$Q381=Parametres!$G$3),J381,D381)</f>
        <v>55.8</v>
      </c>
      <c r="P381" s="152">
        <f>+IF(OR($Q381=Parametres!$G$2,$Q381=Parametres!$G$3),K381,E381)</f>
        <v>233.13</v>
      </c>
      <c r="Q381" s="151" t="str">
        <f t="shared" si="27"/>
        <v>7-Dépenses</v>
      </c>
      <c r="R381" s="150" t="str">
        <f t="shared" si="28"/>
        <v>6133</v>
      </c>
      <c r="S381" s="151">
        <f t="shared" si="29"/>
        <v>0</v>
      </c>
      <c r="T381" s="153">
        <f>+VLOOKUP($L381,Data_Validation!$A:$D,1,0)</f>
        <v>6733</v>
      </c>
      <c r="U381" s="153" t="str">
        <f>+VLOOKUP($L381,Data_Validation!$A:$D,3,0)</f>
        <v>Pièces</v>
      </c>
      <c r="V381" s="153" t="str">
        <f>+VLOOKUP($L381,Data_Validation!$A:$D,4,0)</f>
        <v>Déduction à la source</v>
      </c>
      <c r="W381" s="153" t="str">
        <f>+VLOOKUP($L381,Data_Validation!$A:$E,5,0)</f>
        <v>$</v>
      </c>
      <c r="X381" s="153">
        <f>+VLOOKUP($L381,Data_Validation!$A:$F,6,0)</f>
        <v>0</v>
      </c>
    </row>
    <row r="382" spans="1:24" ht="15" customHeight="1">
      <c r="A382" s="1193" t="s">
        <v>1302</v>
      </c>
      <c r="B382" s="1194">
        <v>6739</v>
      </c>
      <c r="C382" s="1197">
        <v>13595.41</v>
      </c>
      <c r="D382" s="1197">
        <v>5195.84</v>
      </c>
      <c r="E382" s="1197">
        <v>18791.25</v>
      </c>
      <c r="F382" s="1193" t="s">
        <v>398</v>
      </c>
      <c r="G382" s="1193" t="s">
        <v>2685</v>
      </c>
      <c r="H382" s="948"/>
      <c r="I382" s="949"/>
      <c r="J382" s="949"/>
      <c r="K382" s="949"/>
      <c r="L382" s="150">
        <f t="shared" si="25"/>
        <v>6739</v>
      </c>
      <c r="M382" s="151" t="str">
        <f t="shared" si="26"/>
        <v>ASSURANCE GROUPE</v>
      </c>
      <c r="N382" s="152">
        <f>+IF(OR($Q382=Parametres!$G$2,$Q382=Parametres!$G$3),I382,C382)</f>
        <v>13595.41</v>
      </c>
      <c r="O382" s="1084">
        <f>+IF(OR($Q382=Parametres!$G$2,$Q382=Parametres!$G$3),J382,D382)</f>
        <v>5195.84</v>
      </c>
      <c r="P382" s="152">
        <f>+IF(OR($Q382=Parametres!$G$2,$Q382=Parametres!$G$3),K382,E382)</f>
        <v>18791.25</v>
      </c>
      <c r="Q382" s="151" t="str">
        <f t="shared" si="27"/>
        <v>7-Dépenses</v>
      </c>
      <c r="R382" s="150" t="str">
        <f t="shared" si="28"/>
        <v>6139</v>
      </c>
      <c r="S382" s="151">
        <f t="shared" si="29"/>
        <v>0</v>
      </c>
      <c r="T382" s="153">
        <f>+VLOOKUP($L382,Data_Validation!$A:$D,1,0)</f>
        <v>6739</v>
      </c>
      <c r="U382" s="153" t="str">
        <f>+VLOOKUP($L382,Data_Validation!$A:$D,3,0)</f>
        <v>Pièces</v>
      </c>
      <c r="V382" s="153" t="str">
        <f>+VLOOKUP($L382,Data_Validation!$A:$D,4,0)</f>
        <v>Bénéfices marginaux</v>
      </c>
      <c r="W382" s="153" t="str">
        <f>+VLOOKUP($L382,Data_Validation!$A:$E,5,0)</f>
        <v>$</v>
      </c>
      <c r="X382" s="153">
        <f>+VLOOKUP($L382,Data_Validation!$A:$F,6,0)</f>
        <v>0</v>
      </c>
    </row>
    <row r="383" spans="1:24" ht="15.75" customHeight="1">
      <c r="A383" s="1193" t="s">
        <v>1154</v>
      </c>
      <c r="B383" s="1194">
        <v>6742</v>
      </c>
      <c r="C383" s="1197">
        <v>514.79999999999995</v>
      </c>
      <c r="D383" s="1197" t="s">
        <v>3444</v>
      </c>
      <c r="E383" s="1197">
        <v>514.79999999999995</v>
      </c>
      <c r="F383" s="1193" t="s">
        <v>398</v>
      </c>
      <c r="G383" s="1193" t="s">
        <v>2554</v>
      </c>
      <c r="H383" s="948"/>
      <c r="I383" s="951"/>
      <c r="J383" s="951"/>
      <c r="K383" s="951"/>
      <c r="L383" s="150">
        <f t="shared" si="25"/>
        <v>6742</v>
      </c>
      <c r="M383" s="151" t="str">
        <f t="shared" si="26"/>
        <v>FOURNITURES &amp; PETITS OUTILS</v>
      </c>
      <c r="N383" s="152">
        <f>+IF(OR($Q383=Parametres!$G$2,$Q383=Parametres!$G$3),I383,C383)</f>
        <v>514.79999999999995</v>
      </c>
      <c r="O383" s="1084" t="str">
        <f>+IF(OR($Q383=Parametres!$G$2,$Q383=Parametres!$G$3),J383,D383)</f>
        <v xml:space="preserve">                       -   </v>
      </c>
      <c r="P383" s="152">
        <f>+IF(OR($Q383=Parametres!$G$2,$Q383=Parametres!$G$3),K383,E383)</f>
        <v>514.79999999999995</v>
      </c>
      <c r="Q383" s="151" t="str">
        <f t="shared" si="27"/>
        <v>7-Dépenses</v>
      </c>
      <c r="R383" s="150" t="str">
        <f t="shared" si="28"/>
        <v>6142</v>
      </c>
      <c r="S383" s="151">
        <f t="shared" si="29"/>
        <v>0</v>
      </c>
      <c r="T383" s="153">
        <f>+VLOOKUP($L383,Data_Validation!$A:$D,1,0)</f>
        <v>6742</v>
      </c>
      <c r="U383" s="153" t="str">
        <f>+VLOOKUP($L383,Data_Validation!$A:$D,3,0)</f>
        <v>Pièces</v>
      </c>
      <c r="V383" s="153" t="str">
        <f>+VLOOKUP($L383,Data_Validation!$A:$D,4,0)</f>
        <v>Fournitures autres</v>
      </c>
      <c r="W383" s="153" t="str">
        <f>+VLOOKUP($L383,Data_Validation!$A:$E,5,0)</f>
        <v>$</v>
      </c>
      <c r="X383" s="153">
        <f>+VLOOKUP($L383,Data_Validation!$A:$F,6,0)</f>
        <v>0</v>
      </c>
    </row>
    <row r="384" spans="1:24" ht="15" customHeight="1">
      <c r="A384" s="1193" t="s">
        <v>931</v>
      </c>
      <c r="B384" s="1194">
        <v>6744</v>
      </c>
      <c r="C384" s="1197">
        <v>319</v>
      </c>
      <c r="D384" s="1197">
        <v>79.75</v>
      </c>
      <c r="E384" s="1197">
        <v>398.75</v>
      </c>
      <c r="F384" s="1193" t="s">
        <v>398</v>
      </c>
      <c r="G384" s="1193" t="s">
        <v>2552</v>
      </c>
      <c r="H384" s="948"/>
      <c r="I384" s="951"/>
      <c r="J384" s="951"/>
      <c r="K384" s="951"/>
      <c r="L384" s="150">
        <f t="shared" si="25"/>
        <v>6744</v>
      </c>
      <c r="M384" s="151" t="str">
        <f t="shared" si="26"/>
        <v>FORMATION</v>
      </c>
      <c r="N384" s="152">
        <f>+IF(OR($Q384=Parametres!$G$2,$Q384=Parametres!$G$3),I384,C384)</f>
        <v>319</v>
      </c>
      <c r="O384" s="1084">
        <f>+IF(OR($Q384=Parametres!$G$2,$Q384=Parametres!$G$3),J384,D384)</f>
        <v>79.75</v>
      </c>
      <c r="P384" s="152">
        <f>+IF(OR($Q384=Parametres!$G$2,$Q384=Parametres!$G$3),K384,E384)</f>
        <v>398.75</v>
      </c>
      <c r="Q384" s="151" t="str">
        <f t="shared" si="27"/>
        <v>7-Dépenses</v>
      </c>
      <c r="R384" s="150" t="str">
        <f t="shared" si="28"/>
        <v>6144</v>
      </c>
      <c r="S384" s="151">
        <f t="shared" si="29"/>
        <v>0</v>
      </c>
      <c r="T384" s="153">
        <f>+VLOOKUP($L384,Data_Validation!$A:$D,1,0)</f>
        <v>6744</v>
      </c>
      <c r="U384" s="153" t="str">
        <f>+VLOOKUP($L384,Data_Validation!$A:$D,3,0)</f>
        <v>Pièces</v>
      </c>
      <c r="V384" s="153" t="str">
        <f>+VLOOKUP($L384,Data_Validation!$A:$D,4,0)</f>
        <v>Formation</v>
      </c>
      <c r="W384" s="153" t="str">
        <f>+VLOOKUP($L384,Data_Validation!$A:$E,5,0)</f>
        <v>$</v>
      </c>
      <c r="X384" s="153">
        <f>+VLOOKUP($L384,Data_Validation!$A:$F,6,0)</f>
        <v>0</v>
      </c>
    </row>
    <row r="385" spans="1:24" ht="15" customHeight="1">
      <c r="A385" s="1193" t="s">
        <v>1183</v>
      </c>
      <c r="B385" s="1194">
        <v>6745</v>
      </c>
      <c r="C385" s="1197">
        <v>1932.03</v>
      </c>
      <c r="D385" s="1197">
        <v>625.21</v>
      </c>
      <c r="E385" s="1197">
        <v>2557.2399999999998</v>
      </c>
      <c r="F385" s="1193" t="s">
        <v>398</v>
      </c>
      <c r="G385" s="1193" t="s">
        <v>2623</v>
      </c>
      <c r="H385" s="987"/>
      <c r="I385" s="988"/>
      <c r="J385" s="988"/>
      <c r="K385" s="988"/>
      <c r="L385" s="150">
        <f t="shared" si="25"/>
        <v>6745</v>
      </c>
      <c r="M385" s="151" t="str">
        <f t="shared" si="26"/>
        <v>VEHICULE DE COMPAGNIE - DEPENS</v>
      </c>
      <c r="N385" s="152">
        <f>+IF(OR($Q385=Parametres!$G$2,$Q385=Parametres!$G$3),I385,C385)</f>
        <v>1932.03</v>
      </c>
      <c r="O385" s="1084">
        <f>+IF(OR($Q385=Parametres!$G$2,$Q385=Parametres!$G$3),J385,D385)</f>
        <v>625.21</v>
      </c>
      <c r="P385" s="152">
        <f>+IF(OR($Q385=Parametres!$G$2,$Q385=Parametres!$G$3),K385,E385)</f>
        <v>2557.2399999999998</v>
      </c>
      <c r="Q385" s="151" t="str">
        <f t="shared" si="27"/>
        <v>7-Dépenses</v>
      </c>
      <c r="R385" s="150" t="str">
        <f t="shared" si="28"/>
        <v>6145</v>
      </c>
      <c r="S385" s="151">
        <f t="shared" si="29"/>
        <v>0</v>
      </c>
      <c r="T385" s="153">
        <f>+VLOOKUP($L385,Data_Validation!$A:$D,1,0)</f>
        <v>6745</v>
      </c>
      <c r="U385" s="153" t="str">
        <f>+VLOOKUP($L385,Data_Validation!$A:$D,3,0)</f>
        <v>Pièces</v>
      </c>
      <c r="V385" s="153" t="str">
        <f>+VLOOKUP($L385,Data_Validation!$A:$D,4,0)</f>
        <v>Frais véhicules de cie</v>
      </c>
      <c r="W385" s="153" t="str">
        <f>+VLOOKUP($L385,Data_Validation!$A:$E,5,0)</f>
        <v>$</v>
      </c>
      <c r="X385" s="153">
        <f>+VLOOKUP($L385,Data_Validation!$A:$F,6,0)</f>
        <v>0</v>
      </c>
    </row>
    <row r="386" spans="1:24" ht="15" customHeight="1">
      <c r="A386" s="1193" t="s">
        <v>1177</v>
      </c>
      <c r="B386" s="1194">
        <v>6747</v>
      </c>
      <c r="C386" s="1197">
        <v>87.77</v>
      </c>
      <c r="D386" s="1197">
        <v>-203.08</v>
      </c>
      <c r="E386" s="1197">
        <v>-115.31</v>
      </c>
      <c r="F386" s="1193" t="s">
        <v>398</v>
      </c>
      <c r="G386" s="1193" t="s">
        <v>2572</v>
      </c>
      <c r="H386" s="987"/>
      <c r="I386" s="987"/>
      <c r="J386" s="987"/>
      <c r="K386" s="987"/>
      <c r="L386" s="150">
        <f t="shared" ref="L386:L449" si="30">+B386</f>
        <v>6747</v>
      </c>
      <c r="M386" s="151" t="str">
        <f t="shared" ref="M386:M449" si="31">+A386</f>
        <v>FRET/EXPRESS/TRANS. PAR CAMION</v>
      </c>
      <c r="N386" s="152">
        <f>+IF(OR($Q386=Parametres!$G$2,$Q386=Parametres!$G$3),I386,C386)</f>
        <v>87.77</v>
      </c>
      <c r="O386" s="1084">
        <f>+IF(OR($Q386=Parametres!$G$2,$Q386=Parametres!$G$3),J386,D386)</f>
        <v>-203.08</v>
      </c>
      <c r="P386" s="152">
        <f>+IF(OR($Q386=Parametres!$G$2,$Q386=Parametres!$G$3),K386,E386)</f>
        <v>-115.31</v>
      </c>
      <c r="Q386" s="151" t="str">
        <f t="shared" ref="Q386:Q449" si="32">+F386</f>
        <v>7-Dépenses</v>
      </c>
      <c r="R386" s="150" t="str">
        <f t="shared" ref="R386:R449" si="33">+G386</f>
        <v>6147</v>
      </c>
      <c r="S386" s="151">
        <f t="shared" ref="S386:S449" si="34">+H386</f>
        <v>0</v>
      </c>
      <c r="T386" s="153">
        <f>+VLOOKUP($L386,Data_Validation!$A:$D,1,0)</f>
        <v>6747</v>
      </c>
      <c r="U386" s="153" t="str">
        <f>+VLOOKUP($L386,Data_Validation!$A:$D,3,0)</f>
        <v>Pièces</v>
      </c>
      <c r="V386" s="153" t="str">
        <f>+VLOOKUP($L386,Data_Validation!$A:$D,4,0)</f>
        <v>Frais postaux</v>
      </c>
      <c r="W386" s="153" t="str">
        <f>+VLOOKUP($L386,Data_Validation!$A:$E,5,0)</f>
        <v>$</v>
      </c>
      <c r="X386" s="153">
        <f>+VLOOKUP($L386,Data_Validation!$A:$F,6,0)</f>
        <v>0</v>
      </c>
    </row>
    <row r="387" spans="1:24" ht="15.75" customHeight="1">
      <c r="A387" s="1193" t="s">
        <v>1283</v>
      </c>
      <c r="B387" s="1194">
        <v>6751</v>
      </c>
      <c r="C387" s="1197">
        <v>14995.51</v>
      </c>
      <c r="D387" s="1197">
        <v>3938.16</v>
      </c>
      <c r="E387" s="1197">
        <v>18933.669999999998</v>
      </c>
      <c r="F387" s="1193" t="s">
        <v>398</v>
      </c>
      <c r="G387" s="1193" t="s">
        <v>2693</v>
      </c>
      <c r="H387" s="987"/>
      <c r="I387" s="988"/>
      <c r="J387" s="988"/>
      <c r="K387" s="988"/>
      <c r="L387" s="150">
        <f t="shared" si="30"/>
        <v>6751</v>
      </c>
      <c r="M387" s="151" t="str">
        <f t="shared" si="31"/>
        <v>DEP. DU TRAITEMENT DES DONNEES</v>
      </c>
      <c r="N387" s="152">
        <f>+IF(OR($Q387=Parametres!$G$2,$Q387=Parametres!$G$3),I387,C387)</f>
        <v>14995.51</v>
      </c>
      <c r="O387" s="1084">
        <f>+IF(OR($Q387=Parametres!$G$2,$Q387=Parametres!$G$3),J387,D387)</f>
        <v>3938.16</v>
      </c>
      <c r="P387" s="152">
        <f>+IF(OR($Q387=Parametres!$G$2,$Q387=Parametres!$G$3),K387,E387)</f>
        <v>18933.669999999998</v>
      </c>
      <c r="Q387" s="151" t="str">
        <f t="shared" si="32"/>
        <v>7-Dépenses</v>
      </c>
      <c r="R387" s="150" t="str">
        <f t="shared" si="33"/>
        <v>6151</v>
      </c>
      <c r="S387" s="151">
        <f t="shared" si="34"/>
        <v>0</v>
      </c>
      <c r="T387" s="153">
        <f>+VLOOKUP($L387,Data_Validation!$A:$D,1,0)</f>
        <v>6751</v>
      </c>
      <c r="U387" s="153" t="str">
        <f>+VLOOKUP($L387,Data_Validation!$A:$D,3,0)</f>
        <v>Pièces</v>
      </c>
      <c r="V387" s="153" t="str">
        <f>+VLOOKUP($L387,Data_Validation!$A:$D,4,0)</f>
        <v>Informatique</v>
      </c>
      <c r="W387" s="153" t="str">
        <f>+VLOOKUP($L387,Data_Validation!$A:$E,5,0)</f>
        <v>$</v>
      </c>
      <c r="X387" s="153">
        <f>+VLOOKUP($L387,Data_Validation!$A:$F,6,0)</f>
        <v>0</v>
      </c>
    </row>
    <row r="388" spans="1:24" ht="15" customHeight="1">
      <c r="A388" s="1193" t="s">
        <v>1203</v>
      </c>
      <c r="B388" s="1194">
        <v>6752</v>
      </c>
      <c r="C388" s="1197">
        <v>2484.81</v>
      </c>
      <c r="D388" s="1197">
        <v>529.19000000000005</v>
      </c>
      <c r="E388" s="1197">
        <v>3014</v>
      </c>
      <c r="F388" s="1193" t="s">
        <v>398</v>
      </c>
      <c r="G388" s="1193" t="s">
        <v>2579</v>
      </c>
      <c r="H388" s="987"/>
      <c r="I388" s="987"/>
      <c r="J388" s="987"/>
      <c r="K388" s="987"/>
      <c r="L388" s="150">
        <f t="shared" si="30"/>
        <v>6752</v>
      </c>
      <c r="M388" s="151" t="str">
        <f t="shared" si="31"/>
        <v>PAPETERIE</v>
      </c>
      <c r="N388" s="152">
        <f>+IF(OR($Q388=Parametres!$G$2,$Q388=Parametres!$G$3),I388,C388)</f>
        <v>2484.81</v>
      </c>
      <c r="O388" s="1084">
        <f>+IF(OR($Q388=Parametres!$G$2,$Q388=Parametres!$G$3),J388,D388)</f>
        <v>529.19000000000005</v>
      </c>
      <c r="P388" s="152">
        <f>+IF(OR($Q388=Parametres!$G$2,$Q388=Parametres!$G$3),K388,E388)</f>
        <v>3014</v>
      </c>
      <c r="Q388" s="151" t="str">
        <f t="shared" si="32"/>
        <v>7-Dépenses</v>
      </c>
      <c r="R388" s="150" t="str">
        <f t="shared" si="33"/>
        <v>6152</v>
      </c>
      <c r="S388" s="151">
        <f t="shared" si="34"/>
        <v>0</v>
      </c>
      <c r="T388" s="153">
        <f>+VLOOKUP($L388,Data_Validation!$A:$D,1,0)</f>
        <v>6752</v>
      </c>
      <c r="U388" s="153" t="str">
        <f>+VLOOKUP($L388,Data_Validation!$A:$D,3,0)</f>
        <v>Pièces</v>
      </c>
      <c r="V388" s="153" t="str">
        <f>+VLOOKUP($L388,Data_Validation!$A:$D,4,0)</f>
        <v>Papeterie</v>
      </c>
      <c r="W388" s="153" t="str">
        <f>+VLOOKUP($L388,Data_Validation!$A:$E,5,0)</f>
        <v>$</v>
      </c>
      <c r="X388" s="153">
        <f>+VLOOKUP($L388,Data_Validation!$A:$F,6,0)</f>
        <v>0</v>
      </c>
    </row>
    <row r="389" spans="1:24" ht="15" customHeight="1">
      <c r="A389" s="1193" t="s">
        <v>1151</v>
      </c>
      <c r="B389" s="1194">
        <v>6753</v>
      </c>
      <c r="C389" s="1197">
        <v>325.5</v>
      </c>
      <c r="D389" s="1197">
        <v>98.98</v>
      </c>
      <c r="E389" s="1197">
        <v>424.48</v>
      </c>
      <c r="F389" s="1193" t="s">
        <v>398</v>
      </c>
      <c r="G389" s="1193" t="s">
        <v>2583</v>
      </c>
      <c r="H389" s="987"/>
      <c r="I389" s="988"/>
      <c r="J389" s="988"/>
      <c r="K389" s="988"/>
      <c r="L389" s="150">
        <f t="shared" si="30"/>
        <v>6753</v>
      </c>
      <c r="M389" s="151" t="str">
        <f t="shared" si="31"/>
        <v>TELEPHONE ET TELEX</v>
      </c>
      <c r="N389" s="152">
        <f>+IF(OR($Q389=Parametres!$G$2,$Q389=Parametres!$G$3),I389,C389)</f>
        <v>325.5</v>
      </c>
      <c r="O389" s="1084">
        <f>+IF(OR($Q389=Parametres!$G$2,$Q389=Parametres!$G$3),J389,D389)</f>
        <v>98.98</v>
      </c>
      <c r="P389" s="152">
        <f>+IF(OR($Q389=Parametres!$G$2,$Q389=Parametres!$G$3),K389,E389)</f>
        <v>424.48</v>
      </c>
      <c r="Q389" s="151" t="str">
        <f t="shared" si="32"/>
        <v>7-Dépenses</v>
      </c>
      <c r="R389" s="150" t="str">
        <f t="shared" si="33"/>
        <v>6153</v>
      </c>
      <c r="S389" s="151">
        <f t="shared" si="34"/>
        <v>0</v>
      </c>
      <c r="T389" s="153">
        <f>+VLOOKUP($L389,Data_Validation!$A:$D,1,0)</f>
        <v>6753</v>
      </c>
      <c r="U389" s="153" t="str">
        <f>+VLOOKUP($L389,Data_Validation!$A:$D,3,0)</f>
        <v>Pièces</v>
      </c>
      <c r="V389" s="153" t="str">
        <f>+VLOOKUP($L389,Data_Validation!$A:$D,4,0)</f>
        <v>Téléphone</v>
      </c>
      <c r="W389" s="153" t="str">
        <f>+VLOOKUP($L389,Data_Validation!$A:$E,5,0)</f>
        <v>$</v>
      </c>
      <c r="X389" s="153">
        <f>+VLOOKUP($L389,Data_Validation!$A:$F,6,0)</f>
        <v>0</v>
      </c>
    </row>
    <row r="390" spans="1:24" ht="15" customHeight="1">
      <c r="A390" s="1193" t="s">
        <v>1234</v>
      </c>
      <c r="B390" s="1194">
        <v>6755</v>
      </c>
      <c r="C390" s="1197">
        <v>1300.04</v>
      </c>
      <c r="D390" s="1197">
        <v>209.06</v>
      </c>
      <c r="E390" s="1197">
        <v>1509.1</v>
      </c>
      <c r="F390" s="1193" t="s">
        <v>398</v>
      </c>
      <c r="G390" s="1193" t="s">
        <v>2628</v>
      </c>
      <c r="H390" s="987"/>
      <c r="I390" s="987"/>
      <c r="J390" s="987"/>
      <c r="K390" s="987"/>
      <c r="L390" s="150">
        <f t="shared" si="30"/>
        <v>6755</v>
      </c>
      <c r="M390" s="151" t="str">
        <f t="shared" si="31"/>
        <v>DEPENSES DIVERS</v>
      </c>
      <c r="N390" s="152">
        <f>+IF(OR($Q390=Parametres!$G$2,$Q390=Parametres!$G$3),I390,C390)</f>
        <v>1300.04</v>
      </c>
      <c r="O390" s="1084">
        <f>+IF(OR($Q390=Parametres!$G$2,$Q390=Parametres!$G$3),J390,D390)</f>
        <v>209.06</v>
      </c>
      <c r="P390" s="152">
        <f>+IF(OR($Q390=Parametres!$G$2,$Q390=Parametres!$G$3),K390,E390)</f>
        <v>1509.1</v>
      </c>
      <c r="Q390" s="151" t="str">
        <f t="shared" si="32"/>
        <v>7-Dépenses</v>
      </c>
      <c r="R390" s="150" t="str">
        <f t="shared" si="33"/>
        <v>6155</v>
      </c>
      <c r="S390" s="151">
        <f t="shared" si="34"/>
        <v>0</v>
      </c>
      <c r="T390" s="153">
        <f>+VLOOKUP($L390,Data_Validation!$A:$D,1,0)</f>
        <v>6755</v>
      </c>
      <c r="U390" s="153" t="str">
        <f>+VLOOKUP($L390,Data_Validation!$A:$D,3,0)</f>
        <v>Pièces</v>
      </c>
      <c r="V390" s="153" t="str">
        <f>+VLOOKUP($L390,Data_Validation!$A:$D,4,0)</f>
        <v>Divers</v>
      </c>
      <c r="W390" s="153" t="str">
        <f>+VLOOKUP($L390,Data_Validation!$A:$E,5,0)</f>
        <v>$</v>
      </c>
      <c r="X390" s="153">
        <f>+VLOOKUP($L390,Data_Validation!$A:$F,6,0)</f>
        <v>0</v>
      </c>
    </row>
    <row r="391" spans="1:24" ht="15.75" customHeight="1">
      <c r="A391" s="1193" t="s">
        <v>1291</v>
      </c>
      <c r="B391" s="1194">
        <v>6756</v>
      </c>
      <c r="C391" s="1197">
        <v>1686.92</v>
      </c>
      <c r="D391" s="1197">
        <v>1057.69</v>
      </c>
      <c r="E391" s="1197">
        <v>2744.61</v>
      </c>
      <c r="F391" s="1193" t="s">
        <v>398</v>
      </c>
      <c r="G391" s="1193" t="s">
        <v>2461</v>
      </c>
      <c r="H391" s="948"/>
      <c r="I391" s="949"/>
      <c r="J391" s="949"/>
      <c r="K391" s="949"/>
      <c r="L391" s="150">
        <f t="shared" si="30"/>
        <v>6756</v>
      </c>
      <c r="M391" s="151" t="str">
        <f t="shared" si="31"/>
        <v>FRAIS REPRESENTATION - PIECES</v>
      </c>
      <c r="N391" s="152">
        <f>+IF(OR($Q391=Parametres!$G$2,$Q391=Parametres!$G$3),I391,C391)</f>
        <v>1686.92</v>
      </c>
      <c r="O391" s="1084">
        <f>+IF(OR($Q391=Parametres!$G$2,$Q391=Parametres!$G$3),J391,D391)</f>
        <v>1057.69</v>
      </c>
      <c r="P391" s="152">
        <f>+IF(OR($Q391=Parametres!$G$2,$Q391=Parametres!$G$3),K391,E391)</f>
        <v>2744.61</v>
      </c>
      <c r="Q391" s="151" t="str">
        <f t="shared" si="32"/>
        <v>7-Dépenses</v>
      </c>
      <c r="R391" s="150" t="str">
        <f t="shared" si="33"/>
        <v>6156</v>
      </c>
      <c r="S391" s="151">
        <f t="shared" si="34"/>
        <v>0</v>
      </c>
      <c r="T391" s="153">
        <f>+VLOOKUP($L391,Data_Validation!$A:$D,1,0)</f>
        <v>6756</v>
      </c>
      <c r="U391" s="153" t="str">
        <f>+VLOOKUP($L391,Data_Validation!$A:$D,3,0)</f>
        <v>Pièces</v>
      </c>
      <c r="V391" s="153" t="str">
        <f>+VLOOKUP($L391,Data_Validation!$A:$D,4,0)</f>
        <v>Frais de déplacement</v>
      </c>
      <c r="W391" s="153" t="str">
        <f>+VLOOKUP($L391,Data_Validation!$A:$E,5,0)</f>
        <v>$</v>
      </c>
      <c r="X391" s="153">
        <f>+VLOOKUP($L391,Data_Validation!$A:$F,6,0)</f>
        <v>0</v>
      </c>
    </row>
    <row r="392" spans="1:24" ht="15" customHeight="1">
      <c r="A392" s="1193" t="s">
        <v>1305</v>
      </c>
      <c r="B392" s="1194">
        <v>6759</v>
      </c>
      <c r="C392" s="1197">
        <v>31924.35</v>
      </c>
      <c r="D392" s="1197">
        <v>9774.32</v>
      </c>
      <c r="E392" s="1197">
        <v>41698.67</v>
      </c>
      <c r="F392" s="1193" t="s">
        <v>398</v>
      </c>
      <c r="G392" s="1193" t="s">
        <v>2653</v>
      </c>
      <c r="H392" s="948"/>
      <c r="I392" s="949"/>
      <c r="J392" s="949"/>
      <c r="K392" s="949"/>
      <c r="L392" s="150">
        <f t="shared" si="30"/>
        <v>6759</v>
      </c>
      <c r="M392" s="151" t="str">
        <f t="shared" si="31"/>
        <v>SERVICE EXTERIEUR</v>
      </c>
      <c r="N392" s="152">
        <f>+IF(OR($Q392=Parametres!$G$2,$Q392=Parametres!$G$3),I392,C392)</f>
        <v>31924.35</v>
      </c>
      <c r="O392" s="1084">
        <f>+IF(OR($Q392=Parametres!$G$2,$Q392=Parametres!$G$3),J392,D392)</f>
        <v>9774.32</v>
      </c>
      <c r="P392" s="152">
        <f>+IF(OR($Q392=Parametres!$G$2,$Q392=Parametres!$G$3),K392,E392)</f>
        <v>41698.67</v>
      </c>
      <c r="Q392" s="151" t="str">
        <f t="shared" si="32"/>
        <v>7-Dépenses</v>
      </c>
      <c r="R392" s="150" t="str">
        <f t="shared" si="33"/>
        <v>6159</v>
      </c>
      <c r="S392" s="151">
        <f t="shared" si="34"/>
        <v>0</v>
      </c>
      <c r="T392" s="153">
        <f>+VLOOKUP($L392,Data_Validation!$A:$D,1,0)</f>
        <v>6759</v>
      </c>
      <c r="U392" s="153" t="str">
        <f>+VLOOKUP($L392,Data_Validation!$A:$D,3,0)</f>
        <v>Pièces</v>
      </c>
      <c r="V392" s="153" t="str">
        <f>+VLOOKUP($L392,Data_Validation!$A:$D,4,0)</f>
        <v>Services extérieurs</v>
      </c>
      <c r="W392" s="153" t="str">
        <f>+VLOOKUP($L392,Data_Validation!$A:$E,5,0)</f>
        <v>$</v>
      </c>
      <c r="X392" s="153">
        <f>+VLOOKUP($L392,Data_Validation!$A:$F,6,0)</f>
        <v>0</v>
      </c>
    </row>
    <row r="393" spans="1:24" ht="15" customHeight="1">
      <c r="A393" s="1193" t="s">
        <v>1330</v>
      </c>
      <c r="B393" s="1194">
        <v>6761</v>
      </c>
      <c r="C393" s="1197">
        <v>4314.4799999999996</v>
      </c>
      <c r="D393" s="1197">
        <v>1078.6199999999999</v>
      </c>
      <c r="E393" s="1197">
        <v>5393.1</v>
      </c>
      <c r="F393" s="1193" t="s">
        <v>398</v>
      </c>
      <c r="G393" s="1193" t="s">
        <v>2644</v>
      </c>
      <c r="H393" s="948"/>
      <c r="I393" s="951"/>
      <c r="J393" s="951"/>
      <c r="K393" s="951"/>
      <c r="L393" s="150">
        <f t="shared" si="30"/>
        <v>6761</v>
      </c>
      <c r="M393" s="151" t="str">
        <f t="shared" si="31"/>
        <v>DEPRECIATION EQUIP. &amp; FIXTURES</v>
      </c>
      <c r="N393" s="152">
        <f>+IF(OR($Q393=Parametres!$G$2,$Q393=Parametres!$G$3),I393,C393)</f>
        <v>4314.4799999999996</v>
      </c>
      <c r="O393" s="1084">
        <f>+IF(OR($Q393=Parametres!$G$2,$Q393=Parametres!$G$3),J393,D393)</f>
        <v>1078.6199999999999</v>
      </c>
      <c r="P393" s="152">
        <f>+IF(OR($Q393=Parametres!$G$2,$Q393=Parametres!$G$3),K393,E393)</f>
        <v>5393.1</v>
      </c>
      <c r="Q393" s="151" t="str">
        <f t="shared" si="32"/>
        <v>7-Dépenses</v>
      </c>
      <c r="R393" s="150" t="str">
        <f t="shared" si="33"/>
        <v>6161</v>
      </c>
      <c r="S393" s="151">
        <f t="shared" si="34"/>
        <v>0</v>
      </c>
      <c r="T393" s="153">
        <f>+VLOOKUP($L393,Data_Validation!$A:$D,1,0)</f>
        <v>6761</v>
      </c>
      <c r="U393" s="153" t="str">
        <f>+VLOOKUP($L393,Data_Validation!$A:$D,3,0)</f>
        <v>Pièces</v>
      </c>
      <c r="V393" s="153" t="str">
        <f>+VLOOKUP($L393,Data_Validation!$A:$D,4,0)</f>
        <v>Amortissement</v>
      </c>
      <c r="W393" s="153" t="str">
        <f>+VLOOKUP($L393,Data_Validation!$A:$E,5,0)</f>
        <v>$</v>
      </c>
      <c r="X393" s="153">
        <f>+VLOOKUP($L393,Data_Validation!$A:$F,6,0)</f>
        <v>0</v>
      </c>
    </row>
    <row r="394" spans="1:24" ht="15" customHeight="1">
      <c r="A394" s="1193" t="s">
        <v>1313</v>
      </c>
      <c r="B394" s="1194">
        <v>6781</v>
      </c>
      <c r="C394" s="1197">
        <v>2024.35</v>
      </c>
      <c r="D394" s="1197">
        <v>933.83</v>
      </c>
      <c r="E394" s="1197">
        <v>2958.18</v>
      </c>
      <c r="F394" s="1193" t="s">
        <v>398</v>
      </c>
      <c r="G394" s="1193" t="s">
        <v>2595</v>
      </c>
      <c r="H394" s="948"/>
      <c r="I394" s="951"/>
      <c r="J394" s="951"/>
      <c r="K394" s="951"/>
      <c r="L394" s="150">
        <f t="shared" si="30"/>
        <v>6781</v>
      </c>
      <c r="M394" s="151" t="str">
        <f t="shared" si="31"/>
        <v>CHAUFFAGE,ELECTRICITE,EAU-PIECES</v>
      </c>
      <c r="N394" s="152">
        <f>+IF(OR($Q394=Parametres!$G$2,$Q394=Parametres!$G$3),I394,C394)</f>
        <v>2024.35</v>
      </c>
      <c r="O394" s="1084">
        <f>+IF(OR($Q394=Parametres!$G$2,$Q394=Parametres!$G$3),J394,D394)</f>
        <v>933.83</v>
      </c>
      <c r="P394" s="152">
        <f>+IF(OR($Q394=Parametres!$G$2,$Q394=Parametres!$G$3),K394,E394)</f>
        <v>2958.18</v>
      </c>
      <c r="Q394" s="151" t="str">
        <f t="shared" si="32"/>
        <v>7-Dépenses</v>
      </c>
      <c r="R394" s="150" t="str">
        <f t="shared" si="33"/>
        <v>6181</v>
      </c>
      <c r="S394" s="151">
        <f t="shared" si="34"/>
        <v>0</v>
      </c>
      <c r="T394" s="153">
        <f>+VLOOKUP($L394,Data_Validation!$A:$D,1,0)</f>
        <v>6781</v>
      </c>
      <c r="U394" s="153" t="str">
        <f>+VLOOKUP($L394,Data_Validation!$A:$D,3,0)</f>
        <v>Pièces</v>
      </c>
      <c r="V394" s="153" t="str">
        <f>+VLOOKUP($L394,Data_Validation!$A:$D,4,0)</f>
        <v>Chauffage, éclairage</v>
      </c>
      <c r="W394" s="153" t="str">
        <f>+VLOOKUP($L394,Data_Validation!$A:$E,5,0)</f>
        <v>$</v>
      </c>
      <c r="X394" s="153">
        <f>+VLOOKUP($L394,Data_Validation!$A:$F,6,0)</f>
        <v>0</v>
      </c>
    </row>
    <row r="395" spans="1:24" ht="15.75" customHeight="1">
      <c r="A395" s="1193" t="s">
        <v>1454</v>
      </c>
      <c r="B395" s="1194">
        <v>6782</v>
      </c>
      <c r="C395" s="1197">
        <v>26000</v>
      </c>
      <c r="D395" s="1197">
        <v>6500</v>
      </c>
      <c r="E395" s="1197">
        <v>32500</v>
      </c>
      <c r="F395" s="1193" t="s">
        <v>398</v>
      </c>
      <c r="G395" s="1193" t="s">
        <v>2700</v>
      </c>
      <c r="H395" s="928"/>
      <c r="I395" s="928"/>
      <c r="J395" s="928"/>
      <c r="K395" s="928"/>
      <c r="L395" s="150">
        <f t="shared" si="30"/>
        <v>6782</v>
      </c>
      <c r="M395" s="151" t="str">
        <f t="shared" si="31"/>
        <v>LOYER - PIECES</v>
      </c>
      <c r="N395" s="152">
        <f>+IF(OR($Q395=Parametres!$G$2,$Q395=Parametres!$G$3),I395,C395)</f>
        <v>26000</v>
      </c>
      <c r="O395" s="1082">
        <f>+IF(OR($Q395=Parametres!$G$2,$Q395=Parametres!$G$3),J395,D395)</f>
        <v>6500</v>
      </c>
      <c r="P395" s="152">
        <f>+IF(OR($Q395=Parametres!$G$2,$Q395=Parametres!$G$3),K395,E395)</f>
        <v>32500</v>
      </c>
      <c r="Q395" s="151" t="str">
        <f t="shared" si="32"/>
        <v>7-Dépenses</v>
      </c>
      <c r="R395" s="150" t="str">
        <f t="shared" si="33"/>
        <v>6182</v>
      </c>
      <c r="S395" s="151">
        <f t="shared" si="34"/>
        <v>0</v>
      </c>
      <c r="T395" s="153">
        <f>+VLOOKUP($L395,Data_Validation!$A:$D,1,0)</f>
        <v>6782</v>
      </c>
      <c r="U395" s="153" t="str">
        <f>+VLOOKUP($L395,Data_Validation!$A:$D,3,0)</f>
        <v>Pièces</v>
      </c>
      <c r="V395" s="153" t="str">
        <f>+VLOOKUP($L395,Data_Validation!$A:$D,4,0)</f>
        <v>Loyer</v>
      </c>
      <c r="W395" s="153" t="str">
        <f>+VLOOKUP($L395,Data_Validation!$A:$E,5,0)</f>
        <v>$</v>
      </c>
      <c r="X395" s="153">
        <f>+VLOOKUP($L395,Data_Validation!$A:$F,6,0)</f>
        <v>0</v>
      </c>
    </row>
    <row r="396" spans="1:24" ht="15" customHeight="1">
      <c r="A396" s="1193" t="s">
        <v>1349</v>
      </c>
      <c r="B396" s="1194">
        <v>6786</v>
      </c>
      <c r="C396" s="1197">
        <v>4271</v>
      </c>
      <c r="D396" s="1197">
        <v>1067.75</v>
      </c>
      <c r="E396" s="1197">
        <v>5338.75</v>
      </c>
      <c r="F396" s="1193" t="s">
        <v>398</v>
      </c>
      <c r="G396" s="1193" t="s">
        <v>2585</v>
      </c>
      <c r="H396" s="948"/>
      <c r="I396" s="951"/>
      <c r="J396" s="951"/>
      <c r="K396" s="951"/>
      <c r="L396" s="150">
        <f t="shared" si="30"/>
        <v>6786</v>
      </c>
      <c r="M396" s="151" t="str">
        <f t="shared" si="31"/>
        <v>ASSURANCE BATISSE &amp; AMEL.-PIECES</v>
      </c>
      <c r="N396" s="152">
        <f>+IF(OR($Q396=Parametres!$G$2,$Q396=Parametres!$G$3),I396,C396)</f>
        <v>4271</v>
      </c>
      <c r="O396" s="1084">
        <f>+IF(OR($Q396=Parametres!$G$2,$Q396=Parametres!$G$3),J396,D396)</f>
        <v>1067.75</v>
      </c>
      <c r="P396" s="152">
        <f>+IF(OR($Q396=Parametres!$G$2,$Q396=Parametres!$G$3),K396,E396)</f>
        <v>5338.75</v>
      </c>
      <c r="Q396" s="151" t="str">
        <f t="shared" si="32"/>
        <v>7-Dépenses</v>
      </c>
      <c r="R396" s="150" t="str">
        <f t="shared" si="33"/>
        <v>6186</v>
      </c>
      <c r="S396" s="151">
        <f t="shared" si="34"/>
        <v>0</v>
      </c>
      <c r="T396" s="153">
        <f>+VLOOKUP($L396,Data_Validation!$A:$D,1,0)</f>
        <v>6786</v>
      </c>
      <c r="U396" s="153" t="str">
        <f>+VLOOKUP($L396,Data_Validation!$A:$D,3,0)</f>
        <v>Pièces</v>
      </c>
      <c r="V396" s="153" t="str">
        <f>+VLOOKUP($L396,Data_Validation!$A:$D,4,0)</f>
        <v>Assurances</v>
      </c>
      <c r="W396" s="153" t="str">
        <f>+VLOOKUP($L396,Data_Validation!$A:$E,5,0)</f>
        <v>$</v>
      </c>
      <c r="X396" s="153">
        <f>+VLOOKUP($L396,Data_Validation!$A:$F,6,0)</f>
        <v>0</v>
      </c>
    </row>
    <row r="397" spans="1:24" ht="15" customHeight="1">
      <c r="A397" s="1193" t="s">
        <v>1341</v>
      </c>
      <c r="B397" s="1194">
        <v>6787</v>
      </c>
      <c r="C397" s="1197">
        <v>4930</v>
      </c>
      <c r="D397" s="1197">
        <v>1232.5</v>
      </c>
      <c r="E397" s="1197">
        <v>6162.5</v>
      </c>
      <c r="F397" s="1193" t="s">
        <v>398</v>
      </c>
      <c r="G397" s="1193" t="s">
        <v>2605</v>
      </c>
      <c r="H397" s="948"/>
      <c r="I397" s="951"/>
      <c r="J397" s="951"/>
      <c r="K397" s="951"/>
      <c r="L397" s="150">
        <f t="shared" si="30"/>
        <v>6787</v>
      </c>
      <c r="M397" s="151" t="str">
        <f t="shared" si="31"/>
        <v>TAXES FONCIERES - PIECES</v>
      </c>
      <c r="N397" s="152">
        <f>+IF(OR($Q397=Parametres!$G$2,$Q397=Parametres!$G$3),I397,C397)</f>
        <v>4930</v>
      </c>
      <c r="O397" s="1084">
        <f>+IF(OR($Q397=Parametres!$G$2,$Q397=Parametres!$G$3),J397,D397)</f>
        <v>1232.5</v>
      </c>
      <c r="P397" s="152">
        <f>+IF(OR($Q397=Parametres!$G$2,$Q397=Parametres!$G$3),K397,E397)</f>
        <v>6162.5</v>
      </c>
      <c r="Q397" s="151" t="str">
        <f t="shared" si="32"/>
        <v>7-Dépenses</v>
      </c>
      <c r="R397" s="150" t="str">
        <f t="shared" si="33"/>
        <v>6187</v>
      </c>
      <c r="S397" s="151">
        <f t="shared" si="34"/>
        <v>0</v>
      </c>
      <c r="T397" s="153">
        <f>+VLOOKUP($L397,Data_Validation!$A:$D,1,0)</f>
        <v>6787</v>
      </c>
      <c r="U397" s="153" t="str">
        <f>+VLOOKUP($L397,Data_Validation!$A:$D,3,0)</f>
        <v>Pièces</v>
      </c>
      <c r="V397" s="153" t="str">
        <f>+VLOOKUP($L397,Data_Validation!$A:$D,4,0)</f>
        <v>Taxes foncières</v>
      </c>
      <c r="W397" s="153" t="str">
        <f>+VLOOKUP($L397,Data_Validation!$A:$E,5,0)</f>
        <v>$</v>
      </c>
      <c r="X397" s="153">
        <f>+VLOOKUP($L397,Data_Validation!$A:$F,6,0)</f>
        <v>0</v>
      </c>
    </row>
    <row r="398" spans="1:24" ht="15" customHeight="1">
      <c r="A398" s="1193" t="s">
        <v>1275</v>
      </c>
      <c r="B398" s="1194">
        <v>6793</v>
      </c>
      <c r="C398" s="1197">
        <v>3280</v>
      </c>
      <c r="D398" s="1197">
        <v>820</v>
      </c>
      <c r="E398" s="1197">
        <v>4100</v>
      </c>
      <c r="F398" s="1193" t="s">
        <v>398</v>
      </c>
      <c r="G398" s="1193" t="s">
        <v>2588</v>
      </c>
      <c r="H398" s="948"/>
      <c r="I398" s="951"/>
      <c r="J398" s="951"/>
      <c r="K398" s="951"/>
      <c r="L398" s="150">
        <f t="shared" si="30"/>
        <v>6793</v>
      </c>
      <c r="M398" s="151" t="str">
        <f t="shared" si="31"/>
        <v>AUTRES TAXES - PIECES</v>
      </c>
      <c r="N398" s="152">
        <f>+IF(OR($Q398=Parametres!$G$2,$Q398=Parametres!$G$3),I398,C398)</f>
        <v>3280</v>
      </c>
      <c r="O398" s="1084">
        <f>+IF(OR($Q398=Parametres!$G$2,$Q398=Parametres!$G$3),J398,D398)</f>
        <v>820</v>
      </c>
      <c r="P398" s="152">
        <f>+IF(OR($Q398=Parametres!$G$2,$Q398=Parametres!$G$3),K398,E398)</f>
        <v>4100</v>
      </c>
      <c r="Q398" s="151" t="str">
        <f t="shared" si="32"/>
        <v>7-Dépenses</v>
      </c>
      <c r="R398" s="150" t="str">
        <f t="shared" si="33"/>
        <v>6193</v>
      </c>
      <c r="S398" s="151">
        <f t="shared" si="34"/>
        <v>0</v>
      </c>
      <c r="T398" s="153">
        <f>+VLOOKUP($L398,Data_Validation!$A:$D,1,0)</f>
        <v>6793</v>
      </c>
      <c r="U398" s="153" t="str">
        <f>+VLOOKUP($L398,Data_Validation!$A:$D,3,0)</f>
        <v>Pièces</v>
      </c>
      <c r="V398" s="153" t="str">
        <f>+VLOOKUP($L398,Data_Validation!$A:$D,4,0)</f>
        <v>Taxes d`affaires</v>
      </c>
      <c r="W398" s="153" t="str">
        <f>+VLOOKUP($L398,Data_Validation!$A:$E,5,0)</f>
        <v>$</v>
      </c>
      <c r="X398" s="153">
        <f>+VLOOKUP($L398,Data_Validation!$A:$F,6,0)</f>
        <v>0</v>
      </c>
    </row>
    <row r="399" spans="1:24" ht="15.75" customHeight="1">
      <c r="A399" s="1193" t="s">
        <v>1368</v>
      </c>
      <c r="B399" s="1194">
        <v>6794</v>
      </c>
      <c r="C399" s="1197">
        <v>6123.32</v>
      </c>
      <c r="D399" s="1197">
        <v>1530.83</v>
      </c>
      <c r="E399" s="1197">
        <v>7654.15</v>
      </c>
      <c r="F399" s="1193" t="s">
        <v>398</v>
      </c>
      <c r="G399" s="1193" t="s">
        <v>2626</v>
      </c>
      <c r="H399" s="948"/>
      <c r="I399" s="951"/>
      <c r="J399" s="951"/>
      <c r="K399" s="951"/>
      <c r="L399" s="150">
        <f t="shared" si="30"/>
        <v>6794</v>
      </c>
      <c r="M399" s="151" t="str">
        <f t="shared" si="31"/>
        <v>FRAIS PROFESSIONNEL-PIECES</v>
      </c>
      <c r="N399" s="152">
        <f>+IF(OR($Q399=Parametres!$G$2,$Q399=Parametres!$G$3),I399,C399)</f>
        <v>6123.32</v>
      </c>
      <c r="O399" s="1084">
        <f>+IF(OR($Q399=Parametres!$G$2,$Q399=Parametres!$G$3),J399,D399)</f>
        <v>1530.83</v>
      </c>
      <c r="P399" s="152">
        <f>+IF(OR($Q399=Parametres!$G$2,$Q399=Parametres!$G$3),K399,E399)</f>
        <v>7654.15</v>
      </c>
      <c r="Q399" s="151" t="str">
        <f t="shared" si="32"/>
        <v>7-Dépenses</v>
      </c>
      <c r="R399" s="150" t="str">
        <f t="shared" si="33"/>
        <v>6194</v>
      </c>
      <c r="S399" s="151">
        <f t="shared" si="34"/>
        <v>0</v>
      </c>
      <c r="T399" s="153">
        <f>+VLOOKUP($L399,Data_Validation!$A:$D,1,0)</f>
        <v>6794</v>
      </c>
      <c r="U399" s="153" t="str">
        <f>+VLOOKUP($L399,Data_Validation!$A:$D,3,0)</f>
        <v>Pièces</v>
      </c>
      <c r="V399" s="153" t="str">
        <f>+VLOOKUP($L399,Data_Validation!$A:$D,4,0)</f>
        <v>Honoraires</v>
      </c>
      <c r="W399" s="153" t="str">
        <f>+VLOOKUP($L399,Data_Validation!$A:$E,5,0)</f>
        <v>$</v>
      </c>
      <c r="X399" s="153">
        <f>+VLOOKUP($L399,Data_Validation!$A:$F,6,0)</f>
        <v>0</v>
      </c>
    </row>
    <row r="400" spans="1:24" ht="15" customHeight="1">
      <c r="A400" s="1193" t="s">
        <v>2046</v>
      </c>
      <c r="B400" s="1194">
        <v>9149</v>
      </c>
      <c r="C400" s="1197">
        <v>-150411.85</v>
      </c>
      <c r="D400" s="1197">
        <v>-53351</v>
      </c>
      <c r="E400" s="1197">
        <v>-203762.85</v>
      </c>
      <c r="F400" s="1193" t="s">
        <v>301</v>
      </c>
      <c r="G400" s="1193" t="s">
        <v>2048</v>
      </c>
      <c r="H400" s="948"/>
      <c r="I400" s="951"/>
      <c r="J400" s="951"/>
      <c r="K400" s="951"/>
      <c r="L400" s="150">
        <f t="shared" si="30"/>
        <v>9149</v>
      </c>
      <c r="M400" s="151" t="str">
        <f t="shared" si="31"/>
        <v>REVENU RESERVE VOLKS</v>
      </c>
      <c r="N400" s="152">
        <f>+IF(OR($Q400=Parametres!$G$2,$Q400=Parametres!$G$3),I400,C400)</f>
        <v>-150411.85</v>
      </c>
      <c r="O400" s="1084">
        <f>+IF(OR($Q400=Parametres!$G$2,$Q400=Parametres!$G$3),J400,D400)</f>
        <v>-53351</v>
      </c>
      <c r="P400" s="152">
        <f>+IF(OR($Q400=Parametres!$G$2,$Q400=Parametres!$G$3),K400,E400)</f>
        <v>-203762.85</v>
      </c>
      <c r="Q400" s="151" t="str">
        <f t="shared" si="32"/>
        <v>8-Autres revenus</v>
      </c>
      <c r="R400" s="150" t="str">
        <f t="shared" si="33"/>
        <v>9101</v>
      </c>
      <c r="S400" s="151">
        <f t="shared" si="34"/>
        <v>0</v>
      </c>
      <c r="T400" s="153">
        <f>+VLOOKUP($L400,Data_Validation!$A:$D,1,0)</f>
        <v>9149</v>
      </c>
      <c r="U400" s="153" t="str">
        <f>+VLOOKUP($L400,Data_Validation!$A:$D,3,0)</f>
        <v>Véhicules neufs</v>
      </c>
      <c r="V400" s="153" t="str">
        <f>+VLOOKUP($L400,Data_Validation!$A:$D,4,0)</f>
        <v>Holdbacks</v>
      </c>
      <c r="W400" s="153" t="str">
        <f>+VLOOKUP($L400,Data_Validation!$A:$E,5,0)</f>
        <v>$</v>
      </c>
      <c r="X400" s="153">
        <f>+VLOOKUP($L400,Data_Validation!$A:$F,6,0)</f>
        <v>0</v>
      </c>
    </row>
    <row r="401" spans="1:24" ht="15" customHeight="1">
      <c r="A401" s="1193" t="s">
        <v>2131</v>
      </c>
      <c r="B401" s="1194">
        <v>9152</v>
      </c>
      <c r="C401" s="1197">
        <v>-21743.32</v>
      </c>
      <c r="D401" s="1197">
        <v>-1859.6</v>
      </c>
      <c r="E401" s="1197">
        <v>-23602.92</v>
      </c>
      <c r="F401" s="1193" t="s">
        <v>301</v>
      </c>
      <c r="G401" s="1193" t="s">
        <v>2132</v>
      </c>
      <c r="H401" s="1201"/>
      <c r="I401" s="1201"/>
      <c r="J401" s="1201"/>
      <c r="K401" s="1201"/>
      <c r="L401" s="150">
        <f t="shared" si="30"/>
        <v>9152</v>
      </c>
      <c r="M401" s="151" t="str">
        <f t="shared" si="31"/>
        <v>ESCOMPTES SUR ACHAT PIECES</v>
      </c>
      <c r="N401" s="152">
        <f>+IF(OR($Q401=Parametres!$G$2,$Q401=Parametres!$G$3),I401,C401)</f>
        <v>-21743.32</v>
      </c>
      <c r="O401" s="1084">
        <f>+IF(OR($Q401=Parametres!$G$2,$Q401=Parametres!$G$3),J401,D401)</f>
        <v>-1859.6</v>
      </c>
      <c r="P401" s="152">
        <f>+IF(OR($Q401=Parametres!$G$2,$Q401=Parametres!$G$3),K401,E401)</f>
        <v>-23602.92</v>
      </c>
      <c r="Q401" s="151" t="str">
        <f t="shared" si="32"/>
        <v>8-Autres revenus</v>
      </c>
      <c r="R401" s="150" t="str">
        <f t="shared" si="33"/>
        <v>9152</v>
      </c>
      <c r="S401" s="151">
        <f t="shared" si="34"/>
        <v>0</v>
      </c>
      <c r="T401" s="153">
        <f>+VLOOKUP($L401,Data_Validation!$A:$D,1,0)</f>
        <v>9152</v>
      </c>
      <c r="U401" s="153" t="str">
        <f>+VLOOKUP($L401,Data_Validation!$A:$D,3,0)</f>
        <v>Pièces</v>
      </c>
      <c r="V401" s="153" t="str">
        <f>+VLOOKUP($L401,Data_Validation!$A:$D,4,0)</f>
        <v>Escomptes</v>
      </c>
      <c r="W401" s="153" t="str">
        <f>+VLOOKUP($L401,Data_Validation!$A:$E,5,0)</f>
        <v>$</v>
      </c>
      <c r="X401" s="153">
        <f>+VLOOKUP($L401,Data_Validation!$A:$F,6,0)</f>
        <v>0</v>
      </c>
    </row>
    <row r="402" spans="1:24" ht="15" customHeight="1">
      <c r="A402" s="1193" t="s">
        <v>2163</v>
      </c>
      <c r="B402" s="1194">
        <v>9161</v>
      </c>
      <c r="C402" s="1197">
        <v>-26707.19</v>
      </c>
      <c r="D402" s="1197">
        <v>-10852.96</v>
      </c>
      <c r="E402" s="1197">
        <v>-37560.15</v>
      </c>
      <c r="F402" s="1193" t="s">
        <v>301</v>
      </c>
      <c r="G402" s="1193" t="s">
        <v>2069</v>
      </c>
      <c r="H402" s="928"/>
      <c r="I402" s="927"/>
      <c r="J402" s="927"/>
      <c r="K402" s="927"/>
      <c r="L402" s="150">
        <f t="shared" si="30"/>
        <v>9161</v>
      </c>
      <c r="M402" s="151" t="str">
        <f t="shared" si="31"/>
        <v>REVENU FIN ET ASS NEUF</v>
      </c>
      <c r="N402" s="152">
        <f>+IF(OR($Q402=Parametres!$G$2,$Q402=Parametres!$G$3),I402,C402)</f>
        <v>-26707.19</v>
      </c>
      <c r="O402" s="1084">
        <f>+IF(OR($Q402=Parametres!$G$2,$Q402=Parametres!$G$3),J402,D402)</f>
        <v>-10852.96</v>
      </c>
      <c r="P402" s="152">
        <f>+IF(OR($Q402=Parametres!$G$2,$Q402=Parametres!$G$3),K402,E402)</f>
        <v>-37560.15</v>
      </c>
      <c r="Q402" s="151" t="str">
        <f t="shared" si="32"/>
        <v>8-Autres revenus</v>
      </c>
      <c r="R402" s="150" t="str">
        <f t="shared" si="33"/>
        <v>9161</v>
      </c>
      <c r="S402" s="151">
        <f t="shared" si="34"/>
        <v>0</v>
      </c>
      <c r="T402" s="153">
        <f>+VLOOKUP($L402,Data_Validation!$A:$D,1,0)</f>
        <v>9161</v>
      </c>
      <c r="U402" s="153" t="str">
        <f>+VLOOKUP($L402,Data_Validation!$A:$D,3,0)</f>
        <v>Véhicules neufs</v>
      </c>
      <c r="V402" s="153" t="str">
        <f>+VLOOKUP($L402,Data_Validation!$A:$D,4,0)</f>
        <v>Rev. Finances</v>
      </c>
      <c r="W402" s="153" t="str">
        <f>+VLOOKUP($L402,Data_Validation!$A:$E,5,0)</f>
        <v>$</v>
      </c>
      <c r="X402" s="153" t="str">
        <f>+VLOOKUP($L402,Data_Validation!$A:$F,6,0)</f>
        <v>Oui</v>
      </c>
    </row>
    <row r="403" spans="1:24" ht="15.75" customHeight="1">
      <c r="A403" s="1193" t="s">
        <v>2077</v>
      </c>
      <c r="B403" s="1194">
        <v>9163</v>
      </c>
      <c r="C403" s="1197">
        <v>-158918.79</v>
      </c>
      <c r="D403" s="1197">
        <v>-44093.06</v>
      </c>
      <c r="E403" s="1197">
        <v>-203011.85</v>
      </c>
      <c r="F403" s="1193" t="s">
        <v>301</v>
      </c>
      <c r="G403" s="1193" t="s">
        <v>2078</v>
      </c>
      <c r="H403" s="1201"/>
      <c r="I403" s="1201"/>
      <c r="J403" s="1201"/>
      <c r="K403" s="1201"/>
      <c r="L403" s="150">
        <f t="shared" si="30"/>
        <v>9163</v>
      </c>
      <c r="M403" s="151" t="str">
        <f t="shared" si="31"/>
        <v>RESERVE FIN ET ASS VEH OCCASION</v>
      </c>
      <c r="N403" s="152">
        <f>+IF(OR($Q403=Parametres!$G$2,$Q403=Parametres!$G$3),I403,C403)</f>
        <v>-158918.79</v>
      </c>
      <c r="O403" s="1084">
        <f>+IF(OR($Q403=Parametres!$G$2,$Q403=Parametres!$G$3),J403,D403)</f>
        <v>-44093.06</v>
      </c>
      <c r="P403" s="152">
        <f>+IF(OR($Q403=Parametres!$G$2,$Q403=Parametres!$G$3),K403,E403)</f>
        <v>-203011.85</v>
      </c>
      <c r="Q403" s="151" t="str">
        <f t="shared" si="32"/>
        <v>8-Autres revenus</v>
      </c>
      <c r="R403" s="150" t="str">
        <f t="shared" si="33"/>
        <v>9163</v>
      </c>
      <c r="S403" s="151">
        <f t="shared" si="34"/>
        <v>0</v>
      </c>
      <c r="T403" s="153">
        <f>+VLOOKUP($L403,Data_Validation!$A:$D,1,0)</f>
        <v>9163</v>
      </c>
      <c r="U403" s="153" t="str">
        <f>+VLOOKUP($L403,Data_Validation!$A:$D,3,0)</f>
        <v>Véhicules usagés</v>
      </c>
      <c r="V403" s="153" t="str">
        <f>+VLOOKUP($L403,Data_Validation!$A:$D,4,0)</f>
        <v>Rev. Finances</v>
      </c>
      <c r="W403" s="153" t="str">
        <f>+VLOOKUP($L403,Data_Validation!$A:$E,5,0)</f>
        <v>$</v>
      </c>
      <c r="X403" s="153" t="str">
        <f>+VLOOKUP($L403,Data_Validation!$A:$F,6,0)</f>
        <v>Oui</v>
      </c>
    </row>
    <row r="404" spans="1:24" ht="15" customHeight="1">
      <c r="A404" s="1193" t="s">
        <v>2164</v>
      </c>
      <c r="B404" s="1194">
        <v>9165</v>
      </c>
      <c r="C404" s="1197">
        <v>-2821.65</v>
      </c>
      <c r="D404" s="1197">
        <v>-281.72000000000003</v>
      </c>
      <c r="E404" s="1197">
        <v>-3103.37</v>
      </c>
      <c r="F404" s="1193" t="s">
        <v>301</v>
      </c>
      <c r="G404" s="1193" t="s">
        <v>2069</v>
      </c>
      <c r="H404" s="1201"/>
      <c r="I404" s="1201"/>
      <c r="J404" s="1201"/>
      <c r="K404" s="1201"/>
      <c r="L404" s="150">
        <f t="shared" si="30"/>
        <v>9165</v>
      </c>
      <c r="M404" s="151" t="str">
        <f t="shared" si="31"/>
        <v>REV. ASSURANCES NEUF</v>
      </c>
      <c r="N404" s="152">
        <f>+IF(OR($Q404=Parametres!$G$2,$Q404=Parametres!$G$3),I404,C404)</f>
        <v>-2821.65</v>
      </c>
      <c r="O404" s="1085">
        <f>+IF(OR($Q404=Parametres!$G$2,$Q404=Parametres!$G$3),J404,D404)</f>
        <v>-281.72000000000003</v>
      </c>
      <c r="P404" s="152">
        <f>+IF(OR($Q404=Parametres!$G$2,$Q404=Parametres!$G$3),K404,E404)</f>
        <v>-3103.37</v>
      </c>
      <c r="Q404" s="151" t="str">
        <f t="shared" si="32"/>
        <v>8-Autres revenus</v>
      </c>
      <c r="R404" s="150" t="str">
        <f t="shared" si="33"/>
        <v>9161</v>
      </c>
      <c r="S404" s="151">
        <f t="shared" si="34"/>
        <v>0</v>
      </c>
      <c r="T404" s="153">
        <f>+VLOOKUP($L404,Data_Validation!$A:$D,1,0)</f>
        <v>9165</v>
      </c>
      <c r="U404" s="153" t="str">
        <f>+VLOOKUP($L404,Data_Validation!$A:$D,3,0)</f>
        <v>Véhicules neufs</v>
      </c>
      <c r="V404" s="153" t="str">
        <f>+VLOOKUP($L404,Data_Validation!$A:$D,4,0)</f>
        <v>Rev. Autres</v>
      </c>
      <c r="W404" s="153" t="str">
        <f>+VLOOKUP($L404,Data_Validation!$A:$E,5,0)</f>
        <v>$</v>
      </c>
      <c r="X404" s="153" t="str">
        <f>+VLOOKUP($L404,Data_Validation!$A:$F,6,0)</f>
        <v>Oui</v>
      </c>
    </row>
    <row r="405" spans="1:24" ht="15" customHeight="1">
      <c r="A405" s="1193" t="s">
        <v>2172</v>
      </c>
      <c r="B405" s="1194">
        <v>9167</v>
      </c>
      <c r="C405" s="1197">
        <v>-8320.25</v>
      </c>
      <c r="D405" s="1197">
        <v>-3502.72</v>
      </c>
      <c r="E405" s="1197">
        <v>-11822.97</v>
      </c>
      <c r="F405" s="1193" t="s">
        <v>301</v>
      </c>
      <c r="G405" s="1193" t="s">
        <v>2078</v>
      </c>
      <c r="H405" s="1201"/>
      <c r="I405" s="1201"/>
      <c r="J405" s="1201"/>
      <c r="K405" s="1201"/>
      <c r="L405" s="150">
        <f t="shared" si="30"/>
        <v>9167</v>
      </c>
      <c r="M405" s="151" t="str">
        <f t="shared" si="31"/>
        <v>REV ASSURANCE USAGE</v>
      </c>
      <c r="N405" s="152">
        <f>+IF(OR($Q405=Parametres!$G$2,$Q405=Parametres!$G$3),I405,C405)</f>
        <v>-8320.25</v>
      </c>
      <c r="O405" s="1082">
        <f>+IF(OR($Q405=Parametres!$G$2,$Q405=Parametres!$G$3),J405,D405)</f>
        <v>-3502.72</v>
      </c>
      <c r="P405" s="152">
        <f>+IF(OR($Q405=Parametres!$G$2,$Q405=Parametres!$G$3),K405,E405)</f>
        <v>-11822.97</v>
      </c>
      <c r="Q405" s="151" t="str">
        <f t="shared" si="32"/>
        <v>8-Autres revenus</v>
      </c>
      <c r="R405" s="150" t="str">
        <f t="shared" si="33"/>
        <v>9163</v>
      </c>
      <c r="S405" s="151">
        <f t="shared" si="34"/>
        <v>0</v>
      </c>
      <c r="T405" s="153">
        <f>+VLOOKUP($L405,Data_Validation!$A:$D,1,0)</f>
        <v>9167</v>
      </c>
      <c r="U405" s="153" t="str">
        <f>+VLOOKUP($L405,Data_Validation!$A:$D,3,0)</f>
        <v>Véhicules usagés</v>
      </c>
      <c r="V405" s="153" t="str">
        <f>+VLOOKUP($L405,Data_Validation!$A:$D,4,0)</f>
        <v>Rev. Autres</v>
      </c>
      <c r="W405" s="153" t="str">
        <f>+VLOOKUP($L405,Data_Validation!$A:$E,5,0)</f>
        <v>$</v>
      </c>
      <c r="X405" s="153" t="str">
        <f>+VLOOKUP($L405,Data_Validation!$A:$F,6,0)</f>
        <v>Oui</v>
      </c>
    </row>
    <row r="406" spans="1:24" ht="15" customHeight="1">
      <c r="A406" s="1193" t="s">
        <v>2085</v>
      </c>
      <c r="B406" s="1194">
        <v>9169</v>
      </c>
      <c r="C406" s="1197">
        <v>-15296</v>
      </c>
      <c r="D406" s="1197">
        <v>-10587</v>
      </c>
      <c r="E406" s="1197">
        <v>-25883</v>
      </c>
      <c r="F406" s="1193" t="s">
        <v>301</v>
      </c>
      <c r="G406" s="1193" t="s">
        <v>2069</v>
      </c>
      <c r="H406" s="1201"/>
      <c r="I406" s="1201"/>
      <c r="J406" s="1201"/>
      <c r="K406" s="1201"/>
      <c r="L406" s="150">
        <f t="shared" si="30"/>
        <v>9169</v>
      </c>
      <c r="M406" s="151" t="str">
        <f t="shared" si="31"/>
        <v>REV GARANTIE PROLONGEE NEUF</v>
      </c>
      <c r="N406" s="152">
        <f>+IF(OR($Q406=Parametres!$G$2,$Q406=Parametres!$G$3),I406,C406)</f>
        <v>-15296</v>
      </c>
      <c r="O406" s="1084">
        <f>+IF(OR($Q406=Parametres!$G$2,$Q406=Parametres!$G$3),J406,D406)</f>
        <v>-10587</v>
      </c>
      <c r="P406" s="152">
        <f>+IF(OR($Q406=Parametres!$G$2,$Q406=Parametres!$G$3),K406,E406)</f>
        <v>-25883</v>
      </c>
      <c r="Q406" s="151" t="str">
        <f t="shared" si="32"/>
        <v>8-Autres revenus</v>
      </c>
      <c r="R406" s="150" t="str">
        <f t="shared" si="33"/>
        <v>9161</v>
      </c>
      <c r="S406" s="151">
        <f t="shared" si="34"/>
        <v>0</v>
      </c>
      <c r="T406" s="153">
        <f>+VLOOKUP($L406,Data_Validation!$A:$D,1,0)</f>
        <v>9169</v>
      </c>
      <c r="U406" s="153" t="str">
        <f>+VLOOKUP($L406,Data_Validation!$A:$D,3,0)</f>
        <v>Véhicules neufs</v>
      </c>
      <c r="V406" s="153" t="str">
        <f>+VLOOKUP($L406,Data_Validation!$A:$D,4,0)</f>
        <v>Rev. Protections</v>
      </c>
      <c r="W406" s="153" t="str">
        <f>+VLOOKUP($L406,Data_Validation!$A:$E,5,0)</f>
        <v>$</v>
      </c>
      <c r="X406" s="153" t="str">
        <f>+VLOOKUP($L406,Data_Validation!$A:$F,6,0)</f>
        <v>Oui</v>
      </c>
    </row>
    <row r="407" spans="1:24" ht="15.75" customHeight="1">
      <c r="A407" s="1193" t="s">
        <v>2067</v>
      </c>
      <c r="B407" s="1194">
        <v>9170</v>
      </c>
      <c r="C407" s="1197">
        <v>-99540.24</v>
      </c>
      <c r="D407" s="1197">
        <v>-35845.86</v>
      </c>
      <c r="E407" s="1197">
        <v>-135386.1</v>
      </c>
      <c r="F407" s="1193" t="s">
        <v>301</v>
      </c>
      <c r="G407" s="1193" t="s">
        <v>2069</v>
      </c>
      <c r="H407" s="1201"/>
      <c r="I407" s="1201"/>
      <c r="J407" s="1201"/>
      <c r="K407" s="1201"/>
      <c r="L407" s="150">
        <f t="shared" si="30"/>
        <v>9170</v>
      </c>
      <c r="M407" s="151" t="str">
        <f t="shared" si="31"/>
        <v>PROFIT PROTECTIONS - NEUFS</v>
      </c>
      <c r="N407" s="152">
        <f>+IF(OR($Q407=Parametres!$G$2,$Q407=Parametres!$G$3),I407,C407)</f>
        <v>-99540.24</v>
      </c>
      <c r="O407" s="1082">
        <f>+IF(OR($Q407=Parametres!$G$2,$Q407=Parametres!$G$3),J407,D407)</f>
        <v>-35845.86</v>
      </c>
      <c r="P407" s="152">
        <f>+IF(OR($Q407=Parametres!$G$2,$Q407=Parametres!$G$3),K407,E407)</f>
        <v>-135386.1</v>
      </c>
      <c r="Q407" s="151" t="str">
        <f t="shared" si="32"/>
        <v>8-Autres revenus</v>
      </c>
      <c r="R407" s="150" t="str">
        <f t="shared" si="33"/>
        <v>9161</v>
      </c>
      <c r="S407" s="151">
        <f t="shared" si="34"/>
        <v>0</v>
      </c>
      <c r="T407" s="153">
        <f>+VLOOKUP($L407,Data_Validation!$A:$D,1,0)</f>
        <v>9170</v>
      </c>
      <c r="U407" s="153" t="str">
        <f>+VLOOKUP($L407,Data_Validation!$A:$D,3,0)</f>
        <v>Véhicules neufs</v>
      </c>
      <c r="V407" s="153" t="str">
        <f>+VLOOKUP($L407,Data_Validation!$A:$D,4,0)</f>
        <v>Rev. Protections</v>
      </c>
      <c r="W407" s="153" t="str">
        <f>+VLOOKUP($L407,Data_Validation!$A:$E,5,0)</f>
        <v>$</v>
      </c>
      <c r="X407" s="153" t="str">
        <f>+VLOOKUP($L407,Data_Validation!$A:$F,6,0)</f>
        <v>Oui</v>
      </c>
    </row>
    <row r="408" spans="1:24" ht="15" customHeight="1">
      <c r="A408" s="1193" t="s">
        <v>2081</v>
      </c>
      <c r="B408" s="1194">
        <v>9171</v>
      </c>
      <c r="C408" s="1197">
        <v>-103671.45</v>
      </c>
      <c r="D408" s="1197">
        <v>-32075</v>
      </c>
      <c r="E408" s="1197">
        <v>-135746.45000000001</v>
      </c>
      <c r="F408" s="1193" t="s">
        <v>301</v>
      </c>
      <c r="G408" s="1193" t="s">
        <v>2078</v>
      </c>
      <c r="H408" s="1201"/>
      <c r="I408" s="1201"/>
      <c r="J408" s="1201"/>
      <c r="K408" s="1201"/>
      <c r="L408" s="150">
        <f t="shared" si="30"/>
        <v>9171</v>
      </c>
      <c r="M408" s="151" t="str">
        <f t="shared" si="31"/>
        <v>REV GARANTIE PROLONGEE USAGE</v>
      </c>
      <c r="N408" s="152">
        <f>+IF(OR($Q408=Parametres!$G$2,$Q408=Parametres!$G$3),I408,C408)</f>
        <v>-103671.45</v>
      </c>
      <c r="O408" s="1084">
        <f>+IF(OR($Q408=Parametres!$G$2,$Q408=Parametres!$G$3),J408,D408)</f>
        <v>-32075</v>
      </c>
      <c r="P408" s="152">
        <f>+IF(OR($Q408=Parametres!$G$2,$Q408=Parametres!$G$3),K408,E408)</f>
        <v>-135746.45000000001</v>
      </c>
      <c r="Q408" s="151" t="str">
        <f t="shared" si="32"/>
        <v>8-Autres revenus</v>
      </c>
      <c r="R408" s="150" t="str">
        <f t="shared" si="33"/>
        <v>9163</v>
      </c>
      <c r="S408" s="151">
        <f t="shared" si="34"/>
        <v>0</v>
      </c>
      <c r="T408" s="153">
        <f>+VLOOKUP($L408,Data_Validation!$A:$D,1,0)</f>
        <v>9171</v>
      </c>
      <c r="U408" s="153" t="str">
        <f>+VLOOKUP($L408,Data_Validation!$A:$D,3,0)</f>
        <v>Véhicules usagés</v>
      </c>
      <c r="V408" s="153" t="str">
        <f>+VLOOKUP($L408,Data_Validation!$A:$D,4,0)</f>
        <v>Rev. Protections</v>
      </c>
      <c r="W408" s="153" t="str">
        <f>+VLOOKUP($L408,Data_Validation!$A:$E,5,0)</f>
        <v>$</v>
      </c>
      <c r="X408" s="153" t="str">
        <f>+VLOOKUP($L408,Data_Validation!$A:$F,6,0)</f>
        <v>Oui</v>
      </c>
    </row>
    <row r="409" spans="1:24" ht="15" customHeight="1">
      <c r="A409" s="1193" t="s">
        <v>2089</v>
      </c>
      <c r="B409" s="1194">
        <v>9172</v>
      </c>
      <c r="C409" s="1197">
        <v>-60277.32</v>
      </c>
      <c r="D409" s="1197">
        <v>-16340.91</v>
      </c>
      <c r="E409" s="1197">
        <v>-76618.23</v>
      </c>
      <c r="F409" s="1193" t="s">
        <v>301</v>
      </c>
      <c r="G409" s="1193" t="s">
        <v>2078</v>
      </c>
      <c r="H409" s="1201"/>
      <c r="I409" s="1201"/>
      <c r="J409" s="1201"/>
      <c r="K409" s="1201"/>
      <c r="L409" s="150">
        <f t="shared" si="30"/>
        <v>9172</v>
      </c>
      <c r="M409" s="151" t="str">
        <f t="shared" si="31"/>
        <v>PROFIT PROTECTIONS - USAGES</v>
      </c>
      <c r="N409" s="152">
        <f>+IF(OR($Q409=Parametres!$G$2,$Q409=Parametres!$G$3),I409,C409)</f>
        <v>-60277.32</v>
      </c>
      <c r="O409" s="1084">
        <f>+IF(OR($Q409=Parametres!$G$2,$Q409=Parametres!$G$3),J409,D409)</f>
        <v>-16340.91</v>
      </c>
      <c r="P409" s="152">
        <f>+IF(OR($Q409=Parametres!$G$2,$Q409=Parametres!$G$3),K409,E409)</f>
        <v>-76618.23</v>
      </c>
      <c r="Q409" s="151" t="str">
        <f t="shared" si="32"/>
        <v>8-Autres revenus</v>
      </c>
      <c r="R409" s="150" t="str">
        <f t="shared" si="33"/>
        <v>9163</v>
      </c>
      <c r="S409" s="151">
        <f t="shared" si="34"/>
        <v>0</v>
      </c>
      <c r="T409" s="153">
        <f>+VLOOKUP($L409,Data_Validation!$A:$D,1,0)</f>
        <v>9172</v>
      </c>
      <c r="U409" s="153" t="str">
        <f>+VLOOKUP($L409,Data_Validation!$A:$D,3,0)</f>
        <v>Véhicules usagés</v>
      </c>
      <c r="V409" s="153" t="str">
        <f>+VLOOKUP($L409,Data_Validation!$A:$D,4,0)</f>
        <v>Rev. Protections</v>
      </c>
      <c r="W409" s="153" t="str">
        <f>+VLOOKUP($L409,Data_Validation!$A:$E,5,0)</f>
        <v>$</v>
      </c>
      <c r="X409" s="153" t="str">
        <f>+VLOOKUP($L409,Data_Validation!$A:$F,6,0)</f>
        <v>Oui</v>
      </c>
    </row>
    <row r="410" spans="1:24" ht="15" customHeight="1">
      <c r="A410" s="1193" t="s">
        <v>2073</v>
      </c>
      <c r="B410" s="1194">
        <v>9173</v>
      </c>
      <c r="C410" s="1197">
        <v>-83356</v>
      </c>
      <c r="D410" s="1197">
        <v>-28518</v>
      </c>
      <c r="E410" s="1197">
        <v>-111874</v>
      </c>
      <c r="F410" s="1193" t="s">
        <v>301</v>
      </c>
      <c r="G410" s="1193" t="s">
        <v>2056</v>
      </c>
      <c r="H410" s="1201"/>
      <c r="I410" s="1201"/>
      <c r="J410" s="1201"/>
      <c r="K410" s="1201"/>
      <c r="L410" s="150">
        <f t="shared" si="30"/>
        <v>9173</v>
      </c>
      <c r="M410" s="151" t="str">
        <f t="shared" si="31"/>
        <v>FRAIS ADMIN. VOLKS</v>
      </c>
      <c r="N410" s="152">
        <f>+IF(OR($Q410=Parametres!$G$2,$Q410=Parametres!$G$3),I410,C410)</f>
        <v>-83356</v>
      </c>
      <c r="O410" s="1084">
        <f>+IF(OR($Q410=Parametres!$G$2,$Q410=Parametres!$G$3),J410,D410)</f>
        <v>-28518</v>
      </c>
      <c r="P410" s="152">
        <f>+IF(OR($Q410=Parametres!$G$2,$Q410=Parametres!$G$3),K410,E410)</f>
        <v>-111874</v>
      </c>
      <c r="Q410" s="151" t="str">
        <f t="shared" si="32"/>
        <v>8-Autres revenus</v>
      </c>
      <c r="R410" s="150" t="str">
        <f t="shared" si="33"/>
        <v>9191</v>
      </c>
      <c r="S410" s="151">
        <f t="shared" si="34"/>
        <v>0</v>
      </c>
      <c r="T410" s="153">
        <f>+VLOOKUP($L410,Data_Validation!$A:$D,1,0)</f>
        <v>9173</v>
      </c>
      <c r="U410" s="153" t="str">
        <f>+VLOOKUP($L410,Data_Validation!$A:$D,3,0)</f>
        <v>Véhicules neufs</v>
      </c>
      <c r="V410" s="153" t="str">
        <f>+VLOOKUP($L410,Data_Validation!$A:$D,4,0)</f>
        <v>Frais administration</v>
      </c>
      <c r="W410" s="153" t="str">
        <f>+VLOOKUP($L410,Data_Validation!$A:$E,5,0)</f>
        <v>$</v>
      </c>
      <c r="X410" s="153">
        <f>+VLOOKUP($L410,Data_Validation!$A:$F,6,0)</f>
        <v>0</v>
      </c>
    </row>
    <row r="411" spans="1:24" ht="15.75" customHeight="1">
      <c r="A411" s="1193" t="s">
        <v>2055</v>
      </c>
      <c r="B411" s="1194">
        <v>9191</v>
      </c>
      <c r="C411" s="1197">
        <v>-125391.44</v>
      </c>
      <c r="D411" s="1197">
        <v>-16441.59</v>
      </c>
      <c r="E411" s="1197">
        <v>-141833.03</v>
      </c>
      <c r="F411" s="1193" t="s">
        <v>301</v>
      </c>
      <c r="G411" s="1193" t="s">
        <v>2056</v>
      </c>
      <c r="H411" s="1201"/>
      <c r="I411" s="1201"/>
      <c r="J411" s="1201"/>
      <c r="K411" s="1201"/>
      <c r="L411" s="150">
        <f t="shared" si="30"/>
        <v>9191</v>
      </c>
      <c r="M411" s="151" t="str">
        <f t="shared" si="31"/>
        <v>REVENUS DIVERS</v>
      </c>
      <c r="N411" s="152">
        <f>+IF(OR($Q411=Parametres!$G$2,$Q411=Parametres!$G$3),I411,C411)</f>
        <v>-125391.44</v>
      </c>
      <c r="O411" s="1082">
        <f>+IF(OR($Q411=Parametres!$G$2,$Q411=Parametres!$G$3),J411,D411)</f>
        <v>-16441.59</v>
      </c>
      <c r="P411" s="152">
        <f>+IF(OR($Q411=Parametres!$G$2,$Q411=Parametres!$G$3),K411,E411)</f>
        <v>-141833.03</v>
      </c>
      <c r="Q411" s="151" t="str">
        <f t="shared" si="32"/>
        <v>8-Autres revenus</v>
      </c>
      <c r="R411" s="150" t="str">
        <f t="shared" si="33"/>
        <v>9191</v>
      </c>
      <c r="S411" s="151">
        <f t="shared" si="34"/>
        <v>0</v>
      </c>
      <c r="T411" s="153">
        <f>+VLOOKUP($L411,Data_Validation!$A:$D,1,0)</f>
        <v>9191</v>
      </c>
      <c r="U411" s="153" t="str">
        <f>+VLOOKUP($L411,Data_Validation!$A:$D,3,0)</f>
        <v>TOTAL  DES  REVENUS  ET  DÉPENSES</v>
      </c>
      <c r="V411" s="153" t="str">
        <f>+VLOOKUP($L411,Data_Validation!$A:$D,4,0)</f>
        <v>Revenus autres</v>
      </c>
      <c r="W411" s="153" t="str">
        <f>+VLOOKUP($L411,Data_Validation!$A:$E,5,0)</f>
        <v>$</v>
      </c>
      <c r="X411" s="153">
        <f>+VLOOKUP($L411,Data_Validation!$A:$F,6,0)</f>
        <v>0</v>
      </c>
    </row>
    <row r="412" spans="1:24" ht="15" customHeight="1">
      <c r="A412" s="1193" t="s">
        <v>2641</v>
      </c>
      <c r="B412" s="1194">
        <v>9402</v>
      </c>
      <c r="C412" s="1197">
        <v>1200</v>
      </c>
      <c r="D412" s="1197">
        <v>300</v>
      </c>
      <c r="E412" s="1197">
        <v>1500</v>
      </c>
      <c r="F412" s="1193" t="s">
        <v>1232</v>
      </c>
      <c r="G412" s="1193" t="s">
        <v>2169</v>
      </c>
      <c r="H412" s="1201"/>
      <c r="I412" s="1201"/>
      <c r="J412" s="1201"/>
      <c r="K412" s="1201"/>
      <c r="L412" s="150">
        <f t="shared" si="30"/>
        <v>9402</v>
      </c>
      <c r="M412" s="151" t="str">
        <f t="shared" si="31"/>
        <v>DEPENSE D'INTERETS</v>
      </c>
      <c r="N412" s="152">
        <f>+IF(OR($Q412=Parametres!$G$2,$Q412=Parametres!$G$3),I412,C412)</f>
        <v>1200</v>
      </c>
      <c r="O412" s="1082">
        <f>+IF(OR($Q412=Parametres!$G$2,$Q412=Parametres!$G$3),J412,D412)</f>
        <v>300</v>
      </c>
      <c r="P412" s="152">
        <f>+IF(OR($Q412=Parametres!$G$2,$Q412=Parametres!$G$3),K412,E412)</f>
        <v>1500</v>
      </c>
      <c r="Q412" s="151" t="str">
        <f t="shared" si="32"/>
        <v>9-Autres déductions</v>
      </c>
      <c r="R412" s="150" t="str">
        <f t="shared" si="33"/>
        <v>9402</v>
      </c>
      <c r="S412" s="151">
        <f t="shared" si="34"/>
        <v>0</v>
      </c>
      <c r="T412" s="153">
        <f>+VLOOKUP($L412,Data_Validation!$A:$D,1,0)</f>
        <v>9402</v>
      </c>
      <c r="U412" s="153" t="str">
        <f>+VLOOKUP($L412,Data_Validation!$A:$D,3,0)</f>
        <v>TOTAL  DES  REVENUS  ET  DÉPENSES</v>
      </c>
      <c r="V412" s="153" t="str">
        <f>+VLOOKUP($L412,Data_Validation!$A:$D,4,0)</f>
        <v>Intérêts sur prêt</v>
      </c>
      <c r="W412" s="153" t="str">
        <f>+VLOOKUP($L412,Data_Validation!$A:$E,5,0)</f>
        <v>$</v>
      </c>
      <c r="X412" s="153">
        <f>+VLOOKUP($L412,Data_Validation!$A:$F,6,0)</f>
        <v>0</v>
      </c>
    </row>
    <row r="413" spans="1:24" ht="15" customHeight="1">
      <c r="A413" s="1193" t="s">
        <v>1386</v>
      </c>
      <c r="B413" s="1194">
        <v>9404</v>
      </c>
      <c r="C413" s="1197">
        <v>507.16</v>
      </c>
      <c r="D413" s="1197">
        <v>126.79</v>
      </c>
      <c r="E413" s="1197">
        <v>633.95000000000005</v>
      </c>
      <c r="F413" s="1193" t="s">
        <v>1232</v>
      </c>
      <c r="G413" s="1193" t="s">
        <v>2169</v>
      </c>
      <c r="H413" s="1201"/>
      <c r="I413" s="1201"/>
      <c r="J413" s="1201"/>
      <c r="K413" s="1201"/>
      <c r="L413" s="150">
        <f t="shared" si="30"/>
        <v>9404</v>
      </c>
      <c r="M413" s="151" t="str">
        <f t="shared" si="31"/>
        <v>INTERETS SUR PRET</v>
      </c>
      <c r="N413" s="152">
        <f>+IF(OR($Q413=Parametres!$G$2,$Q413=Parametres!$G$3),I413,C413)</f>
        <v>507.16</v>
      </c>
      <c r="O413" s="1082">
        <f>+IF(OR($Q413=Parametres!$G$2,$Q413=Parametres!$G$3),J413,D413)</f>
        <v>126.79</v>
      </c>
      <c r="P413" s="152">
        <f>+IF(OR($Q413=Parametres!$G$2,$Q413=Parametres!$G$3),K413,E413)</f>
        <v>633.95000000000005</v>
      </c>
      <c r="Q413" s="151" t="str">
        <f t="shared" si="32"/>
        <v>9-Autres déductions</v>
      </c>
      <c r="R413" s="150" t="str">
        <f t="shared" si="33"/>
        <v>9402</v>
      </c>
      <c r="S413" s="151">
        <f t="shared" si="34"/>
        <v>0</v>
      </c>
      <c r="T413" s="153">
        <f>+VLOOKUP($L413,Data_Validation!$A:$D,1,0)</f>
        <v>9404</v>
      </c>
      <c r="U413" s="153" t="str">
        <f>+VLOOKUP($L413,Data_Validation!$A:$D,3,0)</f>
        <v>TOTAL  DES  REVENUS  ET  DÉPENSES</v>
      </c>
      <c r="V413" s="153" t="str">
        <f>+VLOOKUP($L413,Data_Validation!$A:$D,4,0)</f>
        <v>Intérêts sur prêt</v>
      </c>
      <c r="W413" s="153" t="str">
        <f>+VLOOKUP($L413,Data_Validation!$A:$E,5,0)</f>
        <v>$</v>
      </c>
      <c r="X413" s="153">
        <f>+VLOOKUP($L413,Data_Validation!$A:$F,6,0)</f>
        <v>0</v>
      </c>
    </row>
    <row r="414" spans="1:24" ht="15" customHeight="1">
      <c r="A414" s="1193" t="s">
        <v>1382</v>
      </c>
      <c r="B414" s="1194">
        <v>9406</v>
      </c>
      <c r="C414" s="1197">
        <v>27219.94</v>
      </c>
      <c r="D414" s="1197">
        <v>9457.7000000000007</v>
      </c>
      <c r="E414" s="1197">
        <v>36677.64</v>
      </c>
      <c r="F414" s="1193" t="s">
        <v>1232</v>
      </c>
      <c r="G414" s="1193" t="s">
        <v>2169</v>
      </c>
      <c r="H414" s="1201"/>
      <c r="I414" s="1201"/>
      <c r="J414" s="1201"/>
      <c r="K414" s="1201"/>
      <c r="L414" s="150">
        <f t="shared" si="30"/>
        <v>9406</v>
      </c>
      <c r="M414" s="151" t="str">
        <f t="shared" si="31"/>
        <v>FRAIS BANCAIRES</v>
      </c>
      <c r="N414" s="152">
        <f>+IF(OR($Q414=Parametres!$G$2,$Q414=Parametres!$G$3),I414,C414)</f>
        <v>27219.94</v>
      </c>
      <c r="O414" s="1082">
        <f>+IF(OR($Q414=Parametres!$G$2,$Q414=Parametres!$G$3),J414,D414)</f>
        <v>9457.7000000000007</v>
      </c>
      <c r="P414" s="152">
        <f>+IF(OR($Q414=Parametres!$G$2,$Q414=Parametres!$G$3),K414,E414)</f>
        <v>36677.64</v>
      </c>
      <c r="Q414" s="151" t="str">
        <f t="shared" si="32"/>
        <v>9-Autres déductions</v>
      </c>
      <c r="R414" s="150" t="str">
        <f t="shared" si="33"/>
        <v>9402</v>
      </c>
      <c r="S414" s="151">
        <f t="shared" si="34"/>
        <v>0</v>
      </c>
      <c r="T414" s="153">
        <f>+VLOOKUP($L414,Data_Validation!$A:$D,1,0)</f>
        <v>9406</v>
      </c>
      <c r="U414" s="153" t="str">
        <f>+VLOOKUP($L414,Data_Validation!$A:$D,3,0)</f>
        <v>Véhicules neufs</v>
      </c>
      <c r="V414" s="153" t="str">
        <f>+VLOOKUP($L414,Data_Validation!$A:$D,4,0)</f>
        <v>Frais bancaires</v>
      </c>
      <c r="W414" s="153" t="str">
        <f>+VLOOKUP($L414,Data_Validation!$A:$E,5,0)</f>
        <v>$</v>
      </c>
      <c r="X414" s="153">
        <f>+VLOOKUP($L414,Data_Validation!$A:$F,6,0)</f>
        <v>0</v>
      </c>
    </row>
    <row r="415" spans="1:24" ht="15.75" customHeight="1">
      <c r="A415" s="1193" t="s">
        <v>2468</v>
      </c>
      <c r="B415" s="1194" t="s">
        <v>2469</v>
      </c>
      <c r="C415" s="1197"/>
      <c r="D415" s="1197"/>
      <c r="E415" s="1197"/>
      <c r="F415" s="1193" t="s">
        <v>4</v>
      </c>
      <c r="G415" s="1193" t="s">
        <v>2103</v>
      </c>
      <c r="H415" s="1196"/>
      <c r="I415" s="1196">
        <v>22</v>
      </c>
      <c r="J415" s="1196">
        <v>7</v>
      </c>
      <c r="K415" s="1196">
        <v>29</v>
      </c>
      <c r="L415" s="150" t="str">
        <f t="shared" si="30"/>
        <v>1402@</v>
      </c>
      <c r="M415" s="151" t="str">
        <f t="shared" si="31"/>
        <v># DE INVENTAIRE VEH.NEUFS VW</v>
      </c>
      <c r="N415" s="152">
        <f>+IF(OR($Q415=Parametres!$G$2,$Q415=Parametres!$G$3),I415,C415)</f>
        <v>22</v>
      </c>
      <c r="O415" s="1084">
        <f>+IF(OR($Q415=Parametres!$G$2,$Q415=Parametres!$G$3),J415,D415)</f>
        <v>7</v>
      </c>
      <c r="P415" s="152">
        <f>+IF(OR($Q415=Parametres!$G$2,$Q415=Parametres!$G$3),K415,E415)</f>
        <v>29</v>
      </c>
      <c r="Q415" s="151" t="str">
        <f t="shared" si="32"/>
        <v>10-Compte compteur</v>
      </c>
      <c r="R415" s="150" t="str">
        <f t="shared" si="33"/>
        <v>1402</v>
      </c>
      <c r="S415" s="151">
        <f t="shared" si="34"/>
        <v>0</v>
      </c>
      <c r="T415" s="153" t="str">
        <f>+VLOOKUP($L415,Data_Validation!$A:$D,1,0)</f>
        <v>1402@</v>
      </c>
      <c r="U415" s="153" t="str">
        <f>+VLOOKUP($L415,Data_Validation!$A:$D,3,0)</f>
        <v>Bilan</v>
      </c>
      <c r="V415" s="153">
        <f>+VLOOKUP($L415,Data_Validation!$A:$D,4,0)</f>
        <v>0</v>
      </c>
      <c r="W415" s="153" t="str">
        <f>+VLOOKUP($L415,Data_Validation!$A:$E,5,0)</f>
        <v>NB</v>
      </c>
      <c r="X415" s="153">
        <f>+VLOOKUP($L415,Data_Validation!$A:$F,6,0)</f>
        <v>0</v>
      </c>
    </row>
    <row r="416" spans="1:24" ht="15" customHeight="1">
      <c r="A416" s="1193" t="s">
        <v>2470</v>
      </c>
      <c r="B416" s="1194" t="s">
        <v>2471</v>
      </c>
      <c r="C416" s="1197"/>
      <c r="D416" s="1197"/>
      <c r="E416" s="1197"/>
      <c r="F416" s="1193" t="s">
        <v>4</v>
      </c>
      <c r="G416" s="1193" t="s">
        <v>2472</v>
      </c>
      <c r="H416" s="1196"/>
      <c r="I416" s="1196">
        <v>83</v>
      </c>
      <c r="J416" s="1196">
        <v>23</v>
      </c>
      <c r="K416" s="1196">
        <v>106</v>
      </c>
      <c r="L416" s="150" t="str">
        <f t="shared" si="30"/>
        <v>1416@</v>
      </c>
      <c r="M416" s="151" t="str">
        <f t="shared" si="31"/>
        <v># DE INV. VEH. USAGE VW</v>
      </c>
      <c r="N416" s="152">
        <f>+IF(OR($Q416=Parametres!$G$2,$Q416=Parametres!$G$3),I416,C416)</f>
        <v>83</v>
      </c>
      <c r="O416" s="1084">
        <f>+IF(OR($Q416=Parametres!$G$2,$Q416=Parametres!$G$3),J416,D416)</f>
        <v>23</v>
      </c>
      <c r="P416" s="1212">
        <f>+IF(OR($Q416=Parametres!$G$2,$Q416=Parametres!$G$3),K416,E416)</f>
        <v>106</v>
      </c>
      <c r="Q416" s="151" t="str">
        <f t="shared" si="32"/>
        <v>10-Compte compteur</v>
      </c>
      <c r="R416" s="150" t="str">
        <f t="shared" si="33"/>
        <v>1416</v>
      </c>
      <c r="S416" s="151">
        <f t="shared" si="34"/>
        <v>0</v>
      </c>
      <c r="T416" s="153" t="str">
        <f>+VLOOKUP($L416,Data_Validation!$A:$D,1,0)</f>
        <v>1416@</v>
      </c>
      <c r="U416" s="153" t="str">
        <f>+VLOOKUP($L416,Data_Validation!$A:$D,3,0)</f>
        <v>Bilan</v>
      </c>
      <c r="V416" s="153">
        <f>+VLOOKUP($L416,Data_Validation!$A:$D,4,0)</f>
        <v>0</v>
      </c>
      <c r="W416" s="153" t="str">
        <f>+VLOOKUP($L416,Data_Validation!$A:$E,5,0)</f>
        <v>NB</v>
      </c>
      <c r="X416" s="153">
        <f>+VLOOKUP($L416,Data_Validation!$A:$F,6,0)</f>
        <v>0</v>
      </c>
    </row>
    <row r="417" spans="1:24" ht="15" customHeight="1">
      <c r="A417" s="1193" t="s">
        <v>2473</v>
      </c>
      <c r="B417" s="1194" t="s">
        <v>2474</v>
      </c>
      <c r="C417" s="1197"/>
      <c r="D417" s="1197"/>
      <c r="E417" s="1197"/>
      <c r="F417" s="1193" t="s">
        <v>4</v>
      </c>
      <c r="G417" s="1193" t="s">
        <v>2019</v>
      </c>
      <c r="H417" s="948"/>
      <c r="I417" s="1388">
        <v>-82</v>
      </c>
      <c r="J417" s="1388">
        <v>-21</v>
      </c>
      <c r="K417" s="1388">
        <v>-103</v>
      </c>
      <c r="L417" s="150" t="str">
        <f t="shared" si="30"/>
        <v>4100@</v>
      </c>
      <c r="M417" s="151" t="str">
        <f t="shared" si="31"/>
        <v>RESERVE</v>
      </c>
      <c r="N417" s="152">
        <f>+IF(OR($Q417=Parametres!$G$2,$Q417=Parametres!$G$3),I417,C417)</f>
        <v>-82</v>
      </c>
      <c r="O417" s="1084">
        <f>+IF(OR($Q417=Parametres!$G$2,$Q417=Parametres!$G$3),J417,D417)</f>
        <v>-21</v>
      </c>
      <c r="P417" s="152">
        <f>+IF(OR($Q417=Parametres!$G$2,$Q417=Parametres!$G$3),K417,E417)</f>
        <v>-103</v>
      </c>
      <c r="Q417" s="151" t="str">
        <f t="shared" si="32"/>
        <v>10-Compte compteur</v>
      </c>
      <c r="R417" s="150" t="str">
        <f t="shared" si="33"/>
        <v>4100</v>
      </c>
      <c r="S417" s="151">
        <f t="shared" si="34"/>
        <v>0</v>
      </c>
      <c r="T417" s="153" t="str">
        <f>+VLOOKUP($L417,Data_Validation!$A:$D,1,0)</f>
        <v>4100@</v>
      </c>
      <c r="U417" s="153" t="str">
        <f>+VLOOKUP($L417,Data_Validation!$A:$D,3,0)</f>
        <v>Véhicules neufs</v>
      </c>
      <c r="V417" s="153" t="str">
        <f>+VLOOKUP($L417,Data_Validation!$A:$D,4,0)</f>
        <v>Rachat bail</v>
      </c>
      <c r="W417" s="153" t="str">
        <f>+VLOOKUP($L417,Data_Validation!$A:$E,5,0)</f>
        <v>NB</v>
      </c>
      <c r="X417" s="153">
        <f>+VLOOKUP($L417,Data_Validation!$A:$F,6,0)</f>
        <v>0</v>
      </c>
    </row>
    <row r="418" spans="1:24" ht="15" customHeight="1">
      <c r="A418" s="1193" t="s">
        <v>2481</v>
      </c>
      <c r="B418" s="1194" t="s">
        <v>2482</v>
      </c>
      <c r="C418" s="1197"/>
      <c r="D418" s="1197"/>
      <c r="E418" s="1197"/>
      <c r="F418" s="1193" t="s">
        <v>4</v>
      </c>
      <c r="G418" s="1193" t="s">
        <v>2427</v>
      </c>
      <c r="H418" s="987"/>
      <c r="I418" s="1389">
        <v>-6</v>
      </c>
      <c r="J418" s="1389">
        <v>-1</v>
      </c>
      <c r="K418" s="1389">
        <v>-7</v>
      </c>
      <c r="L418" s="150" t="str">
        <f t="shared" si="30"/>
        <v>4109@</v>
      </c>
      <c r="M418" s="151" t="str">
        <f t="shared" si="31"/>
        <v># DE VENTE - GOLF R</v>
      </c>
      <c r="N418" s="152">
        <f>+IF(OR($Q418=Parametres!$G$2,$Q418=Parametres!$G$3),I418,C418)</f>
        <v>-6</v>
      </c>
      <c r="O418" s="1084">
        <f>+IF(OR($Q418=Parametres!$G$2,$Q418=Parametres!$G$3),J418,D418)</f>
        <v>-1</v>
      </c>
      <c r="P418" s="152">
        <f>+IF(OR($Q418=Parametres!$G$2,$Q418=Parametres!$G$3),K418,E418)</f>
        <v>-7</v>
      </c>
      <c r="Q418" s="151" t="str">
        <f t="shared" si="32"/>
        <v>10-Compte compteur</v>
      </c>
      <c r="R418" s="150" t="str">
        <f t="shared" si="33"/>
        <v>4109</v>
      </c>
      <c r="S418" s="151">
        <f t="shared" si="34"/>
        <v>0</v>
      </c>
      <c r="T418" s="153" t="str">
        <f>+VLOOKUP($L418,Data_Validation!$A:$D,1,0)</f>
        <v>4109@</v>
      </c>
      <c r="U418" s="153" t="str">
        <f>+VLOOKUP($L418,Data_Validation!$A:$D,3,0)</f>
        <v>Véhicules neufs</v>
      </c>
      <c r="V418" s="153" t="str">
        <f>+VLOOKUP($L418,Data_Validation!$A:$D,4,0)</f>
        <v>Autos détail</v>
      </c>
      <c r="W418" s="153" t="str">
        <f>+VLOOKUP($L418,Data_Validation!$A:$E,5,0)</f>
        <v>NB</v>
      </c>
      <c r="X418" s="153">
        <f>+VLOOKUP($L418,Data_Validation!$A:$F,6,0)</f>
        <v>0</v>
      </c>
    </row>
    <row r="419" spans="1:24" ht="15.75" customHeight="1">
      <c r="A419" s="1193" t="s">
        <v>2483</v>
      </c>
      <c r="B419" s="1194" t="s">
        <v>2484</v>
      </c>
      <c r="C419" s="1197"/>
      <c r="D419" s="1197"/>
      <c r="E419" s="1197"/>
      <c r="F419" s="1193" t="s">
        <v>4</v>
      </c>
      <c r="G419" s="1193" t="s">
        <v>2007</v>
      </c>
      <c r="H419" s="1201"/>
      <c r="I419" s="1390">
        <v>-6</v>
      </c>
      <c r="J419" s="1390">
        <v>-3</v>
      </c>
      <c r="K419" s="1390">
        <v>-9</v>
      </c>
      <c r="L419" s="150" t="str">
        <f t="shared" si="30"/>
        <v>4111@</v>
      </c>
      <c r="M419" s="151" t="str">
        <f t="shared" si="31"/>
        <v>UNITES VENDUES - JETTA</v>
      </c>
      <c r="N419" s="152">
        <f>+IF(OR($Q419=Parametres!$G$2,$Q419=Parametres!$G$3),I419,C419)</f>
        <v>-6</v>
      </c>
      <c r="O419" s="1084">
        <f>+IF(OR($Q419=Parametres!$G$2,$Q419=Parametres!$G$3),J419,D419)</f>
        <v>-3</v>
      </c>
      <c r="P419" s="152">
        <f>+IF(OR($Q419=Parametres!$G$2,$Q419=Parametres!$G$3),K419,E419)</f>
        <v>-9</v>
      </c>
      <c r="Q419" s="151" t="str">
        <f t="shared" si="32"/>
        <v>10-Compte compteur</v>
      </c>
      <c r="R419" s="150" t="str">
        <f t="shared" si="33"/>
        <v>4111</v>
      </c>
      <c r="S419" s="151">
        <f t="shared" si="34"/>
        <v>0</v>
      </c>
      <c r="T419" s="153" t="str">
        <f>+VLOOKUP($L419,Data_Validation!$A:$D,1,0)</f>
        <v>4111@</v>
      </c>
      <c r="U419" s="153" t="str">
        <f>+VLOOKUP($L419,Data_Validation!$A:$D,3,0)</f>
        <v>Véhicules neufs</v>
      </c>
      <c r="V419" s="153" t="str">
        <f>+VLOOKUP($L419,Data_Validation!$A:$D,4,0)</f>
        <v>Autos détail</v>
      </c>
      <c r="W419" s="153" t="str">
        <f>+VLOOKUP($L419,Data_Validation!$A:$E,5,0)</f>
        <v>NB</v>
      </c>
      <c r="X419" s="153">
        <f>+VLOOKUP($L419,Data_Validation!$A:$F,6,0)</f>
        <v>0</v>
      </c>
    </row>
    <row r="420" spans="1:24" ht="15.75" customHeight="1">
      <c r="A420" s="1193" t="s">
        <v>2896</v>
      </c>
      <c r="B420" s="1194" t="s">
        <v>2897</v>
      </c>
      <c r="C420" s="1197"/>
      <c r="D420" s="1197"/>
      <c r="E420" s="1197"/>
      <c r="F420" s="1193" t="s">
        <v>4</v>
      </c>
      <c r="G420" s="1193" t="s">
        <v>339</v>
      </c>
      <c r="H420" s="987"/>
      <c r="I420" s="1389">
        <v>-33</v>
      </c>
      <c r="J420" s="1389">
        <v>-9</v>
      </c>
      <c r="K420" s="1389">
        <v>-42</v>
      </c>
      <c r="L420" s="150" t="str">
        <f t="shared" si="30"/>
        <v>4118@</v>
      </c>
      <c r="M420" s="151" t="str">
        <f t="shared" si="31"/>
        <v>TAOS</v>
      </c>
      <c r="N420" s="152">
        <f>+IF(OR($Q420=Parametres!$G$2,$Q420=Parametres!$G$3),I420,C420)</f>
        <v>-33</v>
      </c>
      <c r="O420" s="1084">
        <f>+IF(OR($Q420=Parametres!$G$2,$Q420=Parametres!$G$3),J420,D420)</f>
        <v>-9</v>
      </c>
      <c r="P420" s="152">
        <f>+IF(OR($Q420=Parametres!$G$2,$Q420=Parametres!$G$3),K420,E420)</f>
        <v>-42</v>
      </c>
      <c r="Q420" s="151" t="str">
        <f t="shared" si="32"/>
        <v>10-Compte compteur</v>
      </c>
      <c r="R420" s="150" t="str">
        <f t="shared" si="33"/>
        <v>411</v>
      </c>
      <c r="S420" s="151">
        <f t="shared" si="34"/>
        <v>0</v>
      </c>
      <c r="T420" s="153" t="str">
        <f>+VLOOKUP($L420,Data_Validation!$A:$D,1,0)</f>
        <v>4118@</v>
      </c>
      <c r="U420" s="153" t="str">
        <f>+VLOOKUP($L420,Data_Validation!$A:$D,3,0)</f>
        <v>Véhicules neufs</v>
      </c>
      <c r="V420" s="153" t="str">
        <f>+VLOOKUP($L420,Data_Validation!$A:$D,4,0)</f>
        <v>Camions détail</v>
      </c>
      <c r="W420" s="153" t="str">
        <f>+VLOOKUP($L420,Data_Validation!$A:$E,5,0)</f>
        <v>NB</v>
      </c>
      <c r="X420" s="153">
        <f>+VLOOKUP($L420,Data_Validation!$A:$F,6,0)</f>
        <v>0</v>
      </c>
    </row>
    <row r="421" spans="1:24" ht="15" customHeight="1">
      <c r="A421" s="1193" t="s">
        <v>2489</v>
      </c>
      <c r="B421" s="1194" t="s">
        <v>2490</v>
      </c>
      <c r="C421" s="1197"/>
      <c r="D421" s="1197"/>
      <c r="E421" s="1197"/>
      <c r="F421" s="1193" t="s">
        <v>4</v>
      </c>
      <c r="G421" s="1193" t="s">
        <v>1996</v>
      </c>
      <c r="H421" s="948"/>
      <c r="I421" s="1388">
        <v>-17</v>
      </c>
      <c r="J421" s="1388">
        <v>-9</v>
      </c>
      <c r="K421" s="1388">
        <v>-26</v>
      </c>
      <c r="L421" s="150" t="str">
        <f t="shared" si="30"/>
        <v>4119@</v>
      </c>
      <c r="M421" s="151" t="str">
        <f t="shared" si="31"/>
        <v># DE VTE - ATLAS</v>
      </c>
      <c r="N421" s="152">
        <f>+IF(OR($Q421=Parametres!$G$2,$Q421=Parametres!$G$3),I421,C421)</f>
        <v>-17</v>
      </c>
      <c r="O421" s="1084">
        <f>+IF(OR($Q421=Parametres!$G$2,$Q421=Parametres!$G$3),J421,D421)</f>
        <v>-9</v>
      </c>
      <c r="P421" s="152">
        <f>+IF(OR($Q421=Parametres!$G$2,$Q421=Parametres!$G$3),K421,E421)</f>
        <v>-26</v>
      </c>
      <c r="Q421" s="151" t="str">
        <f t="shared" si="32"/>
        <v>10-Compte compteur</v>
      </c>
      <c r="R421" s="150" t="str">
        <f t="shared" si="33"/>
        <v>4119</v>
      </c>
      <c r="S421" s="151">
        <f t="shared" si="34"/>
        <v>0</v>
      </c>
      <c r="T421" s="153" t="str">
        <f>+VLOOKUP($L421,Data_Validation!$A:$D,1,0)</f>
        <v>4119@</v>
      </c>
      <c r="U421" s="153" t="str">
        <f>+VLOOKUP($L421,Data_Validation!$A:$D,3,0)</f>
        <v>Véhicules neufs</v>
      </c>
      <c r="V421" s="153" t="str">
        <f>+VLOOKUP($L421,Data_Validation!$A:$D,4,0)</f>
        <v>Camions détail</v>
      </c>
      <c r="W421" s="153" t="str">
        <f>+VLOOKUP($L421,Data_Validation!$A:$E,5,0)</f>
        <v>NB</v>
      </c>
      <c r="X421" s="153">
        <f>+VLOOKUP($L421,Data_Validation!$A:$F,6,0)</f>
        <v>0</v>
      </c>
    </row>
    <row r="422" spans="1:24" ht="15" customHeight="1">
      <c r="A422" s="1193" t="s">
        <v>2883</v>
      </c>
      <c r="B422" s="1194" t="s">
        <v>2884</v>
      </c>
      <c r="C422" s="1197"/>
      <c r="D422" s="1197"/>
      <c r="E422" s="1197"/>
      <c r="F422" s="1193" t="s">
        <v>4</v>
      </c>
      <c r="G422" s="1193" t="s">
        <v>3258</v>
      </c>
      <c r="H422" s="1196"/>
      <c r="I422" s="1392">
        <v>-2</v>
      </c>
      <c r="J422" s="1392">
        <v>-1</v>
      </c>
      <c r="K422" s="1392">
        <v>-3</v>
      </c>
      <c r="L422" s="150" t="str">
        <f t="shared" si="30"/>
        <v>4121@</v>
      </c>
      <c r="M422" s="151" t="str">
        <f t="shared" si="31"/>
        <v># DE VTE - ATLAS CROSS SPORT</v>
      </c>
      <c r="N422" s="152">
        <f>+IF(OR($Q422=Parametres!$G$2,$Q422=Parametres!$G$3),I422,C422)</f>
        <v>-2</v>
      </c>
      <c r="O422" s="1084">
        <f>+IF(OR($Q422=Parametres!$G$2,$Q422=Parametres!$G$3),J422,D422)</f>
        <v>-1</v>
      </c>
      <c r="P422" s="152">
        <f>+IF(OR($Q422=Parametres!$G$2,$Q422=Parametres!$G$3),K422,E422)</f>
        <v>-3</v>
      </c>
      <c r="Q422" s="151" t="str">
        <f t="shared" si="32"/>
        <v>10-Compte compteur</v>
      </c>
      <c r="R422" s="150" t="str">
        <f t="shared" si="33"/>
        <v>4121</v>
      </c>
      <c r="S422" s="151">
        <f t="shared" si="34"/>
        <v>0</v>
      </c>
      <c r="T422" s="153" t="str">
        <f>+VLOOKUP($L422,Data_Validation!$A:$D,1,0)</f>
        <v>4121@</v>
      </c>
      <c r="U422" s="153" t="str">
        <f>+VLOOKUP($L422,Data_Validation!$A:$D,3,0)</f>
        <v>Véhicules neufs</v>
      </c>
      <c r="V422" s="153" t="str">
        <f>+VLOOKUP($L422,Data_Validation!$A:$D,4,0)</f>
        <v>Camions détail</v>
      </c>
      <c r="W422" s="153" t="str">
        <f>+VLOOKUP($L422,Data_Validation!$A:$E,5,0)</f>
        <v>NB</v>
      </c>
      <c r="X422" s="153">
        <f>+VLOOKUP($L422,Data_Validation!$A:$F,6,0)</f>
        <v>0</v>
      </c>
    </row>
    <row r="423" spans="1:24" ht="15" customHeight="1">
      <c r="A423" s="1193" t="s">
        <v>2491</v>
      </c>
      <c r="B423" s="1194" t="s">
        <v>2492</v>
      </c>
      <c r="C423" s="1197"/>
      <c r="D423" s="1197"/>
      <c r="E423" s="1197"/>
      <c r="F423" s="1193" t="s">
        <v>4</v>
      </c>
      <c r="G423" s="1193" t="s">
        <v>2024</v>
      </c>
      <c r="H423" s="1196"/>
      <c r="I423" s="1392">
        <v>-4</v>
      </c>
      <c r="J423" s="1392">
        <v>-2</v>
      </c>
      <c r="K423" s="1392">
        <v>-6</v>
      </c>
      <c r="L423" s="150" t="str">
        <f t="shared" si="30"/>
        <v>4127@</v>
      </c>
      <c r="M423" s="151" t="str">
        <f t="shared" si="31"/>
        <v># DE VENTE - GOLF GTI</v>
      </c>
      <c r="N423" s="152">
        <f>+IF(OR($Q423=Parametres!$G$2,$Q423=Parametres!$G$3),I423,C423)</f>
        <v>-4</v>
      </c>
      <c r="O423" s="1084">
        <f>+IF(OR($Q423=Parametres!$G$2,$Q423=Parametres!$G$3),J423,D423)</f>
        <v>-2</v>
      </c>
      <c r="P423" s="152">
        <f>+IF(OR($Q423=Parametres!$G$2,$Q423=Parametres!$G$3),K423,E423)</f>
        <v>-6</v>
      </c>
      <c r="Q423" s="151" t="str">
        <f t="shared" si="32"/>
        <v>10-Compte compteur</v>
      </c>
      <c r="R423" s="150" t="str">
        <f t="shared" si="33"/>
        <v>4127</v>
      </c>
      <c r="S423" s="151">
        <f t="shared" si="34"/>
        <v>0</v>
      </c>
      <c r="T423" s="153" t="str">
        <f>+VLOOKUP($L423,Data_Validation!$A:$D,1,0)</f>
        <v>4127@</v>
      </c>
      <c r="U423" s="153" t="str">
        <f>+VLOOKUP($L423,Data_Validation!$A:$D,3,0)</f>
        <v>Véhicules neufs</v>
      </c>
      <c r="V423" s="153" t="str">
        <f>+VLOOKUP($L423,Data_Validation!$A:$D,4,0)</f>
        <v>Autos détail</v>
      </c>
      <c r="W423" s="153" t="str">
        <f>+VLOOKUP($L423,Data_Validation!$A:$E,5,0)</f>
        <v>NB</v>
      </c>
      <c r="X423" s="153">
        <f>+VLOOKUP($L423,Data_Validation!$A:$F,6,0)</f>
        <v>0</v>
      </c>
    </row>
    <row r="424" spans="1:24" ht="15" customHeight="1">
      <c r="A424" s="1193" t="s">
        <v>2493</v>
      </c>
      <c r="B424" s="1194" t="s">
        <v>2494</v>
      </c>
      <c r="C424" s="1197"/>
      <c r="D424" s="1197"/>
      <c r="E424" s="1197"/>
      <c r="F424" s="1193" t="s">
        <v>4</v>
      </c>
      <c r="G424" s="1193" t="s">
        <v>1992</v>
      </c>
      <c r="H424" s="1196"/>
      <c r="I424" s="1392">
        <v>-46</v>
      </c>
      <c r="J424" s="1392">
        <v>-17</v>
      </c>
      <c r="K424" s="1392">
        <v>-63</v>
      </c>
      <c r="L424" s="150" t="str">
        <f t="shared" si="30"/>
        <v>4131@</v>
      </c>
      <c r="M424" s="151" t="str">
        <f t="shared" si="31"/>
        <v># DE VTE - TIGUAN LWB</v>
      </c>
      <c r="N424" s="152">
        <f>+IF(OR($Q424=Parametres!$G$2,$Q424=Parametres!$G$3),I424,C424)</f>
        <v>-46</v>
      </c>
      <c r="O424" s="1084">
        <f>+IF(OR($Q424=Parametres!$G$2,$Q424=Parametres!$G$3),J424,D424)</f>
        <v>-17</v>
      </c>
      <c r="P424" s="152">
        <f>+IF(OR($Q424=Parametres!$G$2,$Q424=Parametres!$G$3),K424,E424)</f>
        <v>-63</v>
      </c>
      <c r="Q424" s="151" t="str">
        <f t="shared" si="32"/>
        <v>10-Compte compteur</v>
      </c>
      <c r="R424" s="150" t="str">
        <f t="shared" si="33"/>
        <v>4131</v>
      </c>
      <c r="S424" s="151">
        <f t="shared" si="34"/>
        <v>0</v>
      </c>
      <c r="T424" s="153" t="str">
        <f>+VLOOKUP($L424,Data_Validation!$A:$D,1,0)</f>
        <v>4131@</v>
      </c>
      <c r="U424" s="153" t="str">
        <f>+VLOOKUP($L424,Data_Validation!$A:$D,3,0)</f>
        <v>Véhicules neufs</v>
      </c>
      <c r="V424" s="153" t="str">
        <f>+VLOOKUP($L424,Data_Validation!$A:$D,4,0)</f>
        <v>Camions détail</v>
      </c>
      <c r="W424" s="153" t="str">
        <f>+VLOOKUP($L424,Data_Validation!$A:$E,5,0)</f>
        <v>NB</v>
      </c>
      <c r="X424" s="153">
        <f>+VLOOKUP($L424,Data_Validation!$A:$F,6,0)</f>
        <v>0</v>
      </c>
    </row>
    <row r="425" spans="1:24" ht="15.75" customHeight="1">
      <c r="A425" s="1193" t="s">
        <v>2498</v>
      </c>
      <c r="B425" s="1194" t="s">
        <v>2499</v>
      </c>
      <c r="C425" s="1197"/>
      <c r="D425" s="1197"/>
      <c r="E425" s="1197"/>
      <c r="F425" s="1193" t="s">
        <v>4</v>
      </c>
      <c r="G425" s="1193" t="s">
        <v>2433</v>
      </c>
      <c r="H425" s="1196"/>
      <c r="I425" s="1392">
        <v>-2</v>
      </c>
      <c r="J425" s="1392" t="s">
        <v>3278</v>
      </c>
      <c r="K425" s="1392">
        <v>-2</v>
      </c>
      <c r="L425" s="150" t="str">
        <f t="shared" si="30"/>
        <v>4137@</v>
      </c>
      <c r="M425" s="151" t="str">
        <f t="shared" si="31"/>
        <v>VW FLOTTE/VENTE ENTR/EMPLOYE/VEH DEMONST</v>
      </c>
      <c r="N425" s="152">
        <f>+IF(OR($Q425=Parametres!$G$2,$Q425=Parametres!$G$3),I425,C425)</f>
        <v>-2</v>
      </c>
      <c r="O425" s="1084" t="str">
        <f>+IF(OR($Q425=Parametres!$G$2,$Q425=Parametres!$G$3),J425,D425)</f>
        <v xml:space="preserve">                                              -   </v>
      </c>
      <c r="P425" s="152">
        <f>+IF(OR($Q425=Parametres!$G$2,$Q425=Parametres!$G$3),K425,E425)</f>
        <v>-2</v>
      </c>
      <c r="Q425" s="151" t="str">
        <f t="shared" si="32"/>
        <v>10-Compte compteur</v>
      </c>
      <c r="R425" s="150" t="str">
        <f t="shared" si="33"/>
        <v>4137</v>
      </c>
      <c r="S425" s="151">
        <f t="shared" si="34"/>
        <v>0</v>
      </c>
      <c r="T425" s="153" t="str">
        <f>+VLOOKUP($L425,Data_Validation!$A:$D,1,0)</f>
        <v>4137@</v>
      </c>
      <c r="U425" s="153" t="str">
        <f>+VLOOKUP($L425,Data_Validation!$A:$D,3,0)</f>
        <v>Véhicules neufs</v>
      </c>
      <c r="V425" s="153" t="str">
        <f>+VLOOKUP($L425,Data_Validation!$A:$D,4,0)</f>
        <v>Flottes</v>
      </c>
      <c r="W425" s="153" t="str">
        <f>+VLOOKUP($L425,Data_Validation!$A:$E,5,0)</f>
        <v>NB</v>
      </c>
      <c r="X425" s="153">
        <f>+VLOOKUP($L425,Data_Validation!$A:$F,6,0)</f>
        <v>0</v>
      </c>
    </row>
    <row r="426" spans="1:24" ht="15" customHeight="1">
      <c r="A426" s="1193" t="s">
        <v>2500</v>
      </c>
      <c r="B426" s="1194" t="s">
        <v>2501</v>
      </c>
      <c r="C426" s="1197"/>
      <c r="D426" s="1197"/>
      <c r="E426" s="1197"/>
      <c r="F426" s="1193" t="s">
        <v>4</v>
      </c>
      <c r="G426" s="1193" t="s">
        <v>1998</v>
      </c>
      <c r="H426" s="1196"/>
      <c r="I426" s="1392">
        <v>-18</v>
      </c>
      <c r="J426" s="1392">
        <v>-3</v>
      </c>
      <c r="K426" s="1392">
        <v>-21</v>
      </c>
      <c r="L426" s="150" t="str">
        <f t="shared" si="30"/>
        <v>4139@</v>
      </c>
      <c r="M426" s="151" t="str">
        <f t="shared" si="31"/>
        <v>VENTES A PARK AVENUE LOCATION</v>
      </c>
      <c r="N426" s="152">
        <f>+IF(OR($Q426=Parametres!$G$2,$Q426=Parametres!$G$3),I426,C426)</f>
        <v>-18</v>
      </c>
      <c r="O426" s="1084">
        <f>+IF(OR($Q426=Parametres!$G$2,$Q426=Parametres!$G$3),J426,D426)</f>
        <v>-3</v>
      </c>
      <c r="P426" s="152">
        <f>+IF(OR($Q426=Parametres!$G$2,$Q426=Parametres!$G$3),K426,E426)</f>
        <v>-21</v>
      </c>
      <c r="Q426" s="151" t="str">
        <f t="shared" si="32"/>
        <v>10-Compte compteur</v>
      </c>
      <c r="R426" s="150" t="str">
        <f t="shared" si="33"/>
        <v>4139</v>
      </c>
      <c r="S426" s="151">
        <f t="shared" si="34"/>
        <v>0</v>
      </c>
      <c r="T426" s="153" t="str">
        <f>+VLOOKUP($L426,Data_Validation!$A:$D,1,0)</f>
        <v>4139@</v>
      </c>
      <c r="U426" s="153" t="str">
        <f>+VLOOKUP($L426,Data_Validation!$A:$D,3,0)</f>
        <v>Véhicules neufs</v>
      </c>
      <c r="V426" s="153" t="str">
        <f>+VLOOKUP($L426,Data_Validation!$A:$D,4,0)</f>
        <v>Ex-Démos et courtoisies</v>
      </c>
      <c r="W426" s="153" t="str">
        <f>+VLOOKUP($L426,Data_Validation!$A:$E,5,0)</f>
        <v>NB</v>
      </c>
      <c r="X426" s="153">
        <f>+VLOOKUP($L426,Data_Validation!$A:$F,6,0)</f>
        <v>0</v>
      </c>
    </row>
    <row r="427" spans="1:24" ht="15" customHeight="1">
      <c r="A427" s="1193" t="s">
        <v>3358</v>
      </c>
      <c r="B427" s="1194" t="s">
        <v>3359</v>
      </c>
      <c r="C427" s="1197"/>
      <c r="D427" s="1197"/>
      <c r="E427" s="1197"/>
      <c r="F427" s="1193" t="s">
        <v>4</v>
      </c>
      <c r="G427" s="1193" t="s">
        <v>3357</v>
      </c>
      <c r="H427" s="1196"/>
      <c r="I427" s="1392">
        <v>-1</v>
      </c>
      <c r="J427" s="1392">
        <v>-1</v>
      </c>
      <c r="K427" s="1392">
        <v>-2</v>
      </c>
      <c r="L427" s="150" t="str">
        <f t="shared" si="30"/>
        <v>4144@</v>
      </c>
      <c r="M427" s="151" t="str">
        <f t="shared" si="31"/>
        <v># OF VTES -JETTA GLI</v>
      </c>
      <c r="N427" s="152">
        <f>+IF(OR($Q427=Parametres!$G$2,$Q427=Parametres!$G$3),I427,C427)</f>
        <v>-1</v>
      </c>
      <c r="O427" s="1084">
        <f>+IF(OR($Q427=Parametres!$G$2,$Q427=Parametres!$G$3),J427,D427)</f>
        <v>-1</v>
      </c>
      <c r="P427" s="152">
        <f>+IF(OR($Q427=Parametres!$G$2,$Q427=Parametres!$G$3),K427,E427)</f>
        <v>-2</v>
      </c>
      <c r="Q427" s="151" t="str">
        <f t="shared" si="32"/>
        <v>10-Compte compteur</v>
      </c>
      <c r="R427" s="150" t="str">
        <f t="shared" si="33"/>
        <v>414</v>
      </c>
      <c r="S427" s="151">
        <f t="shared" si="34"/>
        <v>0</v>
      </c>
      <c r="T427" s="153" t="str">
        <f>+VLOOKUP($L427,Data_Validation!$A:$D,1,0)</f>
        <v>4144@</v>
      </c>
      <c r="U427" s="153" t="str">
        <f>+VLOOKUP($L427,Data_Validation!$A:$D,3,0)</f>
        <v>Véhicules neufs</v>
      </c>
      <c r="V427" s="153" t="str">
        <f>+VLOOKUP($L427,Data_Validation!$A:$D,4,0)</f>
        <v>Autos détail</v>
      </c>
      <c r="W427" s="153" t="str">
        <f>+VLOOKUP($L427,Data_Validation!$A:$E,5,0)</f>
        <v>NB</v>
      </c>
      <c r="X427" s="153">
        <f>+VLOOKUP($L427,Data_Validation!$A:$F,6,0)</f>
        <v>0</v>
      </c>
    </row>
    <row r="428" spans="1:24" ht="15" customHeight="1">
      <c r="A428" s="1193" t="s">
        <v>2502</v>
      </c>
      <c r="B428" s="1194" t="s">
        <v>2503</v>
      </c>
      <c r="C428" s="1197"/>
      <c r="D428" s="1197"/>
      <c r="E428" s="1197"/>
      <c r="F428" s="1193" t="s">
        <v>4</v>
      </c>
      <c r="G428" s="1193" t="s">
        <v>1994</v>
      </c>
      <c r="H428" s="1196"/>
      <c r="I428" s="1196">
        <v>-119</v>
      </c>
      <c r="J428" s="1196">
        <v>-30</v>
      </c>
      <c r="K428" s="1196">
        <v>-149</v>
      </c>
      <c r="L428" s="150" t="str">
        <f t="shared" si="30"/>
        <v>4201@</v>
      </c>
      <c r="M428" s="151" t="str">
        <f t="shared" si="31"/>
        <v># DE VTE - VEH.USAGE VW DET.CERT.</v>
      </c>
      <c r="N428" s="152">
        <f>+IF(OR($Q428=Parametres!$G$2,$Q428=Parametres!$G$3),I428,C428)</f>
        <v>-119</v>
      </c>
      <c r="O428" s="1084">
        <f>+IF(OR($Q428=Parametres!$G$2,$Q428=Parametres!$G$3),J428,D428)</f>
        <v>-30</v>
      </c>
      <c r="P428" s="152">
        <f>+IF(OR($Q428=Parametres!$G$2,$Q428=Parametres!$G$3),K428,E428)</f>
        <v>-149</v>
      </c>
      <c r="Q428" s="151" t="str">
        <f t="shared" si="32"/>
        <v>10-Compte compteur</v>
      </c>
      <c r="R428" s="150" t="str">
        <f t="shared" si="33"/>
        <v>4201</v>
      </c>
      <c r="S428" s="151">
        <f t="shared" si="34"/>
        <v>0</v>
      </c>
      <c r="T428" s="153" t="str">
        <f>+VLOOKUP($L428,Data_Validation!$A:$D,1,0)</f>
        <v>4201@</v>
      </c>
      <c r="U428" s="153" t="str">
        <f>+VLOOKUP($L428,Data_Validation!$A:$D,3,0)</f>
        <v>Véhicules usagés</v>
      </c>
      <c r="V428" s="153" t="str">
        <f>+VLOOKUP($L428,Data_Validation!$A:$D,4,0)</f>
        <v>Certifié</v>
      </c>
      <c r="W428" s="153" t="str">
        <f>+VLOOKUP($L428,Data_Validation!$A:$E,5,0)</f>
        <v>NB</v>
      </c>
      <c r="X428" s="153">
        <f>+VLOOKUP($L428,Data_Validation!$A:$F,6,0)</f>
        <v>0</v>
      </c>
    </row>
    <row r="429" spans="1:24" ht="15" customHeight="1">
      <c r="A429" s="1193" t="s">
        <v>2506</v>
      </c>
      <c r="B429" s="1194" t="s">
        <v>2507</v>
      </c>
      <c r="C429" s="1197"/>
      <c r="D429" s="1197"/>
      <c r="E429" s="1197"/>
      <c r="F429" s="1193" t="s">
        <v>4</v>
      </c>
      <c r="G429" s="1193" t="s">
        <v>2033</v>
      </c>
      <c r="H429" s="1196"/>
      <c r="I429" s="1196">
        <v>-6</v>
      </c>
      <c r="J429" s="1196">
        <v>-2</v>
      </c>
      <c r="K429" s="1195">
        <v>-8</v>
      </c>
      <c r="L429" s="150" t="str">
        <f t="shared" si="30"/>
        <v>4285@</v>
      </c>
      <c r="M429" s="151" t="str">
        <f t="shared" si="31"/>
        <v>AUTRE MARQUES DETAIL - USAGE</v>
      </c>
      <c r="N429" s="152">
        <f>+IF(OR($Q429=Parametres!$G$2,$Q429=Parametres!$G$3),I429,C429)</f>
        <v>-6</v>
      </c>
      <c r="O429" s="1084">
        <f>+IF(OR($Q429=Parametres!$G$2,$Q429=Parametres!$G$3),J429,D429)</f>
        <v>-2</v>
      </c>
      <c r="P429" s="152">
        <f>+IF(OR($Q429=Parametres!$G$2,$Q429=Parametres!$G$3),K429,E429)</f>
        <v>-8</v>
      </c>
      <c r="Q429" s="151" t="str">
        <f t="shared" si="32"/>
        <v>10-Compte compteur</v>
      </c>
      <c r="R429" s="150" t="str">
        <f t="shared" si="33"/>
        <v>4261</v>
      </c>
      <c r="S429" s="151">
        <f t="shared" si="34"/>
        <v>0</v>
      </c>
      <c r="T429" s="153" t="str">
        <f>+VLOOKUP($L429,Data_Validation!$A:$D,1,0)</f>
        <v>4285@</v>
      </c>
      <c r="U429" s="153" t="str">
        <f>+VLOOKUP($L429,Data_Validation!$A:$D,3,0)</f>
        <v>Véhicules usagés</v>
      </c>
      <c r="V429" s="153" t="str">
        <f>+VLOOKUP($L429,Data_Validation!$A:$D,4,0)</f>
        <v>Non Certifié</v>
      </c>
      <c r="W429" s="153" t="str">
        <f>+VLOOKUP($L429,Data_Validation!$A:$E,5,0)</f>
        <v>NB</v>
      </c>
      <c r="X429" s="153">
        <f>+VLOOKUP($L429,Data_Validation!$A:$F,6,0)</f>
        <v>0</v>
      </c>
    </row>
    <row r="430" spans="1:24" ht="15" customHeight="1">
      <c r="A430" s="1193" t="s">
        <v>2508</v>
      </c>
      <c r="B430" s="1194" t="s">
        <v>2509</v>
      </c>
      <c r="C430" s="1197"/>
      <c r="D430" s="1197"/>
      <c r="E430" s="1197"/>
      <c r="F430" s="1193" t="s">
        <v>4</v>
      </c>
      <c r="G430" s="1193" t="s">
        <v>2001</v>
      </c>
      <c r="H430" s="1196"/>
      <c r="I430" s="1196">
        <v>-88</v>
      </c>
      <c r="J430" s="1196">
        <v>-23</v>
      </c>
      <c r="K430" s="1195">
        <v>-111</v>
      </c>
      <c r="L430" s="150" t="str">
        <f t="shared" si="30"/>
        <v>4291@</v>
      </c>
      <c r="M430" s="151" t="str">
        <f t="shared" si="31"/>
        <v>VENTE AU GROS - USAGES</v>
      </c>
      <c r="N430" s="152">
        <f>+IF(OR($Q430=Parametres!$G$2,$Q430=Parametres!$G$3),I430,C430)</f>
        <v>-88</v>
      </c>
      <c r="O430" s="1084">
        <f>+IF(OR($Q430=Parametres!$G$2,$Q430=Parametres!$G$3),J430,D430)</f>
        <v>-23</v>
      </c>
      <c r="P430" s="152">
        <f>+IF(OR($Q430=Parametres!$G$2,$Q430=Parametres!$G$3),K430,E430)</f>
        <v>-111</v>
      </c>
      <c r="Q430" s="151" t="str">
        <f t="shared" si="32"/>
        <v>10-Compte compteur</v>
      </c>
      <c r="R430" s="150" t="str">
        <f t="shared" si="33"/>
        <v>4281</v>
      </c>
      <c r="S430" s="151">
        <f t="shared" si="34"/>
        <v>0</v>
      </c>
      <c r="T430" s="153" t="str">
        <f>+VLOOKUP($L430,Data_Validation!$A:$D,1,0)</f>
        <v>4291@</v>
      </c>
      <c r="U430" s="153" t="str">
        <f>+VLOOKUP($L430,Data_Validation!$A:$D,3,0)</f>
        <v>Véhicules usagés</v>
      </c>
      <c r="V430" s="153" t="str">
        <f>+VLOOKUP($L430,Data_Validation!$A:$D,4,0)</f>
        <v>Ventes au Gros</v>
      </c>
      <c r="W430" s="153" t="str">
        <f>+VLOOKUP($L430,Data_Validation!$A:$E,5,0)</f>
        <v>NB</v>
      </c>
      <c r="X430" s="153">
        <f>+VLOOKUP($L430,Data_Validation!$A:$F,6,0)</f>
        <v>0</v>
      </c>
    </row>
    <row r="431" spans="1:24" ht="15.75" customHeight="1">
      <c r="A431" s="1198" t="s">
        <v>2004</v>
      </c>
      <c r="B431" s="1194" t="s">
        <v>2510</v>
      </c>
      <c r="C431" s="1197"/>
      <c r="D431" s="1197"/>
      <c r="E431" s="1197"/>
      <c r="F431" s="1193" t="s">
        <v>4</v>
      </c>
      <c r="G431" s="1193" t="s">
        <v>2005</v>
      </c>
      <c r="H431" s="1196"/>
      <c r="I431" s="1195">
        <v>-1640</v>
      </c>
      <c r="J431" s="1196">
        <v>-617</v>
      </c>
      <c r="K431" s="1195">
        <v>-2257</v>
      </c>
      <c r="L431" s="150" t="str">
        <f t="shared" si="30"/>
        <v>4401@</v>
      </c>
      <c r="M431" s="151" t="str">
        <f t="shared" si="31"/>
        <v>M.O. MECANIQUE-VENTE CLIENTS</v>
      </c>
      <c r="N431" s="152">
        <f>+IF(OR($Q431=Parametres!$G$2,$Q431=Parametres!$G$3),I431,C431)</f>
        <v>-1640</v>
      </c>
      <c r="O431" s="1084">
        <f>+IF(OR($Q431=Parametres!$G$2,$Q431=Parametres!$G$3),J431,D431)</f>
        <v>-617</v>
      </c>
      <c r="P431" s="152">
        <f>+IF(OR($Q431=Parametres!$G$2,$Q431=Parametres!$G$3),K431,E431)</f>
        <v>-2257</v>
      </c>
      <c r="Q431" s="151" t="str">
        <f t="shared" si="32"/>
        <v>10-Compte compteur</v>
      </c>
      <c r="R431" s="150" t="str">
        <f t="shared" si="33"/>
        <v>4401</v>
      </c>
      <c r="S431" s="151">
        <f t="shared" si="34"/>
        <v>0</v>
      </c>
      <c r="T431" s="153" t="str">
        <f>+VLOOKUP($L431,Data_Validation!$A:$D,1,0)</f>
        <v>4401@</v>
      </c>
      <c r="U431" s="153" t="str">
        <f>+VLOOKUP($L431,Data_Validation!$A:$D,3,0)</f>
        <v>Service</v>
      </c>
      <c r="V431" s="153" t="str">
        <f>+VLOOKUP($L431,Data_Validation!$A:$D,4,0)</f>
        <v>M/O Client</v>
      </c>
      <c r="W431" s="153" t="str">
        <f>+VLOOKUP($L431,Data_Validation!$A:$E,5,0)</f>
        <v>NB</v>
      </c>
      <c r="X431" s="153">
        <f>+VLOOKUP($L431,Data_Validation!$A:$F,6,0)</f>
        <v>0</v>
      </c>
    </row>
    <row r="432" spans="1:24" ht="15" customHeight="1">
      <c r="A432" s="1193" t="s">
        <v>2034</v>
      </c>
      <c r="B432" s="1194" t="s">
        <v>2513</v>
      </c>
      <c r="C432" s="1195"/>
      <c r="D432" s="1195"/>
      <c r="E432" s="1195"/>
      <c r="F432" s="1193" t="s">
        <v>4</v>
      </c>
      <c r="G432" s="1193" t="s">
        <v>2035</v>
      </c>
      <c r="H432" s="1196"/>
      <c r="I432" s="1197">
        <v>-1109</v>
      </c>
      <c r="J432" s="1197">
        <v>-348</v>
      </c>
      <c r="K432" s="1197">
        <v>-1457</v>
      </c>
      <c r="L432" s="150" t="str">
        <f t="shared" si="30"/>
        <v>4403@</v>
      </c>
      <c r="M432" s="151" t="str">
        <f t="shared" si="31"/>
        <v>M.O. MECANIQUE-VENTE GAR. MANU</v>
      </c>
      <c r="N432" s="152">
        <f>+IF(OR($Q432=Parametres!$G$2,$Q432=Parametres!$G$3),I432,C432)</f>
        <v>-1109</v>
      </c>
      <c r="O432" s="1084">
        <f>+IF(OR($Q432=Parametres!$G$2,$Q432=Parametres!$G$3),J432,D432)</f>
        <v>-348</v>
      </c>
      <c r="P432" s="152">
        <f>+IF(OR($Q432=Parametres!$G$2,$Q432=Parametres!$G$3),K432,E432)</f>
        <v>-1457</v>
      </c>
      <c r="Q432" s="151" t="str">
        <f t="shared" si="32"/>
        <v>10-Compte compteur</v>
      </c>
      <c r="R432" s="150" t="str">
        <f t="shared" si="33"/>
        <v>4403</v>
      </c>
      <c r="S432" s="151">
        <f t="shared" si="34"/>
        <v>0</v>
      </c>
      <c r="T432" s="153" t="str">
        <f>+VLOOKUP($L432,Data_Validation!$A:$D,1,0)</f>
        <v>4403@</v>
      </c>
      <c r="U432" s="153" t="str">
        <f>+VLOOKUP($L432,Data_Validation!$A:$D,3,0)</f>
        <v>Service</v>
      </c>
      <c r="V432" s="153" t="str">
        <f>+VLOOKUP($L432,Data_Validation!$A:$D,4,0)</f>
        <v>M/O Garantie</v>
      </c>
      <c r="W432" s="153" t="str">
        <f>+VLOOKUP($L432,Data_Validation!$A:$E,5,0)</f>
        <v>NB</v>
      </c>
      <c r="X432" s="153">
        <f>+VLOOKUP($L432,Data_Validation!$A:$F,6,0)</f>
        <v>0</v>
      </c>
    </row>
    <row r="433" spans="1:24" ht="15" customHeight="1">
      <c r="A433" s="1193" t="s">
        <v>2044</v>
      </c>
      <c r="B433" s="1194" t="s">
        <v>2514</v>
      </c>
      <c r="C433" s="1195"/>
      <c r="D433" s="1195"/>
      <c r="E433" s="1195"/>
      <c r="F433" s="1193" t="s">
        <v>4</v>
      </c>
      <c r="G433" s="1193" t="s">
        <v>2045</v>
      </c>
      <c r="H433" s="1196"/>
      <c r="I433" s="1197">
        <v>-654</v>
      </c>
      <c r="J433" s="1197">
        <v>-180</v>
      </c>
      <c r="K433" s="1197">
        <v>-834</v>
      </c>
      <c r="L433" s="150" t="str">
        <f t="shared" si="30"/>
        <v>4405@</v>
      </c>
      <c r="M433" s="151" t="str">
        <f t="shared" si="31"/>
        <v>M.O. MECANIQUE-VENTE INTERNE</v>
      </c>
      <c r="N433" s="152">
        <f>+IF(OR($Q433=Parametres!$G$2,$Q433=Parametres!$G$3),I433,C433)</f>
        <v>-654</v>
      </c>
      <c r="O433" s="1084">
        <f>+IF(OR($Q433=Parametres!$G$2,$Q433=Parametres!$G$3),J433,D433)</f>
        <v>-180</v>
      </c>
      <c r="P433" s="152">
        <f>+IF(OR($Q433=Parametres!$G$2,$Q433=Parametres!$G$3),K433,E433)</f>
        <v>-834</v>
      </c>
      <c r="Q433" s="151" t="str">
        <f t="shared" si="32"/>
        <v>10-Compte compteur</v>
      </c>
      <c r="R433" s="150" t="str">
        <f t="shared" si="33"/>
        <v>4405</v>
      </c>
      <c r="S433" s="151">
        <f t="shared" si="34"/>
        <v>0</v>
      </c>
      <c r="T433" s="153" t="str">
        <f>+VLOOKUP($L433,Data_Validation!$A:$D,1,0)</f>
        <v>4405@</v>
      </c>
      <c r="U433" s="153" t="str">
        <f>+VLOOKUP($L433,Data_Validation!$A:$D,3,0)</f>
        <v>Service</v>
      </c>
      <c r="V433" s="153" t="str">
        <f>+VLOOKUP($L433,Data_Validation!$A:$D,4,0)</f>
        <v>M/O Interne</v>
      </c>
      <c r="W433" s="153" t="str">
        <f>+VLOOKUP($L433,Data_Validation!$A:$E,5,0)</f>
        <v>NB</v>
      </c>
      <c r="X433" s="153">
        <f>+VLOOKUP($L433,Data_Validation!$A:$F,6,0)</f>
        <v>0</v>
      </c>
    </row>
    <row r="434" spans="1:24" ht="15" customHeight="1">
      <c r="A434" s="1193" t="s">
        <v>2064</v>
      </c>
      <c r="B434" s="1194" t="s">
        <v>2517</v>
      </c>
      <c r="C434" s="1195"/>
      <c r="D434" s="1195"/>
      <c r="E434" s="1195"/>
      <c r="F434" s="1193" t="s">
        <v>4</v>
      </c>
      <c r="G434" s="1193" t="s">
        <v>2066</v>
      </c>
      <c r="H434" s="1196"/>
      <c r="I434" s="1197">
        <v>-1215</v>
      </c>
      <c r="J434" s="1197">
        <v>-402</v>
      </c>
      <c r="K434" s="1197">
        <v>-1617</v>
      </c>
      <c r="L434" s="150" t="str">
        <f t="shared" si="30"/>
        <v>4451@</v>
      </c>
      <c r="M434" s="151" t="str">
        <f t="shared" si="31"/>
        <v>CARBURANT/HUILE/GRAISSE</v>
      </c>
      <c r="N434" s="152">
        <f>+IF(OR($Q434=Parametres!$G$2,$Q434=Parametres!$G$3),I434,C434)</f>
        <v>-1215</v>
      </c>
      <c r="O434" s="1084">
        <f>+IF(OR($Q434=Parametres!$G$2,$Q434=Parametres!$G$3),J434,D434)</f>
        <v>-402</v>
      </c>
      <c r="P434" s="152">
        <f>+IF(OR($Q434=Parametres!$G$2,$Q434=Parametres!$G$3),K434,E434)</f>
        <v>-1617</v>
      </c>
      <c r="Q434" s="151" t="str">
        <f t="shared" si="32"/>
        <v>10-Compte compteur</v>
      </c>
      <c r="R434" s="150" t="str">
        <f t="shared" si="33"/>
        <v>4782</v>
      </c>
      <c r="S434" s="151">
        <f t="shared" si="34"/>
        <v>0</v>
      </c>
      <c r="T434" s="153" t="str">
        <f>+VLOOKUP($L434,Data_Validation!$A:$D,1,0)</f>
        <v>4451@</v>
      </c>
      <c r="U434" s="153" t="str">
        <f>+VLOOKUP($L434,Data_Validation!$A:$D,3,0)</f>
        <v>Pièces</v>
      </c>
      <c r="V434" s="153" t="str">
        <f>+VLOOKUP($L434,Data_Validation!$A:$D,4,0)</f>
        <v>Huiles et Graisse</v>
      </c>
      <c r="W434" s="153" t="str">
        <f>+VLOOKUP($L434,Data_Validation!$A:$E,5,0)</f>
        <v>NB</v>
      </c>
      <c r="X434" s="153">
        <f>+VLOOKUP($L434,Data_Validation!$A:$F,6,0)</f>
        <v>0</v>
      </c>
    </row>
    <row r="435" spans="1:24" ht="15.75" customHeight="1">
      <c r="A435" s="1193" t="s">
        <v>2137</v>
      </c>
      <c r="B435" s="1194" t="s">
        <v>2518</v>
      </c>
      <c r="C435" s="1195"/>
      <c r="D435" s="1195"/>
      <c r="E435" s="1195"/>
      <c r="F435" s="1193" t="s">
        <v>4</v>
      </c>
      <c r="G435" s="1193" t="s">
        <v>2138</v>
      </c>
      <c r="H435" s="1196"/>
      <c r="I435" s="1197">
        <v>-24</v>
      </c>
      <c r="J435" s="1197">
        <v>-7</v>
      </c>
      <c r="K435" s="1197">
        <v>-31</v>
      </c>
      <c r="L435" s="150" t="str">
        <f t="shared" si="30"/>
        <v>4491@</v>
      </c>
      <c r="M435" s="151" t="str">
        <f t="shared" si="31"/>
        <v>REPARATION SOUS-LOC. - GENERAL</v>
      </c>
      <c r="N435" s="152">
        <f>+IF(OR($Q435=Parametres!$G$2,$Q435=Parametres!$G$3),I435,C435)</f>
        <v>-24</v>
      </c>
      <c r="O435" s="1082">
        <f>+IF(OR($Q435=Parametres!$G$2,$Q435=Parametres!$G$3),J435,D435)</f>
        <v>-7</v>
      </c>
      <c r="P435" s="152">
        <f>+IF(OR($Q435=Parametres!$G$2,$Q435=Parametres!$G$3),K435,E435)</f>
        <v>-31</v>
      </c>
      <c r="Q435" s="151" t="str">
        <f t="shared" si="32"/>
        <v>10-Compte compteur</v>
      </c>
      <c r="R435" s="150" t="str">
        <f t="shared" si="33"/>
        <v>4491</v>
      </c>
      <c r="S435" s="151">
        <f t="shared" si="34"/>
        <v>0</v>
      </c>
      <c r="T435" s="153" t="str">
        <f>+VLOOKUP($L435,Data_Validation!$A:$D,1,0)</f>
        <v>4491@</v>
      </c>
      <c r="U435" s="153" t="str">
        <f>+VLOOKUP($L435,Data_Validation!$A:$D,3,0)</f>
        <v>Service</v>
      </c>
      <c r="V435" s="153" t="str">
        <f>+VLOOKUP($L435,Data_Validation!$A:$D,4,0)</f>
        <v>Sous-traitement</v>
      </c>
      <c r="W435" s="153" t="str">
        <f>+VLOOKUP($L435,Data_Validation!$A:$E,5,0)</f>
        <v>NB</v>
      </c>
      <c r="X435" s="153">
        <f>+VLOOKUP($L435,Data_Validation!$A:$F,6,0)</f>
        <v>0</v>
      </c>
    </row>
    <row r="436" spans="1:24" ht="15" customHeight="1">
      <c r="A436" s="1193" t="s">
        <v>2519</v>
      </c>
      <c r="B436" s="1194" t="s">
        <v>2520</v>
      </c>
      <c r="C436" s="1195"/>
      <c r="D436" s="1195"/>
      <c r="E436" s="1195"/>
      <c r="F436" s="1193" t="s">
        <v>4</v>
      </c>
      <c r="G436" s="1193" t="s">
        <v>2161</v>
      </c>
      <c r="H436" s="1196"/>
      <c r="I436" s="1197">
        <v>-12</v>
      </c>
      <c r="J436" s="1197">
        <v>-3</v>
      </c>
      <c r="K436" s="1197">
        <v>-15</v>
      </c>
      <c r="L436" s="150" t="str">
        <f t="shared" si="30"/>
        <v>4493@</v>
      </c>
      <c r="M436" s="151" t="str">
        <f t="shared" si="31"/>
        <v># DE VTE - SOUS-TRAITANCE GARANTIE</v>
      </c>
      <c r="N436" s="152">
        <f>+IF(OR($Q436=Parametres!$G$2,$Q436=Parametres!$G$3),I436,C436)</f>
        <v>-12</v>
      </c>
      <c r="O436" s="1084">
        <f>+IF(OR($Q436=Parametres!$G$2,$Q436=Parametres!$G$3),J436,D436)</f>
        <v>-3</v>
      </c>
      <c r="P436" s="152">
        <f>+IF(OR($Q436=Parametres!$G$2,$Q436=Parametres!$G$3),K436,E436)</f>
        <v>-15</v>
      </c>
      <c r="Q436" s="151" t="str">
        <f t="shared" si="32"/>
        <v>10-Compte compteur</v>
      </c>
      <c r="R436" s="150" t="str">
        <f t="shared" si="33"/>
        <v>4493</v>
      </c>
      <c r="S436" s="151">
        <f t="shared" si="34"/>
        <v>0</v>
      </c>
      <c r="T436" s="153" t="str">
        <f>+VLOOKUP($L436,Data_Validation!$A:$D,1,0)</f>
        <v>4493@</v>
      </c>
      <c r="U436" s="153" t="str">
        <f>+VLOOKUP($L436,Data_Validation!$A:$D,3,0)</f>
        <v>Service</v>
      </c>
      <c r="V436" s="153" t="str">
        <f>+VLOOKUP($L436,Data_Validation!$A:$D,4,0)</f>
        <v>Sous-traitement</v>
      </c>
      <c r="W436" s="153" t="str">
        <f>+VLOOKUP($L436,Data_Validation!$A:$E,5,0)</f>
        <v>NB</v>
      </c>
      <c r="X436" s="153">
        <f>+VLOOKUP($L436,Data_Validation!$A:$F,6,0)</f>
        <v>0</v>
      </c>
    </row>
    <row r="437" spans="1:24" ht="15" customHeight="1">
      <c r="A437" s="1193" t="s">
        <v>2521</v>
      </c>
      <c r="B437" s="1194" t="s">
        <v>2522</v>
      </c>
      <c r="C437" s="1195"/>
      <c r="D437" s="1195"/>
      <c r="E437" s="1195"/>
      <c r="F437" s="1193" t="s">
        <v>4</v>
      </c>
      <c r="G437" s="1193" t="s">
        <v>2080</v>
      </c>
      <c r="H437" s="1196"/>
      <c r="I437" s="1197">
        <v>-281</v>
      </c>
      <c r="J437" s="1197">
        <v>-120</v>
      </c>
      <c r="K437" s="1197">
        <v>-401</v>
      </c>
      <c r="L437" s="150" t="str">
        <f t="shared" si="30"/>
        <v>4495@</v>
      </c>
      <c r="M437" s="151" t="str">
        <f t="shared" si="31"/>
        <v># DE VTE - S-TRAITANCE MEC.INTERNE VW</v>
      </c>
      <c r="N437" s="152">
        <f>+IF(OR($Q437=Parametres!$G$2,$Q437=Parametres!$G$3),I437,C437)</f>
        <v>-281</v>
      </c>
      <c r="O437" s="1084">
        <f>+IF(OR($Q437=Parametres!$G$2,$Q437=Parametres!$G$3),J437,D437)</f>
        <v>-120</v>
      </c>
      <c r="P437" s="152">
        <f>+IF(OR($Q437=Parametres!$G$2,$Q437=Parametres!$G$3),K437,E437)</f>
        <v>-401</v>
      </c>
      <c r="Q437" s="151" t="str">
        <f t="shared" si="32"/>
        <v>10-Compte compteur</v>
      </c>
      <c r="R437" s="150" t="str">
        <f t="shared" si="33"/>
        <v>4495</v>
      </c>
      <c r="S437" s="151">
        <f t="shared" si="34"/>
        <v>0</v>
      </c>
      <c r="T437" s="153" t="str">
        <f>+VLOOKUP($L437,Data_Validation!$A:$D,1,0)</f>
        <v>4495@</v>
      </c>
      <c r="U437" s="153" t="str">
        <f>+VLOOKUP($L437,Data_Validation!$A:$D,3,0)</f>
        <v>Service</v>
      </c>
      <c r="V437" s="153" t="str">
        <f>+VLOOKUP($L437,Data_Validation!$A:$D,4,0)</f>
        <v>Sous-traitement</v>
      </c>
      <c r="W437" s="153" t="str">
        <f>+VLOOKUP($L437,Data_Validation!$A:$E,5,0)</f>
        <v>NB</v>
      </c>
      <c r="X437" s="153">
        <f>+VLOOKUP($L437,Data_Validation!$A:$F,6,0)</f>
        <v>0</v>
      </c>
    </row>
    <row r="438" spans="1:24" ht="15" customHeight="1">
      <c r="A438" s="1193" t="s">
        <v>3256</v>
      </c>
      <c r="B438" s="1194" t="s">
        <v>3257</v>
      </c>
      <c r="C438" s="1195"/>
      <c r="D438" s="1195"/>
      <c r="E438" s="1195"/>
      <c r="F438" s="1193" t="s">
        <v>4</v>
      </c>
      <c r="G438" s="1193" t="s">
        <v>3255</v>
      </c>
      <c r="H438" s="1196"/>
      <c r="I438" s="1197">
        <v>-73</v>
      </c>
      <c r="J438" s="1197">
        <v>-24</v>
      </c>
      <c r="K438" s="1197">
        <v>-97</v>
      </c>
      <c r="L438" s="150" t="str">
        <f t="shared" si="30"/>
        <v>4503@</v>
      </c>
      <c r="M438" s="151" t="str">
        <f t="shared" si="31"/>
        <v># DE VTE - M.O. CARROS.GARANTIE</v>
      </c>
      <c r="N438" s="152">
        <f>+IF(OR($Q438=Parametres!$G$2,$Q438=Parametres!$G$3),I438,C438)</f>
        <v>-73</v>
      </c>
      <c r="O438" s="1082">
        <f>+IF(OR($Q438=Parametres!$G$2,$Q438=Parametres!$G$3),J438,D438)</f>
        <v>-24</v>
      </c>
      <c r="P438" s="152">
        <f>+IF(OR($Q438=Parametres!$G$2,$Q438=Parametres!$G$3),K438,E438)</f>
        <v>-97</v>
      </c>
      <c r="Q438" s="151" t="str">
        <f t="shared" si="32"/>
        <v>10-Compte compteur</v>
      </c>
      <c r="R438" s="150" t="str">
        <f t="shared" si="33"/>
        <v>4503</v>
      </c>
      <c r="S438" s="151">
        <f t="shared" si="34"/>
        <v>0</v>
      </c>
      <c r="T438" s="153" t="str">
        <f>+VLOOKUP($L438,Data_Validation!$A:$D,1,0)</f>
        <v>4503@</v>
      </c>
      <c r="U438" s="153" t="str">
        <f>+VLOOKUP($L438,Data_Validation!$A:$D,3,0)</f>
        <v>Carrosserie</v>
      </c>
      <c r="V438" s="153" t="str">
        <f>+VLOOKUP($L438,Data_Validation!$A:$D,4,0)</f>
        <v>M/O Sous-traitement</v>
      </c>
      <c r="W438" s="153" t="str">
        <f>+VLOOKUP($L438,Data_Validation!$A:$E,5,0)</f>
        <v>NB</v>
      </c>
      <c r="X438" s="153">
        <f>+VLOOKUP($L438,Data_Validation!$A:$F,6,0)</f>
        <v>0</v>
      </c>
    </row>
    <row r="439" spans="1:24" ht="15" customHeight="1">
      <c r="A439" s="1193" t="s">
        <v>2523</v>
      </c>
      <c r="B439" s="1194" t="s">
        <v>2524</v>
      </c>
      <c r="C439" s="1195"/>
      <c r="D439" s="1195"/>
      <c r="E439" s="1195"/>
      <c r="F439" s="1193" t="s">
        <v>4</v>
      </c>
      <c r="G439" s="1193" t="s">
        <v>2063</v>
      </c>
      <c r="H439" s="1196"/>
      <c r="I439" s="1197">
        <v>-74</v>
      </c>
      <c r="J439" s="1197">
        <v>-17</v>
      </c>
      <c r="K439" s="1197">
        <v>-91</v>
      </c>
      <c r="L439" s="150" t="str">
        <f t="shared" si="30"/>
        <v>4591@</v>
      </c>
      <c r="M439" s="151" t="str">
        <f t="shared" si="31"/>
        <v>REPARATION SOUS-LOC.-PEINT/DEB</v>
      </c>
      <c r="N439" s="152">
        <f>+IF(OR($Q439=Parametres!$G$2,$Q439=Parametres!$G$3),I439,C439)</f>
        <v>-74</v>
      </c>
      <c r="O439" s="1084">
        <f>+IF(OR($Q439=Parametres!$G$2,$Q439=Parametres!$G$3),J439,D439)</f>
        <v>-17</v>
      </c>
      <c r="P439" s="152">
        <f>+IF(OR($Q439=Parametres!$G$2,$Q439=Parametres!$G$3),K439,E439)</f>
        <v>-91</v>
      </c>
      <c r="Q439" s="151" t="str">
        <f t="shared" si="32"/>
        <v>10-Compte compteur</v>
      </c>
      <c r="R439" s="150" t="str">
        <f t="shared" si="33"/>
        <v>4591</v>
      </c>
      <c r="S439" s="151">
        <f t="shared" si="34"/>
        <v>0</v>
      </c>
      <c r="T439" s="153" t="str">
        <f>+VLOOKUP($L439,Data_Validation!$A:$D,1,0)</f>
        <v>4591@</v>
      </c>
      <c r="U439" s="153" t="str">
        <f>+VLOOKUP($L439,Data_Validation!$A:$D,3,0)</f>
        <v>Carrosserie</v>
      </c>
      <c r="V439" s="153" t="str">
        <f>+VLOOKUP($L439,Data_Validation!$A:$D,4,0)</f>
        <v>M/O Sous-traitement</v>
      </c>
      <c r="W439" s="153" t="str">
        <f>+VLOOKUP($L439,Data_Validation!$A:$E,5,0)</f>
        <v>NB</v>
      </c>
      <c r="X439" s="153">
        <f>+VLOOKUP($L439,Data_Validation!$A:$F,6,0)</f>
        <v>0</v>
      </c>
    </row>
    <row r="440" spans="1:24" ht="15" customHeight="1">
      <c r="A440" s="1193" t="s">
        <v>2525</v>
      </c>
      <c r="B440" s="1194" t="s">
        <v>2526</v>
      </c>
      <c r="C440" s="1195"/>
      <c r="D440" s="1195"/>
      <c r="E440" s="1195"/>
      <c r="F440" s="1193" t="s">
        <v>4</v>
      </c>
      <c r="G440" s="1193" t="s">
        <v>2061</v>
      </c>
      <c r="H440" s="1196"/>
      <c r="I440" s="1197">
        <v>-116</v>
      </c>
      <c r="J440" s="1197">
        <v>-28</v>
      </c>
      <c r="K440" s="1197">
        <v>-144</v>
      </c>
      <c r="L440" s="150" t="str">
        <f t="shared" si="30"/>
        <v>4593@</v>
      </c>
      <c r="M440" s="151" t="str">
        <f t="shared" si="31"/>
        <v># DE VTE - S-TRAITANCE GAR.CARR.</v>
      </c>
      <c r="N440" s="152">
        <f>+IF(OR($Q440=Parametres!$G$2,$Q440=Parametres!$G$3),I440,C440)</f>
        <v>-116</v>
      </c>
      <c r="O440" s="1084">
        <f>+IF(OR($Q440=Parametres!$G$2,$Q440=Parametres!$G$3),J440,D440)</f>
        <v>-28</v>
      </c>
      <c r="P440" s="152">
        <f>+IF(OR($Q440=Parametres!$G$2,$Q440=Parametres!$G$3),K440,E440)</f>
        <v>-144</v>
      </c>
      <c r="Q440" s="151" t="str">
        <f t="shared" si="32"/>
        <v>10-Compte compteur</v>
      </c>
      <c r="R440" s="150" t="str">
        <f t="shared" si="33"/>
        <v>4593</v>
      </c>
      <c r="S440" s="151">
        <f t="shared" si="34"/>
        <v>0</v>
      </c>
      <c r="T440" s="153" t="str">
        <f>+VLOOKUP($L440,Data_Validation!$A:$D,1,0)</f>
        <v>4593@</v>
      </c>
      <c r="U440" s="153" t="str">
        <f>+VLOOKUP($L440,Data_Validation!$A:$D,3,0)</f>
        <v>Carrosserie</v>
      </c>
      <c r="V440" s="153" t="str">
        <f>+VLOOKUP($L440,Data_Validation!$A:$D,4,0)</f>
        <v>M/O Sous-traitement</v>
      </c>
      <c r="W440" s="153" t="str">
        <f>+VLOOKUP($L440,Data_Validation!$A:$E,5,0)</f>
        <v>NB</v>
      </c>
      <c r="X440" s="153">
        <f>+VLOOKUP($L440,Data_Validation!$A:$F,6,0)</f>
        <v>0</v>
      </c>
    </row>
    <row r="441" spans="1:24" ht="15.75" customHeight="1">
      <c r="A441" s="1193" t="s">
        <v>2527</v>
      </c>
      <c r="B441" s="1194" t="s">
        <v>2528</v>
      </c>
      <c r="C441" s="1197"/>
      <c r="D441" s="1197"/>
      <c r="E441" s="1197"/>
      <c r="F441" s="1193" t="s">
        <v>4</v>
      </c>
      <c r="G441" s="1193" t="s">
        <v>2094</v>
      </c>
      <c r="H441" s="1196"/>
      <c r="I441" s="1195">
        <v>-49</v>
      </c>
      <c r="J441" s="1199">
        <v>-7</v>
      </c>
      <c r="K441" s="1195">
        <v>-56</v>
      </c>
      <c r="L441" s="150" t="str">
        <f t="shared" si="30"/>
        <v>4595@</v>
      </c>
      <c r="M441" s="151" t="str">
        <f t="shared" si="31"/>
        <v># DE VTE - S-TRAIT.INTERNE CARR.</v>
      </c>
      <c r="N441" s="152">
        <f>+IF(OR($Q441=Parametres!$G$2,$Q441=Parametres!$G$3),I441,C441)</f>
        <v>-49</v>
      </c>
      <c r="O441" s="1084">
        <f>+IF(OR($Q441=Parametres!$G$2,$Q441=Parametres!$G$3),J441,D441)</f>
        <v>-7</v>
      </c>
      <c r="P441" s="152">
        <f>+IF(OR($Q441=Parametres!$G$2,$Q441=Parametres!$G$3),K441,E441)</f>
        <v>-56</v>
      </c>
      <c r="Q441" s="151" t="str">
        <f t="shared" si="32"/>
        <v>10-Compte compteur</v>
      </c>
      <c r="R441" s="150" t="str">
        <f t="shared" si="33"/>
        <v>4595</v>
      </c>
      <c r="S441" s="151">
        <f t="shared" si="34"/>
        <v>0</v>
      </c>
      <c r="T441" s="153" t="str">
        <f>+VLOOKUP($L441,Data_Validation!$A:$D,1,0)</f>
        <v>4595@</v>
      </c>
      <c r="U441" s="153" t="str">
        <f>+VLOOKUP($L441,Data_Validation!$A:$D,3,0)</f>
        <v>Carrosserie</v>
      </c>
      <c r="V441" s="153" t="str">
        <f>+VLOOKUP($L441,Data_Validation!$A:$D,4,0)</f>
        <v>M/O Sous-traitement</v>
      </c>
      <c r="W441" s="153" t="str">
        <f>+VLOOKUP($L441,Data_Validation!$A:$E,5,0)</f>
        <v>NB</v>
      </c>
      <c r="X441" s="153">
        <f>+VLOOKUP($L441,Data_Validation!$A:$F,6,0)</f>
        <v>0</v>
      </c>
    </row>
    <row r="442" spans="1:24" ht="15" customHeight="1">
      <c r="A442" s="1193" t="s">
        <v>2529</v>
      </c>
      <c r="B442" s="1194" t="s">
        <v>2530</v>
      </c>
      <c r="C442" s="1197"/>
      <c r="D442" s="1197"/>
      <c r="E442" s="1197"/>
      <c r="F442" s="1193" t="s">
        <v>4</v>
      </c>
      <c r="G442" s="1193" t="s">
        <v>2017</v>
      </c>
      <c r="H442" s="1196"/>
      <c r="I442" s="1195">
        <v>-1544</v>
      </c>
      <c r="J442" s="1199">
        <v>-584</v>
      </c>
      <c r="K442" s="1195">
        <v>-2128</v>
      </c>
      <c r="L442" s="150" t="str">
        <f t="shared" si="30"/>
        <v>4701@</v>
      </c>
      <c r="M442" s="573" t="str">
        <f t="shared" si="31"/>
        <v>PIECES-BON REPARATION- CLIENTS</v>
      </c>
      <c r="N442" s="152">
        <f>+IF(OR($Q442=Parametres!$G$2,$Q442=Parametres!$G$3),I442,C442)</f>
        <v>-1544</v>
      </c>
      <c r="O442" s="1082">
        <f>+IF(OR($Q442=Parametres!$G$2,$Q442=Parametres!$G$3),J442,D442)</f>
        <v>-584</v>
      </c>
      <c r="P442" s="575">
        <f>+IF(OR($Q442=Parametres!$G$2,$Q442=Parametres!$G$3),K442,E442)</f>
        <v>-2128</v>
      </c>
      <c r="Q442" s="151" t="str">
        <f t="shared" si="32"/>
        <v>10-Compte compteur</v>
      </c>
      <c r="R442" s="150" t="str">
        <f t="shared" si="33"/>
        <v>4701</v>
      </c>
      <c r="S442" s="151">
        <f t="shared" si="34"/>
        <v>0</v>
      </c>
      <c r="T442" s="153" t="str">
        <f>+VLOOKUP($L442,Data_Validation!$A:$D,1,0)</f>
        <v>4701@</v>
      </c>
      <c r="U442" s="153" t="str">
        <f>+VLOOKUP($L442,Data_Validation!$A:$D,3,0)</f>
        <v>Pièces</v>
      </c>
      <c r="V442" s="153" t="str">
        <f>+VLOOKUP($L442,Data_Validation!$A:$D,4,0)</f>
        <v>Pièces Ro Clients</v>
      </c>
      <c r="W442" s="153" t="str">
        <f>+VLOOKUP($L442,Data_Validation!$A:$E,5,0)</f>
        <v>NB</v>
      </c>
      <c r="X442" s="153">
        <f>+VLOOKUP($L442,Data_Validation!$A:$F,6,0)</f>
        <v>0</v>
      </c>
    </row>
    <row r="443" spans="1:24" ht="15" customHeight="1">
      <c r="A443" s="1193" t="s">
        <v>2531</v>
      </c>
      <c r="B443" s="1194" t="s">
        <v>2532</v>
      </c>
      <c r="C443" s="1195"/>
      <c r="D443" s="1195"/>
      <c r="E443" s="1195"/>
      <c r="F443" s="1193" t="s">
        <v>4</v>
      </c>
      <c r="G443" s="1193" t="s">
        <v>2037</v>
      </c>
      <c r="H443" s="1196"/>
      <c r="I443" s="1197">
        <v>-551</v>
      </c>
      <c r="J443" s="1197">
        <v>-100</v>
      </c>
      <c r="K443" s="1197">
        <v>-651</v>
      </c>
      <c r="L443" s="150" t="str">
        <f t="shared" si="30"/>
        <v>4703@</v>
      </c>
      <c r="M443" s="151" t="str">
        <f t="shared" si="31"/>
        <v>PIECES-BON REPARATION-GAR. MAN</v>
      </c>
      <c r="N443" s="152">
        <f>+IF(OR($Q443=Parametres!$G$2,$Q443=Parametres!$G$3),I443,C443)</f>
        <v>-551</v>
      </c>
      <c r="O443" s="1084">
        <f>+IF(OR($Q443=Parametres!$G$2,$Q443=Parametres!$G$3),J443,D443)</f>
        <v>-100</v>
      </c>
      <c r="P443" s="152">
        <f>+IF(OR($Q443=Parametres!$G$2,$Q443=Parametres!$G$3),K443,E443)</f>
        <v>-651</v>
      </c>
      <c r="Q443" s="151" t="str">
        <f t="shared" si="32"/>
        <v>10-Compte compteur</v>
      </c>
      <c r="R443" s="150" t="str">
        <f t="shared" si="33"/>
        <v>4703</v>
      </c>
      <c r="S443" s="151">
        <f t="shared" si="34"/>
        <v>0</v>
      </c>
      <c r="T443" s="153" t="str">
        <f>+VLOOKUP($L443,Data_Validation!$A:$D,1,0)</f>
        <v>4703@</v>
      </c>
      <c r="U443" s="153" t="str">
        <f>+VLOOKUP($L443,Data_Validation!$A:$D,3,0)</f>
        <v>Pièces</v>
      </c>
      <c r="V443" s="153" t="str">
        <f>+VLOOKUP($L443,Data_Validation!$A:$D,4,0)</f>
        <v>P/A Garantie</v>
      </c>
      <c r="W443" s="153" t="str">
        <f>+VLOOKUP($L443,Data_Validation!$A:$E,5,0)</f>
        <v>NB</v>
      </c>
      <c r="X443" s="153">
        <f>+VLOOKUP($L443,Data_Validation!$A:$F,6,0)</f>
        <v>0</v>
      </c>
    </row>
    <row r="444" spans="1:24" ht="15" customHeight="1">
      <c r="A444" s="1193" t="s">
        <v>2533</v>
      </c>
      <c r="B444" s="1194" t="s">
        <v>2534</v>
      </c>
      <c r="C444" s="1195"/>
      <c r="D444" s="1195"/>
      <c r="E444" s="1195"/>
      <c r="F444" s="1193" t="s">
        <v>4</v>
      </c>
      <c r="G444" s="1193" t="s">
        <v>2041</v>
      </c>
      <c r="H444" s="1196"/>
      <c r="I444" s="1197">
        <v>-677</v>
      </c>
      <c r="J444" s="1197">
        <v>-174</v>
      </c>
      <c r="K444" s="1197">
        <v>-851</v>
      </c>
      <c r="L444" s="150" t="str">
        <f t="shared" si="30"/>
        <v>4705@</v>
      </c>
      <c r="M444" s="151" t="str">
        <f t="shared" si="31"/>
        <v>PIECES-BON REPARATION - INTERN</v>
      </c>
      <c r="N444" s="152">
        <f>+IF(OR($Q444=Parametres!$G$2,$Q444=Parametres!$G$3),I444,C444)</f>
        <v>-677</v>
      </c>
      <c r="O444" s="1084">
        <f>+IF(OR($Q444=Parametres!$G$2,$Q444=Parametres!$G$3),J444,D444)</f>
        <v>-174</v>
      </c>
      <c r="P444" s="152">
        <f>+IF(OR($Q444=Parametres!$G$2,$Q444=Parametres!$G$3),K444,E444)</f>
        <v>-851</v>
      </c>
      <c r="Q444" s="151" t="str">
        <f t="shared" si="32"/>
        <v>10-Compte compteur</v>
      </c>
      <c r="R444" s="150" t="str">
        <f t="shared" si="33"/>
        <v>4705</v>
      </c>
      <c r="S444" s="151">
        <f t="shared" si="34"/>
        <v>0</v>
      </c>
      <c r="T444" s="153" t="str">
        <f>+VLOOKUP($L444,Data_Validation!$A:$D,1,0)</f>
        <v>4705@</v>
      </c>
      <c r="U444" s="153" t="str">
        <f>+VLOOKUP($L444,Data_Validation!$A:$D,3,0)</f>
        <v>Pièces</v>
      </c>
      <c r="V444" s="153" t="str">
        <f>+VLOOKUP($L444,Data_Validation!$A:$D,4,0)</f>
        <v>Ventes Internes</v>
      </c>
      <c r="W444" s="153" t="str">
        <f>+VLOOKUP($L444,Data_Validation!$A:$E,5,0)</f>
        <v>NB</v>
      </c>
      <c r="X444" s="153">
        <f>+VLOOKUP($L444,Data_Validation!$A:$F,6,0)</f>
        <v>0</v>
      </c>
    </row>
    <row r="445" spans="1:24" ht="15" customHeight="1">
      <c r="A445" s="1193" t="s">
        <v>2535</v>
      </c>
      <c r="B445" s="1194" t="s">
        <v>2536</v>
      </c>
      <c r="C445" s="1197"/>
      <c r="D445" s="1197"/>
      <c r="E445" s="1197"/>
      <c r="F445" s="1193" t="s">
        <v>4</v>
      </c>
      <c r="G445" s="1193" t="s">
        <v>332</v>
      </c>
      <c r="H445" s="1196"/>
      <c r="I445" s="1195">
        <v>-389</v>
      </c>
      <c r="J445" s="1196">
        <v>-99</v>
      </c>
      <c r="K445" s="1195">
        <v>-488</v>
      </c>
      <c r="L445" s="150" t="str">
        <f t="shared" si="30"/>
        <v>4711@</v>
      </c>
      <c r="M445" s="151" t="str">
        <f t="shared" si="31"/>
        <v># DE VTE - P&amp;A B.T. CLIENT AUDI</v>
      </c>
      <c r="N445" s="152">
        <f>+IF(OR($Q445=Parametres!$G$2,$Q445=Parametres!$G$3),I445,C445)</f>
        <v>-389</v>
      </c>
      <c r="O445" s="1084">
        <f>+IF(OR($Q445=Parametres!$G$2,$Q445=Parametres!$G$3),J445,D445)</f>
        <v>-99</v>
      </c>
      <c r="P445" s="152">
        <f>+IF(OR($Q445=Parametres!$G$2,$Q445=Parametres!$G$3),K445,E445)</f>
        <v>-488</v>
      </c>
      <c r="Q445" s="151" t="str">
        <f t="shared" si="32"/>
        <v>10-Compte compteur</v>
      </c>
      <c r="R445" s="150" t="str">
        <f t="shared" si="33"/>
        <v>84711</v>
      </c>
      <c r="S445" s="151">
        <f t="shared" si="34"/>
        <v>0</v>
      </c>
      <c r="T445" s="153" t="str">
        <f>+VLOOKUP($L445,Data_Validation!$A:$D,1,0)</f>
        <v>4711@</v>
      </c>
      <c r="U445" s="153" t="str">
        <f>+VLOOKUP($L445,Data_Validation!$A:$D,3,0)</f>
        <v>Pièces</v>
      </c>
      <c r="V445" s="153" t="str">
        <f>+VLOOKUP($L445,Data_Validation!$A:$D,4,0)</f>
        <v>Pièces Ro Clients</v>
      </c>
      <c r="W445" s="153" t="str">
        <f>+VLOOKUP($L445,Data_Validation!$A:$E,5,0)</f>
        <v>NB</v>
      </c>
      <c r="X445" s="153">
        <f>+VLOOKUP($L445,Data_Validation!$A:$F,6,0)</f>
        <v>0</v>
      </c>
    </row>
    <row r="446" spans="1:24" ht="15.75" customHeight="1">
      <c r="A446" s="1193" t="s">
        <v>2539</v>
      </c>
      <c r="B446" s="1194" t="s">
        <v>2540</v>
      </c>
      <c r="C446" s="1197"/>
      <c r="D446" s="1197"/>
      <c r="E446" s="1197"/>
      <c r="F446" s="1193" t="s">
        <v>4</v>
      </c>
      <c r="G446" s="1193" t="s">
        <v>2101</v>
      </c>
      <c r="H446" s="1196"/>
      <c r="I446" s="1195">
        <v>-35</v>
      </c>
      <c r="J446" s="1196">
        <v>-6</v>
      </c>
      <c r="K446" s="1195">
        <v>-41</v>
      </c>
      <c r="L446" s="150" t="str">
        <f t="shared" si="30"/>
        <v>4731@</v>
      </c>
      <c r="M446" s="151" t="str">
        <f t="shared" si="31"/>
        <v>PIECES-BON REPAR. PEINT/DEBOS</v>
      </c>
      <c r="N446" s="152">
        <f>+IF(OR($Q446=Parametres!$G$2,$Q446=Parametres!$G$3),I446,C446)</f>
        <v>-35</v>
      </c>
      <c r="O446" s="1084">
        <f>+IF(OR($Q446=Parametres!$G$2,$Q446=Parametres!$G$3),J446,D446)</f>
        <v>-6</v>
      </c>
      <c r="P446" s="152">
        <f>+IF(OR($Q446=Parametres!$G$2,$Q446=Parametres!$G$3),K446,E446)</f>
        <v>-41</v>
      </c>
      <c r="Q446" s="151" t="str">
        <f t="shared" si="32"/>
        <v>10-Compte compteur</v>
      </c>
      <c r="R446" s="150" t="str">
        <f t="shared" si="33"/>
        <v>4731</v>
      </c>
      <c r="S446" s="151">
        <f t="shared" si="34"/>
        <v>0</v>
      </c>
      <c r="T446" s="153" t="str">
        <f>+VLOOKUP($L446,Data_Validation!$A:$D,1,0)</f>
        <v>4731@</v>
      </c>
      <c r="U446" s="153" t="str">
        <f>+VLOOKUP($L446,Data_Validation!$A:$D,3,0)</f>
        <v>Pièces</v>
      </c>
      <c r="V446" s="153" t="str">
        <f>+VLOOKUP($L446,Data_Validation!$A:$D,4,0)</f>
        <v>Pièces Ro Carrosserie</v>
      </c>
      <c r="W446" s="153" t="str">
        <f>+VLOOKUP($L446,Data_Validation!$A:$E,5,0)</f>
        <v>NB</v>
      </c>
      <c r="X446" s="153">
        <f>+VLOOKUP($L446,Data_Validation!$A:$F,6,0)</f>
        <v>0</v>
      </c>
    </row>
    <row r="447" spans="1:24" ht="15.75" customHeight="1">
      <c r="A447" s="1193" t="s">
        <v>2541</v>
      </c>
      <c r="B447" s="1194" t="s">
        <v>2542</v>
      </c>
      <c r="C447" s="1197"/>
      <c r="D447" s="1197"/>
      <c r="E447" s="1197"/>
      <c r="F447" s="1193" t="s">
        <v>4</v>
      </c>
      <c r="G447" s="1193" t="s">
        <v>2084</v>
      </c>
      <c r="H447" s="1196"/>
      <c r="I447" s="1195">
        <v>-93</v>
      </c>
      <c r="J447" s="1196">
        <v>-24</v>
      </c>
      <c r="K447" s="1195">
        <v>-117</v>
      </c>
      <c r="L447" s="150" t="str">
        <f t="shared" si="30"/>
        <v>4733@</v>
      </c>
      <c r="M447" s="151" t="str">
        <f t="shared" si="31"/>
        <v># DE VTE - P&amp;A B.T. GARANTIE CARR.</v>
      </c>
      <c r="N447" s="152">
        <f>+IF(OR($Q447=Parametres!$G$2,$Q447=Parametres!$G$3),I447,C447)</f>
        <v>-93</v>
      </c>
      <c r="O447" s="1084">
        <f>+IF(OR($Q447=Parametres!$G$2,$Q447=Parametres!$G$3),J447,D447)</f>
        <v>-24</v>
      </c>
      <c r="P447" s="152">
        <f>+IF(OR($Q447=Parametres!$G$2,$Q447=Parametres!$G$3),K447,E447)</f>
        <v>-117</v>
      </c>
      <c r="Q447" s="151" t="str">
        <f t="shared" si="32"/>
        <v>10-Compte compteur</v>
      </c>
      <c r="R447" s="150" t="str">
        <f t="shared" si="33"/>
        <v>4733</v>
      </c>
      <c r="S447" s="151">
        <f t="shared" si="34"/>
        <v>0</v>
      </c>
      <c r="T447" s="153" t="str">
        <f>+VLOOKUP($L447,Data_Validation!$A:$D,1,0)</f>
        <v>4733@</v>
      </c>
      <c r="U447" s="153" t="str">
        <f>+VLOOKUP($L447,Data_Validation!$A:$D,3,0)</f>
        <v>Pièces</v>
      </c>
      <c r="V447" s="153" t="str">
        <f>+VLOOKUP($L447,Data_Validation!$A:$D,4,0)</f>
        <v>Pièces Ro Carrosserie</v>
      </c>
      <c r="W447" s="153" t="str">
        <f>+VLOOKUP($L447,Data_Validation!$A:$E,5,0)</f>
        <v>NB</v>
      </c>
      <c r="X447" s="153">
        <f>+VLOOKUP($L447,Data_Validation!$A:$F,6,0)</f>
        <v>0</v>
      </c>
    </row>
    <row r="448" spans="1:24" ht="15" customHeight="1">
      <c r="A448" s="1193" t="s">
        <v>2543</v>
      </c>
      <c r="B448" s="1194" t="s">
        <v>2544</v>
      </c>
      <c r="C448" s="1197"/>
      <c r="D448" s="1197"/>
      <c r="E448" s="1197"/>
      <c r="F448" s="1193" t="s">
        <v>4</v>
      </c>
      <c r="G448" s="1193" t="s">
        <v>2159</v>
      </c>
      <c r="H448" s="1196"/>
      <c r="I448" s="1195">
        <v>-13</v>
      </c>
      <c r="J448" s="1196">
        <v>-2</v>
      </c>
      <c r="K448" s="1195">
        <v>-15</v>
      </c>
      <c r="L448" s="150" t="str">
        <f t="shared" si="30"/>
        <v>4735@</v>
      </c>
      <c r="M448" s="151" t="str">
        <f t="shared" si="31"/>
        <v># DE VTE - P&amp;A B.T. INTERNE CARROS.</v>
      </c>
      <c r="N448" s="152">
        <f>+IF(OR($Q448=Parametres!$G$2,$Q448=Parametres!$G$3),I448,C448)</f>
        <v>-13</v>
      </c>
      <c r="O448" s="1084">
        <f>+IF(OR($Q448=Parametres!$G$2,$Q448=Parametres!$G$3),J448,D448)</f>
        <v>-2</v>
      </c>
      <c r="P448" s="152">
        <f>+IF(OR($Q448=Parametres!$G$2,$Q448=Parametres!$G$3),K448,E448)</f>
        <v>-15</v>
      </c>
      <c r="Q448" s="151" t="str">
        <f t="shared" si="32"/>
        <v>10-Compte compteur</v>
      </c>
      <c r="R448" s="150" t="str">
        <f t="shared" si="33"/>
        <v>4735</v>
      </c>
      <c r="S448" s="151">
        <f t="shared" si="34"/>
        <v>0</v>
      </c>
      <c r="T448" s="153" t="str">
        <f>+VLOOKUP($L448,Data_Validation!$A:$D,1,0)</f>
        <v>4735@</v>
      </c>
      <c r="U448" s="153" t="str">
        <f>+VLOOKUP($L448,Data_Validation!$A:$D,3,0)</f>
        <v>Pièces</v>
      </c>
      <c r="V448" s="153" t="str">
        <f>+VLOOKUP($L448,Data_Validation!$A:$D,4,0)</f>
        <v>Pièces Ro Carrosserie</v>
      </c>
      <c r="W448" s="153" t="str">
        <f>+VLOOKUP($L448,Data_Validation!$A:$E,5,0)</f>
        <v>NB</v>
      </c>
      <c r="X448" s="153">
        <f>+VLOOKUP($L448,Data_Validation!$A:$F,6,0)</f>
        <v>0</v>
      </c>
    </row>
    <row r="449" spans="1:24" ht="15" customHeight="1">
      <c r="A449" s="1193" t="s">
        <v>2545</v>
      </c>
      <c r="B449" s="1194" t="s">
        <v>2546</v>
      </c>
      <c r="C449" s="1197"/>
      <c r="D449" s="1197"/>
      <c r="E449" s="1197"/>
      <c r="F449" s="1193" t="s">
        <v>4</v>
      </c>
      <c r="G449" s="1193" t="s">
        <v>2076</v>
      </c>
      <c r="H449" s="1196"/>
      <c r="I449" s="1195">
        <v>-659</v>
      </c>
      <c r="J449" s="1196">
        <v>-161</v>
      </c>
      <c r="K449" s="1195">
        <v>-820</v>
      </c>
      <c r="L449" s="150" t="str">
        <f t="shared" si="30"/>
        <v>4761@</v>
      </c>
      <c r="M449" s="151" t="str">
        <f t="shared" si="31"/>
        <v>PIECES-COMPTOIR-DETAIL</v>
      </c>
      <c r="N449" s="152">
        <f>+IF(OR($Q449=Parametres!$G$2,$Q449=Parametres!$G$3),I449,C449)</f>
        <v>-659</v>
      </c>
      <c r="O449" s="1084">
        <f>+IF(OR($Q449=Parametres!$G$2,$Q449=Parametres!$G$3),J449,D449)</f>
        <v>-161</v>
      </c>
      <c r="P449" s="152">
        <f>+IF(OR($Q449=Parametres!$G$2,$Q449=Parametres!$G$3),K449,E449)</f>
        <v>-820</v>
      </c>
      <c r="Q449" s="151" t="str">
        <f t="shared" si="32"/>
        <v>10-Compte compteur</v>
      </c>
      <c r="R449" s="150" t="str">
        <f t="shared" si="33"/>
        <v>4761</v>
      </c>
      <c r="S449" s="151">
        <f t="shared" si="34"/>
        <v>0</v>
      </c>
      <c r="T449" s="153" t="str">
        <f>+VLOOKUP($L449,Data_Validation!$A:$D,1,0)</f>
        <v>4761@</v>
      </c>
      <c r="U449" s="153" t="str">
        <f>+VLOOKUP($L449,Data_Validation!$A:$D,3,0)</f>
        <v>Pièces</v>
      </c>
      <c r="V449" s="153" t="str">
        <f>+VLOOKUP($L449,Data_Validation!$A:$D,4,0)</f>
        <v>Ventes Détails</v>
      </c>
      <c r="W449" s="153" t="str">
        <f>+VLOOKUP($L449,Data_Validation!$A:$E,5,0)</f>
        <v>NB</v>
      </c>
      <c r="X449" s="153">
        <f>+VLOOKUP($L449,Data_Validation!$A:$F,6,0)</f>
        <v>0</v>
      </c>
    </row>
    <row r="450" spans="1:24" ht="15" customHeight="1">
      <c r="A450" s="1193" t="s">
        <v>2547</v>
      </c>
      <c r="B450" s="1194" t="s">
        <v>2548</v>
      </c>
      <c r="C450" s="1197"/>
      <c r="D450" s="1197"/>
      <c r="E450" s="1197"/>
      <c r="F450" s="1193" t="s">
        <v>4</v>
      </c>
      <c r="G450" s="1193" t="s">
        <v>2039</v>
      </c>
      <c r="H450" s="1196"/>
      <c r="I450" s="1195">
        <v>-1122</v>
      </c>
      <c r="J450" s="1196">
        <v>-284</v>
      </c>
      <c r="K450" s="1195">
        <v>-1406</v>
      </c>
      <c r="L450" s="150" t="str">
        <f t="shared" ref="L450:L462" si="35">+B450</f>
        <v>4763@</v>
      </c>
      <c r="M450" s="151" t="str">
        <f t="shared" ref="M450:M462" si="36">+A450</f>
        <v>PIECES-COMPTOIR-COMM. GROS</v>
      </c>
      <c r="N450" s="152">
        <f>+IF(OR($Q450=Parametres!$G$2,$Q450=Parametres!$G$3),I450,C450)</f>
        <v>-1122</v>
      </c>
      <c r="O450" s="1084">
        <f>+IF(OR($Q450=Parametres!$G$2,$Q450=Parametres!$G$3),J450,D450)</f>
        <v>-284</v>
      </c>
      <c r="P450" s="152">
        <f>+IF(OR($Q450=Parametres!$G$2,$Q450=Parametres!$G$3),K450,E450)</f>
        <v>-1406</v>
      </c>
      <c r="Q450" s="151" t="str">
        <f t="shared" ref="Q450:Q462" si="37">+F450</f>
        <v>10-Compte compteur</v>
      </c>
      <c r="R450" s="150" t="str">
        <f t="shared" ref="R450:R462" si="38">+G450</f>
        <v>4763</v>
      </c>
      <c r="S450" s="151">
        <f t="shared" ref="S450:S462" si="39">+H450</f>
        <v>0</v>
      </c>
      <c r="T450" s="153" t="str">
        <f>+VLOOKUP($L450,Data_Validation!$A:$D,1,0)</f>
        <v>4763@</v>
      </c>
      <c r="U450" s="153" t="str">
        <f>+VLOOKUP($L450,Data_Validation!$A:$D,3,0)</f>
        <v>Pièces</v>
      </c>
      <c r="V450" s="153" t="str">
        <f>+VLOOKUP($L450,Data_Validation!$A:$D,4,0)</f>
        <v>Ventes de Gros</v>
      </c>
      <c r="W450" s="153" t="str">
        <f>+VLOOKUP($L450,Data_Validation!$A:$E,5,0)</f>
        <v>NB</v>
      </c>
      <c r="X450" s="153">
        <f>+VLOOKUP($L450,Data_Validation!$A:$F,6,0)</f>
        <v>0</v>
      </c>
    </row>
    <row r="451" spans="1:24" ht="15.75" customHeight="1">
      <c r="A451" s="1193" t="s">
        <v>2027</v>
      </c>
      <c r="B451" s="1194" t="s">
        <v>2549</v>
      </c>
      <c r="C451" s="1195"/>
      <c r="D451" s="1195"/>
      <c r="E451" s="1195"/>
      <c r="F451" s="1193" t="s">
        <v>4</v>
      </c>
      <c r="G451" s="1193" t="s">
        <v>2028</v>
      </c>
      <c r="H451" s="1196"/>
      <c r="I451" s="1197">
        <v>-144</v>
      </c>
      <c r="J451" s="1197">
        <v>-47</v>
      </c>
      <c r="K451" s="1197">
        <v>-191</v>
      </c>
      <c r="L451" s="150" t="str">
        <f t="shared" si="35"/>
        <v>4781@</v>
      </c>
      <c r="M451" s="151" t="str">
        <f t="shared" si="36"/>
        <v>VENTES PNEUS</v>
      </c>
      <c r="N451" s="152">
        <f>+IF(OR($Q451=Parametres!$G$2,$Q451=Parametres!$G$3),I451,C451)</f>
        <v>-144</v>
      </c>
      <c r="O451" s="1084">
        <f>+IF(OR($Q451=Parametres!$G$2,$Q451=Parametres!$G$3),J451,D451)</f>
        <v>-47</v>
      </c>
      <c r="P451" s="152">
        <f>+IF(OR($Q451=Parametres!$G$2,$Q451=Parametres!$G$3),K451,E451)</f>
        <v>-191</v>
      </c>
      <c r="Q451" s="151" t="str">
        <f t="shared" si="37"/>
        <v>10-Compte compteur</v>
      </c>
      <c r="R451" s="150" t="str">
        <f t="shared" si="38"/>
        <v>4781</v>
      </c>
      <c r="S451" s="151">
        <f t="shared" si="39"/>
        <v>0</v>
      </c>
      <c r="T451" s="153" t="str">
        <f>+VLOOKUP($L451,Data_Validation!$A:$D,1,0)</f>
        <v>4781@</v>
      </c>
      <c r="U451" s="153" t="str">
        <f>+VLOOKUP($L451,Data_Validation!$A:$D,3,0)</f>
        <v>Pièces</v>
      </c>
      <c r="V451" s="153" t="str">
        <f>+VLOOKUP($L451,Data_Validation!$A:$D,4,0)</f>
        <v>Ventes Pneus</v>
      </c>
      <c r="W451" s="153" t="str">
        <f>+VLOOKUP($L451,Data_Validation!$A:$E,5,0)</f>
        <v>NB</v>
      </c>
      <c r="X451" s="153">
        <f>+VLOOKUP($L451,Data_Validation!$A:$F,6,0)</f>
        <v>0</v>
      </c>
    </row>
    <row r="452" spans="1:24" ht="15" customHeight="1">
      <c r="A452" s="1193" t="s">
        <v>3434</v>
      </c>
      <c r="B452" s="1194" t="s">
        <v>3435</v>
      </c>
      <c r="C452" s="1197"/>
      <c r="D452" s="1197"/>
      <c r="E452" s="1197"/>
      <c r="F452" s="1193" t="s">
        <v>4</v>
      </c>
      <c r="G452" s="1193" t="s">
        <v>2069</v>
      </c>
      <c r="H452" s="1201"/>
      <c r="I452" s="1201">
        <v>-18</v>
      </c>
      <c r="J452" s="1201" t="s">
        <v>3278</v>
      </c>
      <c r="K452" s="1201">
        <v>-18</v>
      </c>
      <c r="L452" s="150" t="str">
        <f t="shared" si="35"/>
        <v>9161@</v>
      </c>
      <c r="M452" s="151" t="str">
        <f t="shared" si="36"/>
        <v>REV FINANCE ET ASS NEUF</v>
      </c>
      <c r="N452" s="152">
        <f>+IF(OR($Q452=Parametres!$G$2,$Q452=Parametres!$G$3),I452,C452)</f>
        <v>-18</v>
      </c>
      <c r="O452" s="1084" t="str">
        <f>+IF(OR($Q452=Parametres!$G$2,$Q452=Parametres!$G$3),J452,D452)</f>
        <v xml:space="preserve">                                              -   </v>
      </c>
      <c r="P452" s="152">
        <f>+IF(OR($Q452=Parametres!$G$2,$Q452=Parametres!$G$3),K452,E452)</f>
        <v>-18</v>
      </c>
      <c r="Q452" s="151" t="str">
        <f t="shared" si="37"/>
        <v>10-Compte compteur</v>
      </c>
      <c r="R452" s="150" t="str">
        <f t="shared" si="38"/>
        <v>9161</v>
      </c>
      <c r="S452" s="151">
        <f t="shared" si="39"/>
        <v>0</v>
      </c>
      <c r="T452" s="153" t="str">
        <f>+VLOOKUP($L452,Data_Validation!$A:$D,1,0)</f>
        <v>9161@</v>
      </c>
      <c r="U452" s="153" t="str">
        <f>+VLOOKUP($L452,Data_Validation!$A:$D,3,0)</f>
        <v>Véhicules neufs</v>
      </c>
      <c r="V452" s="153">
        <f>+VLOOKUP($L452,Data_Validation!$A:$D,4,0)</f>
        <v>0</v>
      </c>
      <c r="W452" s="153" t="str">
        <f>+VLOOKUP($L452,Data_Validation!$A:$E,5,0)</f>
        <v>NB</v>
      </c>
      <c r="X452" s="153">
        <f>+VLOOKUP($L452,Data_Validation!$A:$F,6,0)</f>
        <v>0</v>
      </c>
    </row>
    <row r="453" spans="1:24" ht="15" customHeight="1">
      <c r="A453" s="1193" t="s">
        <v>2077</v>
      </c>
      <c r="B453" s="1194" t="s">
        <v>3436</v>
      </c>
      <c r="C453" s="1197"/>
      <c r="D453" s="1197"/>
      <c r="E453" s="1197"/>
      <c r="F453" s="1193" t="s">
        <v>4</v>
      </c>
      <c r="G453" s="1193" t="s">
        <v>2078</v>
      </c>
      <c r="H453" s="1201"/>
      <c r="I453" s="1201" t="s">
        <v>3279</v>
      </c>
      <c r="J453" s="1201">
        <v>-115</v>
      </c>
      <c r="K453" s="1201">
        <v>-115</v>
      </c>
      <c r="L453" s="150" t="str">
        <f t="shared" si="35"/>
        <v>9163@</v>
      </c>
      <c r="M453" s="151" t="str">
        <f t="shared" si="36"/>
        <v>RESERVE FIN ET ASS VEH OCCASION</v>
      </c>
      <c r="N453" s="152" t="str">
        <f>+IF(OR($Q453=Parametres!$G$2,$Q453=Parametres!$G$3),I453,C453)</f>
        <v xml:space="preserve">                                             -   </v>
      </c>
      <c r="O453" s="1084">
        <f>+IF(OR($Q453=Parametres!$G$2,$Q453=Parametres!$G$3),J453,D453)</f>
        <v>-115</v>
      </c>
      <c r="P453" s="152">
        <f>+IF(OR($Q453=Parametres!$G$2,$Q453=Parametres!$G$3),K453,E453)</f>
        <v>-115</v>
      </c>
      <c r="Q453" s="151" t="str">
        <f t="shared" si="37"/>
        <v>10-Compte compteur</v>
      </c>
      <c r="R453" s="150" t="str">
        <f t="shared" si="38"/>
        <v>9163</v>
      </c>
      <c r="S453" s="151">
        <f t="shared" si="39"/>
        <v>0</v>
      </c>
      <c r="T453" s="153" t="str">
        <f>+VLOOKUP($L453,Data_Validation!$A:$D,1,0)</f>
        <v>9163@</v>
      </c>
      <c r="U453" s="153" t="str">
        <f>+VLOOKUP($L453,Data_Validation!$A:$D,3,0)</f>
        <v>Véhicules usagés</v>
      </c>
      <c r="V453" s="153">
        <f>+VLOOKUP($L453,Data_Validation!$A:$D,4,0)</f>
        <v>0</v>
      </c>
      <c r="W453" s="153" t="str">
        <f>+VLOOKUP($L453,Data_Validation!$A:$E,5,0)</f>
        <v>NB</v>
      </c>
      <c r="X453" s="153">
        <f>+VLOOKUP($L453,Data_Validation!$A:$F,6,0)</f>
        <v>0</v>
      </c>
    </row>
    <row r="454" spans="1:24" ht="15" customHeight="1">
      <c r="A454" s="1193" t="s">
        <v>3437</v>
      </c>
      <c r="B454" s="1194" t="s">
        <v>3438</v>
      </c>
      <c r="C454" s="1197"/>
      <c r="D454" s="1197"/>
      <c r="E454" s="1197"/>
      <c r="F454" s="1193" t="s">
        <v>4</v>
      </c>
      <c r="G454" s="1193" t="s">
        <v>2078</v>
      </c>
      <c r="H454" s="1201"/>
      <c r="I454" s="1201" t="s">
        <v>3279</v>
      </c>
      <c r="J454" s="1201">
        <v>-19</v>
      </c>
      <c r="K454" s="1201">
        <v>-19</v>
      </c>
      <c r="L454" s="150" t="str">
        <f t="shared" si="35"/>
        <v>9167@</v>
      </c>
      <c r="M454" s="151" t="str">
        <f t="shared" si="36"/>
        <v>ASSURANCE VIE USAGE</v>
      </c>
      <c r="N454" s="152" t="str">
        <f>+IF(OR($Q454=Parametres!$G$2,$Q454=Parametres!$G$3),I454,C454)</f>
        <v xml:space="preserve">                                             -   </v>
      </c>
      <c r="O454" s="1084">
        <f>+IF(OR($Q454=Parametres!$G$2,$Q454=Parametres!$G$3),J454,D454)</f>
        <v>-19</v>
      </c>
      <c r="P454" s="152">
        <f>+IF(OR($Q454=Parametres!$G$2,$Q454=Parametres!$G$3),K454,E454)</f>
        <v>-19</v>
      </c>
      <c r="Q454" s="151" t="str">
        <f t="shared" si="37"/>
        <v>10-Compte compteur</v>
      </c>
      <c r="R454" s="150" t="str">
        <f t="shared" si="38"/>
        <v>9163</v>
      </c>
      <c r="S454" s="151">
        <f t="shared" si="39"/>
        <v>0</v>
      </c>
      <c r="T454" s="153" t="str">
        <f>+VLOOKUP($L454,Data_Validation!$A:$D,1,0)</f>
        <v>9167@</v>
      </c>
      <c r="U454" s="153" t="str">
        <f>+VLOOKUP($L454,Data_Validation!$A:$D,3,0)</f>
        <v>Véhicules usagés</v>
      </c>
      <c r="V454" s="153">
        <f>+VLOOKUP($L454,Data_Validation!$A:$D,4,0)</f>
        <v>0</v>
      </c>
      <c r="W454" s="153" t="str">
        <f>+VLOOKUP($L454,Data_Validation!$A:$E,5,0)</f>
        <v>NB</v>
      </c>
      <c r="X454" s="153">
        <f>+VLOOKUP($L454,Data_Validation!$A:$F,6,0)</f>
        <v>0</v>
      </c>
    </row>
    <row r="455" spans="1:24" ht="15" customHeight="1">
      <c r="A455" s="1193" t="s">
        <v>3439</v>
      </c>
      <c r="B455" s="1194" t="s">
        <v>3440</v>
      </c>
      <c r="C455" s="1197"/>
      <c r="D455" s="1197"/>
      <c r="E455" s="1197"/>
      <c r="F455" s="1193" t="s">
        <v>4</v>
      </c>
      <c r="G455" s="1193" t="s">
        <v>2078</v>
      </c>
      <c r="H455" s="1201"/>
      <c r="I455" s="1201" t="s">
        <v>3279</v>
      </c>
      <c r="J455" s="1201">
        <v>-97</v>
      </c>
      <c r="K455" s="1201">
        <v>-97</v>
      </c>
      <c r="L455" s="150" t="str">
        <f t="shared" si="35"/>
        <v>9171@</v>
      </c>
      <c r="M455" s="151" t="str">
        <f t="shared" si="36"/>
        <v>VENTE CHIMIQUE USAGE</v>
      </c>
      <c r="N455" s="152" t="str">
        <f>+IF(OR($Q455=Parametres!$G$2,$Q455=Parametres!$G$3),I455,C455)</f>
        <v xml:space="preserve">                                             -   </v>
      </c>
      <c r="O455" s="1082">
        <f>+IF(OR($Q455=Parametres!$G$2,$Q455=Parametres!$G$3),J455,D455)</f>
        <v>-97</v>
      </c>
      <c r="P455" s="152">
        <f>+IF(OR($Q455=Parametres!$G$2,$Q455=Parametres!$G$3),K455,E455)</f>
        <v>-97</v>
      </c>
      <c r="Q455" s="151" t="str">
        <f t="shared" si="37"/>
        <v>10-Compte compteur</v>
      </c>
      <c r="R455" s="150" t="str">
        <f t="shared" si="38"/>
        <v>9163</v>
      </c>
      <c r="S455" s="151">
        <f t="shared" si="39"/>
        <v>0</v>
      </c>
      <c r="T455" s="153" t="str">
        <f>+VLOOKUP($L455,Data_Validation!$A:$D,1,0)</f>
        <v>9171@</v>
      </c>
      <c r="U455" s="153" t="str">
        <f>+VLOOKUP($L455,Data_Validation!$A:$D,3,0)</f>
        <v>Véhicules usagés</v>
      </c>
      <c r="V455" s="153">
        <f>+VLOOKUP($L455,Data_Validation!$A:$D,4,0)</f>
        <v>0</v>
      </c>
      <c r="W455" s="153" t="str">
        <f>+VLOOKUP($L455,Data_Validation!$A:$E,5,0)</f>
        <v>NB</v>
      </c>
      <c r="X455" s="153">
        <f>+VLOOKUP($L455,Data_Validation!$A:$F,6,0)</f>
        <v>0</v>
      </c>
    </row>
    <row r="456" spans="1:24" ht="15" customHeight="1">
      <c r="A456" s="1193" t="s">
        <v>3441</v>
      </c>
      <c r="B456" s="1194" t="s">
        <v>3442</v>
      </c>
      <c r="C456" s="1197"/>
      <c r="D456" s="1197"/>
      <c r="E456" s="1197"/>
      <c r="F456" s="1193" t="s">
        <v>4</v>
      </c>
      <c r="G456" s="1193" t="s">
        <v>2078</v>
      </c>
      <c r="H456" s="1201"/>
      <c r="I456" s="1201" t="s">
        <v>3279</v>
      </c>
      <c r="J456" s="1201">
        <v>-146</v>
      </c>
      <c r="K456" s="1201">
        <v>-146</v>
      </c>
      <c r="L456" s="150" t="str">
        <f t="shared" si="35"/>
        <v>9172@</v>
      </c>
      <c r="M456" s="151" t="str">
        <f t="shared" si="36"/>
        <v># DE PROFIT PROTECTIONS - USAGES</v>
      </c>
      <c r="N456" s="152" t="str">
        <f>+IF(OR($Q456=Parametres!$G$2,$Q456=Parametres!$G$3),I456,C456)</f>
        <v xml:space="preserve">                                             -   </v>
      </c>
      <c r="O456" s="1084">
        <f>+IF(OR($Q456=Parametres!$G$2,$Q456=Parametres!$G$3),J456,D456)</f>
        <v>-146</v>
      </c>
      <c r="P456" s="152">
        <f>+IF(OR($Q456=Parametres!$G$2,$Q456=Parametres!$G$3),K456,E456)</f>
        <v>-146</v>
      </c>
      <c r="Q456" s="151" t="str">
        <f t="shared" si="37"/>
        <v>10-Compte compteur</v>
      </c>
      <c r="R456" s="150" t="str">
        <f t="shared" si="38"/>
        <v>9163</v>
      </c>
      <c r="S456" s="151">
        <f t="shared" si="39"/>
        <v>0</v>
      </c>
      <c r="T456" s="153" t="str">
        <f>+VLOOKUP($L456,Data_Validation!$A:$D,1,0)</f>
        <v>9172@</v>
      </c>
      <c r="U456" s="153" t="str">
        <f>+VLOOKUP($L456,Data_Validation!$A:$D,3,0)</f>
        <v>Véhicules usagés</v>
      </c>
      <c r="V456" s="153">
        <f>+VLOOKUP($L456,Data_Validation!$A:$D,4,0)</f>
        <v>0</v>
      </c>
      <c r="W456" s="153" t="str">
        <f>+VLOOKUP($L456,Data_Validation!$A:$E,5,0)</f>
        <v>NB</v>
      </c>
      <c r="X456" s="153">
        <f>+VLOOKUP($L456,Data_Validation!$A:$F,6,0)</f>
        <v>0</v>
      </c>
    </row>
    <row r="457" spans="1:24" ht="15" customHeight="1">
      <c r="A457" s="1193"/>
      <c r="B457" s="1194"/>
      <c r="C457" s="1197"/>
      <c r="D457" s="1197"/>
      <c r="E457" s="1197"/>
      <c r="F457" s="1193"/>
      <c r="G457" s="1193"/>
      <c r="H457" s="1201"/>
      <c r="I457" s="1201"/>
      <c r="J457" s="1201"/>
      <c r="K457" s="1201"/>
      <c r="L457" s="150">
        <f t="shared" si="35"/>
        <v>0</v>
      </c>
      <c r="M457" s="151">
        <f t="shared" si="36"/>
        <v>0</v>
      </c>
      <c r="N457" s="152">
        <f>+IF(OR($Q457=Parametres!$G$2,$Q457=Parametres!$G$3),I457,C457)</f>
        <v>0</v>
      </c>
      <c r="O457" s="1082">
        <f>+IF(OR($Q457=Parametres!$G$2,$Q457=Parametres!$G$3),J457,D457)</f>
        <v>0</v>
      </c>
      <c r="P457" s="152">
        <f>+IF(OR($Q457=Parametres!$G$2,$Q457=Parametres!$G$3),K457,E457)</f>
        <v>0</v>
      </c>
      <c r="Q457" s="151">
        <f t="shared" si="37"/>
        <v>0</v>
      </c>
      <c r="R457" s="150">
        <f t="shared" si="38"/>
        <v>0</v>
      </c>
      <c r="S457" s="151">
        <f t="shared" si="39"/>
        <v>0</v>
      </c>
      <c r="T457" s="153" t="e">
        <f>+VLOOKUP($L457,Data_Validation!$A:$D,1,0)</f>
        <v>#N/A</v>
      </c>
      <c r="U457" s="153" t="e">
        <f>+VLOOKUP($L457,Data_Validation!$A:$D,3,0)</f>
        <v>#N/A</v>
      </c>
      <c r="V457" s="153" t="e">
        <f>+VLOOKUP($L457,Data_Validation!$A:$D,4,0)</f>
        <v>#N/A</v>
      </c>
      <c r="W457" s="153" t="e">
        <f>+VLOOKUP($L457,Data_Validation!$A:$E,5,0)</f>
        <v>#N/A</v>
      </c>
      <c r="X457" s="153" t="e">
        <f>+VLOOKUP($L457,Data_Validation!$A:$F,6,0)</f>
        <v>#N/A</v>
      </c>
    </row>
    <row r="458" spans="1:24" ht="15" customHeight="1">
      <c r="A458" s="1193"/>
      <c r="B458" s="1194"/>
      <c r="C458" s="1197"/>
      <c r="D458" s="1197"/>
      <c r="E458" s="1197"/>
      <c r="F458" s="1193"/>
      <c r="G458" s="1193"/>
      <c r="H458" s="1201"/>
      <c r="I458" s="1201"/>
      <c r="J458" s="1201"/>
      <c r="K458" s="1201"/>
      <c r="L458" s="150">
        <f t="shared" si="35"/>
        <v>0</v>
      </c>
      <c r="M458" s="151">
        <f t="shared" si="36"/>
        <v>0</v>
      </c>
      <c r="N458" s="152">
        <f>+IF(OR($Q458=Parametres!$G$2,$Q458=Parametres!$G$3),I458,C458)</f>
        <v>0</v>
      </c>
      <c r="O458" s="1082">
        <f>+IF(OR($Q458=Parametres!$G$2,$Q458=Parametres!$G$3),J458,D458)</f>
        <v>0</v>
      </c>
      <c r="P458" s="152">
        <f>+IF(OR($Q458=Parametres!$G$2,$Q458=Parametres!$G$3),K458,E458)</f>
        <v>0</v>
      </c>
      <c r="Q458" s="151">
        <f t="shared" si="37"/>
        <v>0</v>
      </c>
      <c r="R458" s="150">
        <f t="shared" si="38"/>
        <v>0</v>
      </c>
      <c r="S458" s="151">
        <f t="shared" si="39"/>
        <v>0</v>
      </c>
      <c r="T458" s="153" t="e">
        <f>+VLOOKUP($L458,Data_Validation!$A:$D,1,0)</f>
        <v>#N/A</v>
      </c>
      <c r="U458" s="153" t="e">
        <f>+VLOOKUP($L458,Data_Validation!$A:$D,3,0)</f>
        <v>#N/A</v>
      </c>
      <c r="V458" s="153" t="e">
        <f>+VLOOKUP($L458,Data_Validation!$A:$D,4,0)</f>
        <v>#N/A</v>
      </c>
      <c r="W458" s="153" t="e">
        <f>+VLOOKUP($L458,Data_Validation!$A:$E,5,0)</f>
        <v>#N/A</v>
      </c>
      <c r="X458" s="153" t="e">
        <f>+VLOOKUP($L458,Data_Validation!$A:$F,6,0)</f>
        <v>#N/A</v>
      </c>
    </row>
    <row r="459" spans="1:24" ht="15" customHeight="1">
      <c r="A459" s="1193"/>
      <c r="B459" s="1194"/>
      <c r="C459" s="1197"/>
      <c r="D459" s="1197"/>
      <c r="E459" s="1197"/>
      <c r="F459" s="1193"/>
      <c r="G459" s="1193"/>
      <c r="H459" s="1201"/>
      <c r="I459" s="1201"/>
      <c r="J459" s="1201"/>
      <c r="K459" s="1201"/>
      <c r="L459" s="150">
        <f t="shared" si="35"/>
        <v>0</v>
      </c>
      <c r="M459" s="151">
        <f t="shared" si="36"/>
        <v>0</v>
      </c>
      <c r="N459" s="152">
        <f>+IF(OR($Q459=Parametres!$G$2,$Q459=Parametres!$G$3),I459,C459)</f>
        <v>0</v>
      </c>
      <c r="O459" s="1082">
        <f>+IF(OR($Q459=Parametres!$G$2,$Q459=Parametres!$G$3),J459,D459)</f>
        <v>0</v>
      </c>
      <c r="P459" s="152">
        <f>+IF(OR($Q459=Parametres!$G$2,$Q459=Parametres!$G$3),K459,E459)</f>
        <v>0</v>
      </c>
      <c r="Q459" s="151">
        <f t="shared" si="37"/>
        <v>0</v>
      </c>
      <c r="R459" s="150">
        <f t="shared" si="38"/>
        <v>0</v>
      </c>
      <c r="S459" s="151">
        <f t="shared" si="39"/>
        <v>0</v>
      </c>
      <c r="T459" s="153" t="e">
        <f>+VLOOKUP($L459,Data_Validation!$A:$D,1,0)</f>
        <v>#N/A</v>
      </c>
      <c r="U459" s="153" t="e">
        <f>+VLOOKUP($L459,Data_Validation!$A:$D,3,0)</f>
        <v>#N/A</v>
      </c>
      <c r="V459" s="153" t="e">
        <f>+VLOOKUP($L459,Data_Validation!$A:$D,4,0)</f>
        <v>#N/A</v>
      </c>
      <c r="W459" s="153" t="e">
        <f>+VLOOKUP($L459,Data_Validation!$A:$E,5,0)</f>
        <v>#N/A</v>
      </c>
      <c r="X459" s="153" t="e">
        <f>+VLOOKUP($L459,Data_Validation!$A:$F,6,0)</f>
        <v>#N/A</v>
      </c>
    </row>
    <row r="460" spans="1:24" ht="15" customHeight="1">
      <c r="A460" s="1193"/>
      <c r="B460" s="1194"/>
      <c r="C460" s="1197"/>
      <c r="D460" s="1197"/>
      <c r="E460" s="1197"/>
      <c r="F460" s="1193"/>
      <c r="G460" s="1193"/>
      <c r="H460" s="1201"/>
      <c r="I460" s="1201"/>
      <c r="J460" s="1201"/>
      <c r="K460" s="1201"/>
      <c r="L460" s="150">
        <f t="shared" si="35"/>
        <v>0</v>
      </c>
      <c r="M460" s="151">
        <f t="shared" si="36"/>
        <v>0</v>
      </c>
      <c r="N460" s="152">
        <f>+IF(OR($Q460=Parametres!$G$2,$Q460=Parametres!$G$3),I460,C460)</f>
        <v>0</v>
      </c>
      <c r="O460" s="1082">
        <f>+IF(OR($Q460=Parametres!$G$2,$Q460=Parametres!$G$3),J460,D460)</f>
        <v>0</v>
      </c>
      <c r="P460" s="152">
        <f>+IF(OR($Q460=Parametres!$G$2,$Q460=Parametres!$G$3),K460,E460)</f>
        <v>0</v>
      </c>
      <c r="Q460" s="151">
        <f t="shared" si="37"/>
        <v>0</v>
      </c>
      <c r="R460" s="150">
        <f t="shared" si="38"/>
        <v>0</v>
      </c>
      <c r="S460" s="151">
        <f t="shared" si="39"/>
        <v>0</v>
      </c>
      <c r="T460" s="153" t="e">
        <f>+VLOOKUP($L460,Data_Validation!$A:$D,1,0)</f>
        <v>#N/A</v>
      </c>
      <c r="U460" s="153" t="e">
        <f>+VLOOKUP($L460,Data_Validation!$A:$D,3,0)</f>
        <v>#N/A</v>
      </c>
      <c r="V460" s="153" t="e">
        <f>+VLOOKUP($L460,Data_Validation!$A:$D,4,0)</f>
        <v>#N/A</v>
      </c>
      <c r="W460" s="153" t="e">
        <f>+VLOOKUP($L460,Data_Validation!$A:$E,5,0)</f>
        <v>#N/A</v>
      </c>
      <c r="X460" s="153" t="e">
        <f>+VLOOKUP($L460,Data_Validation!$A:$F,6,0)</f>
        <v>#N/A</v>
      </c>
    </row>
    <row r="461" spans="1:24" ht="15" customHeight="1">
      <c r="A461" s="1193"/>
      <c r="B461" s="1194"/>
      <c r="C461" s="1197"/>
      <c r="D461" s="1197"/>
      <c r="E461" s="1197"/>
      <c r="F461" s="1193"/>
      <c r="G461" s="1193"/>
      <c r="H461" s="1201"/>
      <c r="I461" s="1201"/>
      <c r="J461" s="1201"/>
      <c r="K461" s="1201"/>
      <c r="L461" s="150">
        <f t="shared" si="35"/>
        <v>0</v>
      </c>
      <c r="M461" s="151">
        <f t="shared" si="36"/>
        <v>0</v>
      </c>
      <c r="N461" s="152">
        <f>+IF(OR($Q461=Parametres!$G$2,$Q461=Parametres!$G$3),I461,C461)</f>
        <v>0</v>
      </c>
      <c r="O461" s="1082">
        <f>+IF(OR($Q461=Parametres!$G$2,$Q461=Parametres!$G$3),J461,D461)</f>
        <v>0</v>
      </c>
      <c r="P461" s="152">
        <f>+IF(OR($Q461=Parametres!$G$2,$Q461=Parametres!$G$3),K461,E461)</f>
        <v>0</v>
      </c>
      <c r="Q461" s="151">
        <f t="shared" si="37"/>
        <v>0</v>
      </c>
      <c r="R461" s="150">
        <f t="shared" si="38"/>
        <v>0</v>
      </c>
      <c r="S461" s="151">
        <f t="shared" si="39"/>
        <v>0</v>
      </c>
      <c r="T461" s="153" t="e">
        <f>+VLOOKUP($L461,Data_Validation!$A:$D,1,0)</f>
        <v>#N/A</v>
      </c>
      <c r="U461" s="153" t="e">
        <f>+VLOOKUP($L461,Data_Validation!$A:$D,3,0)</f>
        <v>#N/A</v>
      </c>
      <c r="V461" s="153" t="e">
        <f>+VLOOKUP($L461,Data_Validation!$A:$D,4,0)</f>
        <v>#N/A</v>
      </c>
      <c r="W461" s="153" t="e">
        <f>+VLOOKUP($L461,Data_Validation!$A:$E,5,0)</f>
        <v>#N/A</v>
      </c>
      <c r="X461" s="153" t="e">
        <f>+VLOOKUP($L461,Data_Validation!$A:$F,6,0)</f>
        <v>#N/A</v>
      </c>
    </row>
    <row r="462" spans="1:24" ht="15" customHeight="1">
      <c r="I462" s="509"/>
      <c r="J462" s="509"/>
      <c r="K462" s="509"/>
      <c r="L462" s="150">
        <f t="shared" si="35"/>
        <v>0</v>
      </c>
      <c r="M462" s="151">
        <f t="shared" si="36"/>
        <v>0</v>
      </c>
      <c r="N462" s="152">
        <f>+IF(OR($Q462=Parametres!$G$2,$Q462=Parametres!$G$3),I462,C462)</f>
        <v>0</v>
      </c>
      <c r="O462" s="1082">
        <f>+IF(OR($Q462=Parametres!$G$2,$Q462=Parametres!$G$3),J462,D462)</f>
        <v>0</v>
      </c>
      <c r="P462" s="152">
        <f>+IF(OR($Q462=Parametres!$G$2,$Q462=Parametres!$G$3),K462,E462)</f>
        <v>0</v>
      </c>
      <c r="Q462" s="151">
        <f t="shared" si="37"/>
        <v>0</v>
      </c>
      <c r="R462" s="150">
        <f t="shared" si="38"/>
        <v>0</v>
      </c>
      <c r="S462" s="151">
        <f t="shared" si="39"/>
        <v>0</v>
      </c>
      <c r="T462" s="153" t="e">
        <f>+VLOOKUP($L462,Data_Validation!$A:$D,1,0)</f>
        <v>#N/A</v>
      </c>
      <c r="U462" s="153" t="e">
        <f>+VLOOKUP($L462,Data_Validation!$A:$D,3,0)</f>
        <v>#N/A</v>
      </c>
      <c r="V462" s="153" t="e">
        <f>+VLOOKUP($L462,Data_Validation!$A:$D,4,0)</f>
        <v>#N/A</v>
      </c>
      <c r="W462" s="153" t="e">
        <f>+VLOOKUP($L462,Data_Validation!$A:$E,5,0)</f>
        <v>#N/A</v>
      </c>
      <c r="X462" s="153" t="e">
        <f>+VLOOKUP($L462,Data_Validation!$A:$F,6,0)</f>
        <v>#N/A</v>
      </c>
    </row>
    <row r="463" spans="1:24" ht="15" customHeight="1">
      <c r="I463" s="509"/>
      <c r="J463" s="509"/>
      <c r="K463" s="509"/>
      <c r="P463" s="1213">
        <f>+P84+P85+P86+P87+P90</f>
        <v>2912847.23</v>
      </c>
    </row>
    <row r="465" spans="2:16" ht="15" customHeight="1">
      <c r="B465" s="509">
        <v>4105</v>
      </c>
      <c r="C465" s="509">
        <v>0</v>
      </c>
    </row>
    <row r="466" spans="2:16" ht="15" customHeight="1">
      <c r="B466" s="509" t="s">
        <v>2478</v>
      </c>
      <c r="L466" s="155">
        <v>1442</v>
      </c>
      <c r="M466" t="s">
        <v>2025</v>
      </c>
      <c r="N466" s="1074">
        <f>VLOOKUP($L466,$L$1:$P$465,3,FALSE)</f>
        <v>51805.33</v>
      </c>
      <c r="O466" s="1074">
        <f>VLOOKUP($L466,$L$1:$P$465,4,FALSE)</f>
        <v>-51805.33</v>
      </c>
      <c r="P466" s="1074" t="str">
        <f>VLOOKUP($L466,$L$1:$P$465,5,FALSE)</f>
        <v xml:space="preserve">                        -   </v>
      </c>
    </row>
    <row r="467" spans="2:16" ht="15" customHeight="1">
      <c r="B467" s="509">
        <v>4107</v>
      </c>
      <c r="C467" s="509">
        <v>-1</v>
      </c>
      <c r="D467" s="509">
        <f>C467/$C$485</f>
        <v>1.2658227848101266E-2</v>
      </c>
      <c r="E467" s="509">
        <f>D467*$E$486</f>
        <v>126.75949367088607</v>
      </c>
      <c r="F467" s="509">
        <f>E467/C467</f>
        <v>-126.75949367088607</v>
      </c>
      <c r="L467" s="155">
        <v>1448</v>
      </c>
      <c r="M467" t="s">
        <v>2862</v>
      </c>
      <c r="N467" s="1074">
        <f t="shared" ref="N467:N471" si="40">VLOOKUP($L467,$L$1:$P$465,3,FALSE)</f>
        <v>-37600.14</v>
      </c>
      <c r="O467" s="1074">
        <f t="shared" ref="O467:O472" si="41">VLOOKUP($L467,$L$1:$P$465,4,FALSE)</f>
        <v>37600.14</v>
      </c>
      <c r="P467" s="1074" t="str">
        <f t="shared" ref="P467:P471" si="42">VLOOKUP(L467,$L$1:$P$465,5,FALSE)</f>
        <v xml:space="preserve">                        -   </v>
      </c>
    </row>
    <row r="468" spans="2:16" ht="15" customHeight="1">
      <c r="B468" s="509" t="s">
        <v>2480</v>
      </c>
      <c r="L468" s="155">
        <v>1452</v>
      </c>
      <c r="M468" t="s">
        <v>2815</v>
      </c>
      <c r="N468" s="1074">
        <f t="shared" si="40"/>
        <v>296747.12</v>
      </c>
      <c r="O468" s="1074">
        <f t="shared" si="41"/>
        <v>7716.79</v>
      </c>
      <c r="P468" s="1074">
        <f t="shared" si="42"/>
        <v>304463.90999999997</v>
      </c>
    </row>
    <row r="469" spans="2:16" ht="15" customHeight="1">
      <c r="B469" s="509">
        <v>4111</v>
      </c>
      <c r="C469" s="509">
        <v>-6</v>
      </c>
      <c r="D469" s="509">
        <f>C469/$C$485</f>
        <v>7.5949367088607597E-2</v>
      </c>
      <c r="E469" s="509">
        <f>D469*$E$486</f>
        <v>760.55696202531647</v>
      </c>
      <c r="F469" s="509">
        <f>E469/C469</f>
        <v>-126.75949367088607</v>
      </c>
      <c r="L469" s="155">
        <v>1456</v>
      </c>
      <c r="M469" t="s">
        <v>2731</v>
      </c>
      <c r="N469" s="1074">
        <f t="shared" si="40"/>
        <v>38259.730000000003</v>
      </c>
      <c r="O469" s="1074">
        <f t="shared" si="41"/>
        <v>9662.4</v>
      </c>
      <c r="P469" s="1074">
        <f t="shared" si="42"/>
        <v>47922.13</v>
      </c>
    </row>
    <row r="470" spans="2:16" ht="15" customHeight="1">
      <c r="B470" s="509" t="s">
        <v>2484</v>
      </c>
      <c r="L470" s="155">
        <v>1492</v>
      </c>
      <c r="M470" t="s">
        <v>2133</v>
      </c>
      <c r="N470" s="1074">
        <f t="shared" si="40"/>
        <v>7436.94</v>
      </c>
      <c r="O470" s="1074">
        <f t="shared" si="41"/>
        <v>-1902.08</v>
      </c>
      <c r="P470" s="1074">
        <f t="shared" si="42"/>
        <v>5534.86</v>
      </c>
    </row>
    <row r="471" spans="2:16" ht="15" customHeight="1">
      <c r="B471" s="509">
        <v>4118</v>
      </c>
      <c r="C471" s="509">
        <v>-12</v>
      </c>
      <c r="D471" s="509">
        <f>C471/$C$485</f>
        <v>0.15189873417721519</v>
      </c>
      <c r="E471" s="509">
        <f>D471*$E$486</f>
        <v>1521.1139240506329</v>
      </c>
      <c r="F471" s="509">
        <f>E471/C471</f>
        <v>-126.75949367088607</v>
      </c>
      <c r="L471" s="155">
        <v>1498</v>
      </c>
      <c r="M471" t="s">
        <v>2682</v>
      </c>
      <c r="N471" s="1074" t="str">
        <f t="shared" si="40"/>
        <v xml:space="preserve">                                 -   </v>
      </c>
      <c r="O471" s="1074">
        <f t="shared" si="41"/>
        <v>47.1</v>
      </c>
      <c r="P471" s="1074">
        <f t="shared" si="42"/>
        <v>47.1</v>
      </c>
    </row>
    <row r="472" spans="2:16" ht="15" customHeight="1">
      <c r="B472" s="509" t="s">
        <v>2897</v>
      </c>
      <c r="N472" s="1074">
        <f>SUBTOTAL(9,N466:N471)</f>
        <v>356648.98</v>
      </c>
      <c r="O472" s="1074">
        <f t="shared" si="41"/>
        <v>0</v>
      </c>
      <c r="P472" s="1074">
        <f>SUBTOTAL(9,P466:P471)</f>
        <v>357967.99999999994</v>
      </c>
    </row>
    <row r="473" spans="2:16" ht="15" customHeight="1">
      <c r="B473" s="509">
        <v>4119</v>
      </c>
      <c r="C473" s="509">
        <v>-14</v>
      </c>
      <c r="D473" s="509">
        <f>C473/$C$485</f>
        <v>0.17721518987341772</v>
      </c>
      <c r="E473" s="509">
        <f>D473*$E$486</f>
        <v>1774.632911392405</v>
      </c>
      <c r="F473" s="509">
        <f>E473/C473</f>
        <v>-126.75949367088607</v>
      </c>
    </row>
    <row r="474" spans="2:16" ht="15" customHeight="1">
      <c r="B474" s="509" t="s">
        <v>2490</v>
      </c>
    </row>
    <row r="475" spans="2:16" ht="15" customHeight="1">
      <c r="B475" s="509">
        <v>4121</v>
      </c>
      <c r="C475" s="509">
        <v>-1</v>
      </c>
      <c r="D475" s="509">
        <f>C475/$C$485</f>
        <v>1.2658227848101266E-2</v>
      </c>
      <c r="E475" s="509">
        <f>D475*$E$486</f>
        <v>126.75949367088607</v>
      </c>
      <c r="F475" s="509">
        <f>E475/C475</f>
        <v>-126.75949367088607</v>
      </c>
    </row>
    <row r="476" spans="2:16" ht="15" customHeight="1">
      <c r="B476" s="509" t="s">
        <v>2884</v>
      </c>
    </row>
    <row r="477" spans="2:16" ht="15" customHeight="1">
      <c r="B477" s="509">
        <v>4127</v>
      </c>
      <c r="C477" s="509">
        <v>-2</v>
      </c>
      <c r="D477" s="509">
        <f>C477/$C$485</f>
        <v>2.5316455696202531E-2</v>
      </c>
      <c r="E477" s="509">
        <f>D477*$E$486</f>
        <v>253.51898734177215</v>
      </c>
      <c r="F477" s="509">
        <f>E477/C477</f>
        <v>-126.75949367088607</v>
      </c>
    </row>
    <row r="478" spans="2:16" ht="15" customHeight="1">
      <c r="B478" s="509" t="s">
        <v>2492</v>
      </c>
      <c r="L478" s="150"/>
      <c r="M478" s="151"/>
    </row>
    <row r="479" spans="2:16" ht="15" customHeight="1">
      <c r="B479" s="509">
        <v>4131</v>
      </c>
      <c r="C479" s="509">
        <v>-28</v>
      </c>
      <c r="D479" s="509">
        <f>C479/$C$485</f>
        <v>0.35443037974683544</v>
      </c>
      <c r="E479" s="509">
        <f>D479*$E$486</f>
        <v>3549.2658227848101</v>
      </c>
      <c r="F479" s="509">
        <f>E479/C479</f>
        <v>-126.75949367088607</v>
      </c>
      <c r="L479" s="150"/>
      <c r="M479" s="151"/>
    </row>
    <row r="480" spans="2:16" ht="15" customHeight="1">
      <c r="B480" s="509" t="s">
        <v>2494</v>
      </c>
      <c r="D480" s="1115"/>
      <c r="L480" s="150"/>
      <c r="M480" s="151"/>
    </row>
    <row r="481" spans="2:13" ht="15" customHeight="1">
      <c r="B481" s="509">
        <v>4135</v>
      </c>
      <c r="C481" s="509">
        <v>0</v>
      </c>
      <c r="D481" s="509">
        <f>C481/$C$485</f>
        <v>0</v>
      </c>
      <c r="L481" s="150"/>
      <c r="M481" s="151"/>
    </row>
    <row r="482" spans="2:13" ht="15" customHeight="1">
      <c r="B482" s="509" t="s">
        <v>2496</v>
      </c>
      <c r="L482" s="150"/>
      <c r="M482" s="151"/>
    </row>
    <row r="483" spans="2:13" ht="15" customHeight="1">
      <c r="B483" s="509">
        <v>4139</v>
      </c>
      <c r="C483" s="509">
        <v>-15</v>
      </c>
      <c r="D483" s="509">
        <f>C483/$C$485</f>
        <v>0.189873417721519</v>
      </c>
      <c r="E483" s="509">
        <f>D483*$E$486</f>
        <v>1901.3924050632913</v>
      </c>
      <c r="F483" s="509">
        <f>E483/C483</f>
        <v>-126.75949367088609</v>
      </c>
    </row>
    <row r="484" spans="2:13" ht="15" customHeight="1">
      <c r="B484" s="509" t="s">
        <v>2501</v>
      </c>
    </row>
    <row r="485" spans="2:13" ht="15" customHeight="1">
      <c r="C485" s="509">
        <f>SUBTOTAL(9,C465:C484)</f>
        <v>-79</v>
      </c>
      <c r="D485" s="509">
        <f>SUBTOTAL(9,D465:D484)</f>
        <v>1</v>
      </c>
    </row>
    <row r="486" spans="2:13" ht="15" customHeight="1">
      <c r="E486" s="509">
        <v>10014</v>
      </c>
      <c r="F486" s="509" t="s">
        <v>2942</v>
      </c>
    </row>
  </sheetData>
  <autoFilter ref="A1:X463" xr:uid="{00000000-0009-0000-0000-00000A000000}">
    <sortState xmlns:xlrd2="http://schemas.microsoft.com/office/spreadsheetml/2017/richdata2" ref="A2:X463">
      <sortCondition ref="B1:B463"/>
    </sortState>
  </autoFilter>
  <dataValidations count="1">
    <dataValidation type="list" allowBlank="1" showErrorMessage="1" sqref="U1" xr:uid="{00000000-0002-0000-0A00-000000000000}">
      <formula1>$D$1:$D$26</formula1>
    </dataValidation>
  </dataValidations>
  <pageMargins left="0.7" right="0.7" top="0.75" bottom="0.75" header="0" footer="0"/>
  <pageSetup scale="63" orientation="landscape"/>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AC1102"/>
  <sheetViews>
    <sheetView zoomScale="90" zoomScaleNormal="90" workbookViewId="0">
      <pane ySplit="1" topLeftCell="A491" activePane="bottomLeft" state="frozen"/>
      <selection pane="bottomLeft" activeCell="A504" sqref="A504"/>
    </sheetView>
  </sheetViews>
  <sheetFormatPr baseColWidth="10" defaultColWidth="12.59765625" defaultRowHeight="15" customHeight="1" outlineLevelCol="1"/>
  <cols>
    <col min="1" max="1" width="9.19921875" customWidth="1"/>
    <col min="2" max="2" width="42.5" customWidth="1"/>
    <col min="3" max="3" width="16.3984375" customWidth="1"/>
    <col min="4" max="4" width="29.8984375" customWidth="1"/>
    <col min="5" max="8" width="21.69921875" style="155" customWidth="1"/>
    <col min="9" max="9" width="28.59765625" customWidth="1" outlineLevel="1"/>
    <col min="10" max="10" width="3.19921875" customWidth="1" outlineLevel="1"/>
    <col min="11" max="11" width="35.3984375" customWidth="1" outlineLevel="1"/>
    <col min="12" max="29" width="9.3984375" customWidth="1"/>
  </cols>
  <sheetData>
    <row r="1" spans="1:14" ht="14.4">
      <c r="A1" s="935" t="s">
        <v>1634</v>
      </c>
      <c r="B1" s="935" t="s">
        <v>265</v>
      </c>
      <c r="C1" s="935" t="s">
        <v>1636</v>
      </c>
      <c r="D1" s="935" t="s">
        <v>275</v>
      </c>
      <c r="E1" s="985" t="s">
        <v>276</v>
      </c>
      <c r="F1" s="985" t="s">
        <v>1915</v>
      </c>
      <c r="G1" s="985" t="s">
        <v>1923</v>
      </c>
      <c r="I1" s="156" t="s">
        <v>1636</v>
      </c>
      <c r="K1" s="156" t="s">
        <v>275</v>
      </c>
      <c r="N1" s="181"/>
    </row>
    <row r="2" spans="1:14" ht="15" customHeight="1">
      <c r="A2" s="1101">
        <v>10</v>
      </c>
      <c r="B2" s="163" t="s">
        <v>2198</v>
      </c>
      <c r="C2" s="934"/>
      <c r="D2" s="934"/>
      <c r="E2" s="981"/>
      <c r="F2" s="982"/>
      <c r="G2" s="981" t="str">
        <f>+VLOOKUP(Data_Validation!$A2,BV_Data_An_Cour!$L:$Q,6,0)</f>
        <v>1-Mémo</v>
      </c>
      <c r="H2" s="159"/>
      <c r="I2" s="158" t="s">
        <v>1638</v>
      </c>
      <c r="K2" s="158">
        <f>Print_Mois!C4</f>
        <v>0</v>
      </c>
      <c r="N2" s="181"/>
    </row>
    <row r="3" spans="1:14" ht="15" customHeight="1">
      <c r="A3" s="1101">
        <v>20</v>
      </c>
      <c r="B3" s="163" t="s">
        <v>2201</v>
      </c>
      <c r="C3" s="934"/>
      <c r="D3" s="934"/>
      <c r="E3" s="981"/>
      <c r="F3" s="982"/>
      <c r="G3" s="981" t="str">
        <f>+VLOOKUP(Data_Validation!$A3,BV_Data_An_Cour!$L:$Q,6,0)</f>
        <v>1-Mémo</v>
      </c>
      <c r="H3" s="182"/>
      <c r="I3" s="158" t="str">
        <f>Print_Mois!K1</f>
        <v>Véhicules neufs</v>
      </c>
      <c r="K3" s="158" t="s">
        <v>66</v>
      </c>
      <c r="N3" s="181"/>
    </row>
    <row r="4" spans="1:14" ht="15" customHeight="1">
      <c r="A4" s="1101">
        <v>30</v>
      </c>
      <c r="B4" s="163" t="s">
        <v>2203</v>
      </c>
      <c r="C4" s="934"/>
      <c r="D4" s="934"/>
      <c r="E4" s="981"/>
      <c r="F4" s="982"/>
      <c r="G4" s="981" t="str">
        <f>+VLOOKUP(Data_Validation!$A4,BV_Data_An_Cour!$L:$Q,6,0)</f>
        <v>1-Mémo</v>
      </c>
      <c r="H4" s="182"/>
      <c r="I4" s="158" t="str">
        <f>Print_Mois!K89</f>
        <v>Véhicules usagés</v>
      </c>
      <c r="K4" s="158" t="str">
        <f>Print_Mois!C183</f>
        <v>Ajustement M/O</v>
      </c>
      <c r="M4" s="621" t="s">
        <v>1924</v>
      </c>
      <c r="N4" s="181"/>
    </row>
    <row r="5" spans="1:14" ht="15" customHeight="1">
      <c r="A5" s="1101">
        <v>40</v>
      </c>
      <c r="B5" s="163" t="s">
        <v>2205</v>
      </c>
      <c r="C5" s="934"/>
      <c r="D5" s="934"/>
      <c r="E5" s="981"/>
      <c r="F5" s="982"/>
      <c r="G5" s="981" t="str">
        <f>+VLOOKUP(Data_Validation!$A5,BV_Data_An_Cour!$L:$Q,6,0)</f>
        <v>1-Mémo</v>
      </c>
      <c r="H5" s="182"/>
      <c r="I5" s="158" t="str">
        <f>Print_Mois!AE401</f>
        <v>TOTAL  DES  REVENUS  ET  DÉPENSES</v>
      </c>
      <c r="K5" s="158" t="s">
        <v>53</v>
      </c>
      <c r="M5" s="622" t="s">
        <v>1925</v>
      </c>
      <c r="N5" s="181"/>
    </row>
    <row r="6" spans="1:14" ht="15" customHeight="1">
      <c r="A6" s="1101">
        <v>50</v>
      </c>
      <c r="B6" s="165" t="s">
        <v>2207</v>
      </c>
      <c r="C6" s="934"/>
      <c r="D6" s="934"/>
      <c r="E6" s="984"/>
      <c r="F6" s="982"/>
      <c r="G6" s="981" t="e">
        <f>+VLOOKUP(Data_Validation!$A6,BV_Data_An_Cour!$L:$Q,6,0)</f>
        <v>#N/A</v>
      </c>
      <c r="H6" s="182"/>
      <c r="I6" s="158" t="str">
        <f>Print_Mois!K167</f>
        <v>Service</v>
      </c>
      <c r="K6" s="158" t="s">
        <v>55</v>
      </c>
      <c r="M6" s="622" t="s">
        <v>1943</v>
      </c>
    </row>
    <row r="7" spans="1:14" ht="15" customHeight="1">
      <c r="A7" s="1108">
        <v>60</v>
      </c>
      <c r="B7" s="163" t="s">
        <v>2209</v>
      </c>
      <c r="C7" s="934"/>
      <c r="D7" s="934"/>
      <c r="E7" s="984"/>
      <c r="F7" s="981"/>
      <c r="G7" s="981" t="e">
        <f>+VLOOKUP(Data_Validation!$A7,BV_Data_An_Cour!$L:$Q,6,0)</f>
        <v>#N/A</v>
      </c>
      <c r="H7" s="182"/>
      <c r="I7" s="158" t="str">
        <f>Print_Mois!K235</f>
        <v>Carrosserie</v>
      </c>
      <c r="K7" s="158" t="str">
        <f>Print_Mois!V490</f>
        <v>Amortissement</v>
      </c>
      <c r="M7" s="622" t="s">
        <v>1944</v>
      </c>
    </row>
    <row r="8" spans="1:14" ht="15" customHeight="1">
      <c r="A8" s="1108">
        <v>70</v>
      </c>
      <c r="B8" s="165" t="s">
        <v>2211</v>
      </c>
      <c r="C8" s="934"/>
      <c r="D8" s="934"/>
      <c r="E8" s="981"/>
      <c r="F8" s="982"/>
      <c r="G8" s="981" t="e">
        <f>+VLOOKUP(Data_Validation!$A8,BV_Data_An_Cour!$L:$Q,6,0)</f>
        <v>#N/A</v>
      </c>
      <c r="H8" s="182"/>
      <c r="I8" s="158" t="str">
        <f>Print_Mois!K290</f>
        <v>Pièces</v>
      </c>
      <c r="K8" s="158" t="s">
        <v>68</v>
      </c>
      <c r="M8" s="622" t="s">
        <v>155</v>
      </c>
    </row>
    <row r="9" spans="1:14" ht="15" customHeight="1">
      <c r="A9" s="1101">
        <v>80</v>
      </c>
      <c r="B9" s="165" t="s">
        <v>2213</v>
      </c>
      <c r="C9" s="934"/>
      <c r="D9" s="934"/>
      <c r="E9" s="981"/>
      <c r="F9" s="982"/>
      <c r="G9" s="981" t="e">
        <f>+VLOOKUP(Data_Validation!$A9,BV_Data_An_Cour!$L:$Q,6,0)</f>
        <v>#N/A</v>
      </c>
      <c r="H9" s="182"/>
      <c r="I9" s="158" t="s">
        <v>1642</v>
      </c>
      <c r="K9" s="158" t="str">
        <f>Print_Mois!V456</f>
        <v>Assurances</v>
      </c>
      <c r="M9" s="622" t="s">
        <v>175</v>
      </c>
    </row>
    <row r="10" spans="1:14" ht="15" customHeight="1">
      <c r="A10" s="1101">
        <v>90</v>
      </c>
      <c r="B10" s="165" t="s">
        <v>2215</v>
      </c>
      <c r="C10" s="934"/>
      <c r="D10" s="934"/>
      <c r="E10" s="981"/>
      <c r="F10" s="982"/>
      <c r="G10" s="981" t="e">
        <f>+VLOOKUP(Data_Validation!$A10,BV_Data_An_Cour!$L:$Q,6,0)</f>
        <v>#N/A</v>
      </c>
      <c r="H10" s="182"/>
      <c r="I10" s="158"/>
      <c r="K10" s="158" t="s">
        <v>1643</v>
      </c>
      <c r="M10" s="622" t="s">
        <v>171</v>
      </c>
      <c r="N10" s="181"/>
    </row>
    <row r="11" spans="1:14" ht="15" customHeight="1">
      <c r="A11" s="1101">
        <v>100</v>
      </c>
      <c r="B11" s="163" t="s">
        <v>2217</v>
      </c>
      <c r="C11" s="934"/>
      <c r="D11" s="934"/>
      <c r="E11" s="981"/>
      <c r="F11" s="982"/>
      <c r="G11" s="981" t="e">
        <f>+VLOOKUP(Data_Validation!$A11,BV_Data_An_Cour!$L:$Q,6,0)</f>
        <v>#N/A</v>
      </c>
      <c r="H11" s="182"/>
      <c r="I11" s="158"/>
      <c r="K11" s="158" t="s">
        <v>1644</v>
      </c>
      <c r="M11" s="621" t="s">
        <v>1926</v>
      </c>
      <c r="N11" s="181"/>
    </row>
    <row r="12" spans="1:14" ht="15" customHeight="1">
      <c r="A12" s="1101">
        <v>110</v>
      </c>
      <c r="B12" s="163" t="s">
        <v>2219</v>
      </c>
      <c r="C12" s="934"/>
      <c r="D12" s="934"/>
      <c r="E12" s="981"/>
      <c r="F12" s="982"/>
      <c r="G12" s="981" t="e">
        <f>+VLOOKUP(Data_Validation!$A12,BV_Data_An_Cour!$L:$Q,6,0)</f>
        <v>#N/A</v>
      </c>
      <c r="H12" s="182"/>
      <c r="K12" s="158" t="str">
        <f>Print_Mois!C6</f>
        <v>Autos détail</v>
      </c>
      <c r="M12" s="181" t="s">
        <v>1943</v>
      </c>
    </row>
    <row r="13" spans="1:14" s="564" customFormat="1" ht="15" customHeight="1">
      <c r="A13" s="1101">
        <v>120</v>
      </c>
      <c r="B13" s="163" t="s">
        <v>2948</v>
      </c>
      <c r="C13" s="934"/>
      <c r="D13" s="934"/>
      <c r="E13" s="981"/>
      <c r="F13" s="982"/>
      <c r="G13" s="981" t="e">
        <f>+VLOOKUP(Data_Validation!$A13,BV_Data_An_Cour!$L:$Q,6,0)</f>
        <v>#N/A</v>
      </c>
      <c r="H13" s="182"/>
      <c r="K13" s="158"/>
    </row>
    <row r="14" spans="1:14" ht="15" customHeight="1">
      <c r="A14" s="1101">
        <v>229</v>
      </c>
      <c r="B14" s="163" t="s">
        <v>2221</v>
      </c>
      <c r="C14" s="934"/>
      <c r="D14" s="934"/>
      <c r="E14" s="981"/>
      <c r="F14" s="982"/>
      <c r="G14" s="981" t="str">
        <f>+VLOOKUP(Data_Validation!$A14,BV_Data_An_Cour!$L:$Q,6,0)</f>
        <v>1-Mémo</v>
      </c>
      <c r="H14" s="182"/>
      <c r="K14" s="158" t="str">
        <f>Print_Mois!C311</f>
        <v>Autostock</v>
      </c>
      <c r="M14" s="181" t="s">
        <v>1944</v>
      </c>
    </row>
    <row r="15" spans="1:14" ht="15" customHeight="1">
      <c r="A15" s="1101">
        <v>230</v>
      </c>
      <c r="B15" s="163" t="s">
        <v>2224</v>
      </c>
      <c r="C15" s="934"/>
      <c r="D15" s="934"/>
      <c r="E15" s="981" t="s">
        <v>1913</v>
      </c>
      <c r="F15" s="982"/>
      <c r="G15" s="981" t="str">
        <f>+VLOOKUP(Data_Validation!$A15,BV_Data_An_Cour!$L:$Q,6,0)</f>
        <v>1-Mémo</v>
      </c>
      <c r="H15" s="182"/>
      <c r="K15" s="158" t="s">
        <v>26</v>
      </c>
      <c r="N15" s="181"/>
    </row>
    <row r="16" spans="1:14" ht="15" customHeight="1">
      <c r="A16" s="1101">
        <v>234</v>
      </c>
      <c r="B16" s="163" t="s">
        <v>2226</v>
      </c>
      <c r="C16" s="934"/>
      <c r="D16" s="934"/>
      <c r="E16" s="981"/>
      <c r="F16" s="982"/>
      <c r="G16" s="981" t="str">
        <f>+VLOOKUP(Data_Validation!$A16,BV_Data_An_Cour!$L:$Q,6,0)</f>
        <v>1-Mémo</v>
      </c>
      <c r="H16" s="182"/>
      <c r="K16" s="158" t="s">
        <v>40</v>
      </c>
      <c r="M16" s="628" t="s">
        <v>1945</v>
      </c>
      <c r="N16" s="181"/>
    </row>
    <row r="17" spans="1:14" ht="15" customHeight="1">
      <c r="A17" s="1101">
        <v>236</v>
      </c>
      <c r="B17" s="163" t="s">
        <v>2228</v>
      </c>
      <c r="C17" s="934"/>
      <c r="D17" s="934"/>
      <c r="E17" s="981"/>
      <c r="F17" s="982"/>
      <c r="G17" s="981" t="str">
        <f>+VLOOKUP(Data_Validation!$A17,BV_Data_An_Cour!$L:$Q,6,0)</f>
        <v>1-Mémo</v>
      </c>
      <c r="H17" s="182"/>
      <c r="K17" s="158" t="s">
        <v>56</v>
      </c>
      <c r="M17" s="564" t="s">
        <v>1943</v>
      </c>
      <c r="N17" s="181"/>
    </row>
    <row r="18" spans="1:14" ht="15" customHeight="1">
      <c r="A18" s="1101">
        <v>238</v>
      </c>
      <c r="B18" s="163" t="s">
        <v>2230</v>
      </c>
      <c r="C18" s="934"/>
      <c r="D18" s="934"/>
      <c r="E18" s="981"/>
      <c r="F18" s="982"/>
      <c r="G18" s="981" t="str">
        <f>+VLOOKUP(Data_Validation!$A18,BV_Data_An_Cour!$L:$Q,6,0)</f>
        <v>1-Mémo</v>
      </c>
      <c r="H18" s="182"/>
      <c r="K18" s="158" t="s">
        <v>14</v>
      </c>
      <c r="M18" s="564" t="s">
        <v>1944</v>
      </c>
      <c r="N18" s="181"/>
    </row>
    <row r="19" spans="1:14" ht="15" customHeight="1">
      <c r="A19" s="1101">
        <v>243</v>
      </c>
      <c r="B19" s="163" t="s">
        <v>2232</v>
      </c>
      <c r="C19" s="934"/>
      <c r="D19" s="934"/>
      <c r="E19" s="981"/>
      <c r="F19" s="982"/>
      <c r="G19" s="981" t="str">
        <f>+VLOOKUP(Data_Validation!$A19,BV_Data_An_Cour!$L:$Q,6,0)</f>
        <v>1-Mémo</v>
      </c>
      <c r="H19" s="182"/>
      <c r="K19" s="158" t="s">
        <v>37</v>
      </c>
      <c r="N19" s="181"/>
    </row>
    <row r="20" spans="1:14" ht="15" customHeight="1">
      <c r="A20" s="1101">
        <v>244</v>
      </c>
      <c r="B20" s="163" t="s">
        <v>2235</v>
      </c>
      <c r="C20" s="934"/>
      <c r="D20" s="934"/>
      <c r="E20" s="981"/>
      <c r="F20" s="982"/>
      <c r="G20" s="981" t="str">
        <f>+VLOOKUP(Data_Validation!$A20,BV_Data_An_Cour!$L:$Q,6,0)</f>
        <v>1-Mémo</v>
      </c>
      <c r="H20" s="182"/>
      <c r="K20" s="158" t="s">
        <v>65</v>
      </c>
      <c r="N20" s="181"/>
    </row>
    <row r="21" spans="1:14" ht="15" customHeight="1">
      <c r="A21" s="1101">
        <v>245</v>
      </c>
      <c r="B21" s="163" t="s">
        <v>2237</v>
      </c>
      <c r="C21" s="934"/>
      <c r="D21" s="934"/>
      <c r="E21" s="981"/>
      <c r="F21" s="982"/>
      <c r="G21" s="981" t="str">
        <f>+VLOOKUP(Data_Validation!$A21,BV_Data_An_Cour!$L:$Q,6,0)</f>
        <v>1-Mémo</v>
      </c>
      <c r="H21" s="182"/>
      <c r="K21" s="158" t="s">
        <v>50</v>
      </c>
      <c r="N21" s="181"/>
    </row>
    <row r="22" spans="1:14" ht="15" customHeight="1">
      <c r="A22" s="1101">
        <v>246</v>
      </c>
      <c r="B22" s="163" t="s">
        <v>2239</v>
      </c>
      <c r="C22" s="934"/>
      <c r="D22" s="934"/>
      <c r="E22" s="981"/>
      <c r="F22" s="982"/>
      <c r="G22" s="981" t="str">
        <f>+VLOOKUP(Data_Validation!$A22,BV_Data_An_Cour!$L:$Q,6,0)</f>
        <v>1-Mémo</v>
      </c>
      <c r="H22" s="182"/>
      <c r="K22" s="158" t="s">
        <v>51</v>
      </c>
      <c r="N22" s="181"/>
    </row>
    <row r="23" spans="1:14" ht="15" customHeight="1">
      <c r="A23" s="1101">
        <v>255</v>
      </c>
      <c r="B23" s="163" t="s">
        <v>2241</v>
      </c>
      <c r="C23" s="934"/>
      <c r="D23" s="934"/>
      <c r="E23" s="981"/>
      <c r="F23" s="982"/>
      <c r="G23" s="981" t="str">
        <f>+VLOOKUP(Data_Validation!$A23,BV_Data_An_Cour!$L:$Q,6,0)</f>
        <v>1-Mémo</v>
      </c>
      <c r="H23" s="182"/>
      <c r="K23" s="158" t="str">
        <f>Print_Mois!V429</f>
        <v>Bénéfices marginaux</v>
      </c>
      <c r="N23" s="181"/>
    </row>
    <row r="24" spans="1:14" ht="15" customHeight="1">
      <c r="A24" s="1101">
        <v>257</v>
      </c>
      <c r="B24" s="163" t="s">
        <v>2243</v>
      </c>
      <c r="C24" s="934"/>
      <c r="D24" s="934"/>
      <c r="E24" s="981"/>
      <c r="F24" s="982"/>
      <c r="G24" s="981" t="str">
        <f>+VLOOKUP(Data_Validation!$A24,BV_Data_An_Cour!$L:$Q,6,0)</f>
        <v>1-Mémo</v>
      </c>
      <c r="H24" s="182"/>
      <c r="K24" s="158" t="s">
        <v>69</v>
      </c>
      <c r="N24" s="181"/>
    </row>
    <row r="25" spans="1:14" ht="15" customHeight="1">
      <c r="A25" s="1101">
        <v>258</v>
      </c>
      <c r="B25" s="163" t="s">
        <v>2245</v>
      </c>
      <c r="C25" s="934"/>
      <c r="D25" s="934"/>
      <c r="E25" s="981"/>
      <c r="F25" s="982"/>
      <c r="G25" s="981" t="str">
        <f>+VLOOKUP(Data_Validation!$A25,BV_Data_An_Cour!$L:$Q,6,0)</f>
        <v>1-Mémo</v>
      </c>
      <c r="H25" s="182"/>
      <c r="K25" s="158" t="s">
        <v>1638</v>
      </c>
      <c r="N25" s="181"/>
    </row>
    <row r="26" spans="1:14" ht="15" customHeight="1">
      <c r="A26" s="1101">
        <v>259</v>
      </c>
      <c r="B26" s="163" t="s">
        <v>2247</v>
      </c>
      <c r="C26" s="934"/>
      <c r="D26" s="934"/>
      <c r="E26" s="981"/>
      <c r="F26" s="982"/>
      <c r="G26" s="981" t="str">
        <f>+VLOOKUP(Data_Validation!$A26,BV_Data_An_Cour!$L:$Q,6,0)</f>
        <v>1-Mémo</v>
      </c>
      <c r="H26" s="182"/>
      <c r="K26" s="158" t="s">
        <v>191</v>
      </c>
      <c r="N26" s="181"/>
    </row>
    <row r="27" spans="1:14" ht="15" customHeight="1">
      <c r="A27" s="1101">
        <v>300</v>
      </c>
      <c r="B27" s="163" t="s">
        <v>2249</v>
      </c>
      <c r="C27" s="934"/>
      <c r="D27" s="934"/>
      <c r="E27" s="981"/>
      <c r="F27" s="982"/>
      <c r="G27" s="981" t="str">
        <f>+VLOOKUP(Data_Validation!$A27,BV_Data_An_Cour!$L:$Q,6,0)</f>
        <v>1-Mémo</v>
      </c>
      <c r="H27" s="182"/>
      <c r="K27" s="158" t="s">
        <v>90</v>
      </c>
      <c r="N27" s="181"/>
    </row>
    <row r="28" spans="1:14" ht="15" customHeight="1">
      <c r="A28" s="1101">
        <v>301</v>
      </c>
      <c r="B28" s="163" t="s">
        <v>2251</v>
      </c>
      <c r="C28" s="934"/>
      <c r="D28" s="934"/>
      <c r="E28" s="981"/>
      <c r="F28" s="982"/>
      <c r="G28" s="981" t="str">
        <f>+VLOOKUP(Data_Validation!$A28,BV_Data_An_Cour!$L:$Q,6,0)</f>
        <v>1-Mémo</v>
      </c>
      <c r="H28" s="182"/>
      <c r="K28" s="158" t="s">
        <v>67</v>
      </c>
      <c r="N28" s="181"/>
    </row>
    <row r="29" spans="1:14" ht="15" customHeight="1">
      <c r="A29" s="1101">
        <v>302</v>
      </c>
      <c r="B29" s="163" t="s">
        <v>2253</v>
      </c>
      <c r="C29" s="934"/>
      <c r="D29" s="934"/>
      <c r="E29" s="981"/>
      <c r="F29" s="982"/>
      <c r="G29" s="981" t="str">
        <f>+VLOOKUP(Data_Validation!$A29,BV_Data_An_Cour!$L:$Q,6,0)</f>
        <v>1-Mémo</v>
      </c>
      <c r="H29" s="182"/>
      <c r="K29" s="158" t="str">
        <f>Print_Mois!C94</f>
        <v>Certifié</v>
      </c>
      <c r="N29" s="181"/>
    </row>
    <row r="30" spans="1:14" ht="15" customHeight="1">
      <c r="A30" s="1101">
        <v>307</v>
      </c>
      <c r="B30" s="163" t="s">
        <v>2255</v>
      </c>
      <c r="C30" s="934"/>
      <c r="D30" s="934"/>
      <c r="E30" s="981"/>
      <c r="F30" s="982"/>
      <c r="G30" s="981" t="e">
        <f>+VLOOKUP(Data_Validation!$A30,BV_Data_An_Cour!$L:$Q,6,0)</f>
        <v>#N/A</v>
      </c>
      <c r="H30" s="182"/>
      <c r="K30" s="158" t="str">
        <f>Print_Mois!V457</f>
        <v>Chauffage, éclairage</v>
      </c>
      <c r="N30" s="181"/>
    </row>
    <row r="31" spans="1:14" ht="15" customHeight="1">
      <c r="A31" s="1101">
        <v>311</v>
      </c>
      <c r="B31" s="163" t="s">
        <v>2257</v>
      </c>
      <c r="C31" s="934"/>
      <c r="D31" s="934"/>
      <c r="E31" s="981"/>
      <c r="F31" s="982"/>
      <c r="G31" s="981" t="str">
        <f>+VLOOKUP(Data_Validation!$A31,BV_Data_An_Cour!$L:$Q,6,0)</f>
        <v>1-Mémo</v>
      </c>
      <c r="H31" s="182"/>
      <c r="K31" s="158" t="str">
        <f>Print_Mois!C32</f>
        <v>Comm. F&amp;I</v>
      </c>
    </row>
    <row r="32" spans="1:14" ht="15" customHeight="1">
      <c r="A32" s="1101">
        <v>312</v>
      </c>
      <c r="B32" s="163" t="s">
        <v>2260</v>
      </c>
      <c r="C32" s="934"/>
      <c r="D32" s="934"/>
      <c r="E32" s="981"/>
      <c r="F32" s="982"/>
      <c r="G32" s="981" t="str">
        <f>+VLOOKUP(Data_Validation!$A32,BV_Data_An_Cour!$L:$Q,6,0)</f>
        <v>1-Mémo</v>
      </c>
      <c r="H32" s="182"/>
      <c r="K32" s="158" t="str">
        <f>Print_Mois!C31</f>
        <v>Comm. vendeurs</v>
      </c>
    </row>
    <row r="33" spans="1:11" ht="15" customHeight="1">
      <c r="A33" s="1101">
        <v>313</v>
      </c>
      <c r="B33" s="163" t="s">
        <v>2262</v>
      </c>
      <c r="C33" s="934"/>
      <c r="D33" s="934"/>
      <c r="E33" s="981"/>
      <c r="F33" s="982"/>
      <c r="G33" s="981" t="str">
        <f>+VLOOKUP(Data_Validation!$A33,BV_Data_An_Cour!$L:$Q,6,0)</f>
        <v>1-Mémo</v>
      </c>
      <c r="H33" s="182"/>
      <c r="K33" s="158" t="s">
        <v>16</v>
      </c>
    </row>
    <row r="34" spans="1:11" ht="15" customHeight="1">
      <c r="A34" s="1101">
        <v>316</v>
      </c>
      <c r="B34" s="163" t="s">
        <v>2264</v>
      </c>
      <c r="C34" s="934"/>
      <c r="D34" s="934"/>
      <c r="E34" s="981"/>
      <c r="F34" s="982"/>
      <c r="G34" s="981" t="e">
        <f>+VLOOKUP(Data_Validation!$A34,BV_Data_An_Cour!$L:$Q,6,0)</f>
        <v>#N/A</v>
      </c>
      <c r="H34" s="182"/>
      <c r="K34" s="545" t="s">
        <v>1917</v>
      </c>
    </row>
    <row r="35" spans="1:11" ht="15" customHeight="1">
      <c r="A35" s="1101">
        <v>350</v>
      </c>
      <c r="B35" s="163" t="s">
        <v>2266</v>
      </c>
      <c r="C35" s="934"/>
      <c r="D35" s="934"/>
      <c r="E35" s="981"/>
      <c r="F35" s="982"/>
      <c r="G35" s="981" t="str">
        <f>+VLOOKUP(Data_Validation!$A35,BV_Data_An_Cour!$L:$Q,6,0)</f>
        <v>1-Mémo</v>
      </c>
      <c r="H35" s="182"/>
      <c r="K35" s="158" t="s">
        <v>1657</v>
      </c>
    </row>
    <row r="36" spans="1:11" ht="15" customHeight="1">
      <c r="A36" s="1108">
        <v>360</v>
      </c>
      <c r="B36" s="163" t="s">
        <v>2268</v>
      </c>
      <c r="C36" s="934"/>
      <c r="D36" s="934"/>
      <c r="E36" s="981"/>
      <c r="F36" s="982"/>
      <c r="G36" s="981" t="str">
        <f>+VLOOKUP(Data_Validation!$A36,BV_Data_An_Cour!$L:$Q,6,0)</f>
        <v>1-Mémo</v>
      </c>
      <c r="H36" s="182"/>
      <c r="K36" s="158" t="str">
        <f>Print_Mois!V430</f>
        <v>Csst</v>
      </c>
    </row>
    <row r="37" spans="1:11" ht="15" customHeight="1">
      <c r="A37" s="1101">
        <v>370</v>
      </c>
      <c r="B37" s="163" t="s">
        <v>2270</v>
      </c>
      <c r="C37" s="934"/>
      <c r="D37" s="934"/>
      <c r="E37" s="981"/>
      <c r="F37" s="982"/>
      <c r="G37" s="981" t="str">
        <f>+VLOOKUP(Data_Validation!$A37,BV_Data_An_Cour!$L:$Q,6,0)</f>
        <v>1-Mémo</v>
      </c>
      <c r="H37" s="182"/>
      <c r="K37" s="158" t="s">
        <v>38</v>
      </c>
    </row>
    <row r="38" spans="1:11" ht="15" customHeight="1">
      <c r="A38" s="1101">
        <v>372</v>
      </c>
      <c r="B38" s="163" t="s">
        <v>2272</v>
      </c>
      <c r="C38" s="934"/>
      <c r="D38" s="934"/>
      <c r="E38" s="981"/>
      <c r="F38" s="982"/>
      <c r="G38" s="981" t="str">
        <f>+VLOOKUP(Data_Validation!$A38,BV_Data_An_Cour!$L:$Q,6,0)</f>
        <v>1-Mémo</v>
      </c>
      <c r="H38" s="182"/>
      <c r="K38" s="158" t="str">
        <f>Print_Mois!V428</f>
        <v>Déduction à la source</v>
      </c>
    </row>
    <row r="39" spans="1:11" ht="15" customHeight="1">
      <c r="A39" s="1101">
        <v>401</v>
      </c>
      <c r="B39" s="163" t="s">
        <v>2274</v>
      </c>
      <c r="C39" s="934"/>
      <c r="D39" s="934"/>
      <c r="E39" s="981"/>
      <c r="F39" s="982"/>
      <c r="G39" s="981" t="str">
        <f>+VLOOKUP(Data_Validation!$A39,BV_Data_An_Cour!$L:$Q,6,0)</f>
        <v>1-Mémo</v>
      </c>
      <c r="H39" s="182"/>
      <c r="K39" s="158" t="s">
        <v>22</v>
      </c>
    </row>
    <row r="40" spans="1:11" ht="15" customHeight="1">
      <c r="A40" s="1101">
        <v>402</v>
      </c>
      <c r="B40" s="163" t="s">
        <v>2276</v>
      </c>
      <c r="C40" s="934"/>
      <c r="D40" s="934"/>
      <c r="E40" s="981"/>
      <c r="F40" s="982"/>
      <c r="G40" s="981" t="str">
        <f>+VLOOKUP(Data_Validation!$A40,BV_Data_An_Cour!$L:$Q,6,0)</f>
        <v>1-Mémo</v>
      </c>
      <c r="H40" s="182"/>
      <c r="K40" s="158" t="s">
        <v>54</v>
      </c>
    </row>
    <row r="41" spans="1:11" ht="15" customHeight="1">
      <c r="A41" s="1101">
        <v>403</v>
      </c>
      <c r="B41" s="163" t="s">
        <v>2278</v>
      </c>
      <c r="C41" s="934"/>
      <c r="D41" s="934"/>
      <c r="E41" s="981"/>
      <c r="F41" s="982"/>
      <c r="G41" s="981" t="str">
        <f>+VLOOKUP(Data_Validation!$A41,BV_Data_An_Cour!$L:$Q,6,0)</f>
        <v>1-Mémo</v>
      </c>
      <c r="H41" s="182"/>
      <c r="K41" s="158" t="str">
        <f>Print_Mois!V445</f>
        <v>Divers</v>
      </c>
    </row>
    <row r="42" spans="1:11" ht="15" customHeight="1">
      <c r="A42" s="1101">
        <v>404</v>
      </c>
      <c r="B42" s="163" t="s">
        <v>2280</v>
      </c>
      <c r="C42" s="934"/>
      <c r="D42" s="934"/>
      <c r="E42" s="984"/>
      <c r="F42" s="984"/>
      <c r="G42" s="984" t="str">
        <f>+VLOOKUP(Data_Validation!$A42,BV_Data_An_Cour!$L:$Q,6,0)</f>
        <v>1-Mémo</v>
      </c>
      <c r="H42" s="182"/>
      <c r="K42" s="158" t="s">
        <v>70</v>
      </c>
    </row>
    <row r="43" spans="1:11" ht="15" customHeight="1">
      <c r="A43" s="1101">
        <v>405</v>
      </c>
      <c r="B43" s="163" t="s">
        <v>2282</v>
      </c>
      <c r="C43" s="934"/>
      <c r="D43" s="934"/>
      <c r="E43" s="981"/>
      <c r="F43" s="982"/>
      <c r="G43" s="981" t="e">
        <f>+VLOOKUP(Data_Validation!$A43,BV_Data_An_Cour!$L:$Q,6,0)</f>
        <v>#N/A</v>
      </c>
      <c r="H43" s="182"/>
      <c r="K43" s="158" t="s">
        <v>252</v>
      </c>
    </row>
    <row r="44" spans="1:11" ht="15" customHeight="1">
      <c r="A44" s="1101">
        <v>406</v>
      </c>
      <c r="B44" s="163" t="s">
        <v>2284</v>
      </c>
      <c r="C44" s="934"/>
      <c r="D44" s="934"/>
      <c r="E44" s="981"/>
      <c r="F44" s="982"/>
      <c r="G44" s="981" t="e">
        <f>+VLOOKUP(Data_Validation!$A44,BV_Data_An_Cour!$L:$Q,6,0)</f>
        <v>#N/A</v>
      </c>
      <c r="H44" s="182"/>
      <c r="K44" s="158" t="s">
        <v>30</v>
      </c>
    </row>
    <row r="45" spans="1:11" ht="15" customHeight="1">
      <c r="A45" s="1101">
        <v>407</v>
      </c>
      <c r="B45" s="163" t="s">
        <v>2286</v>
      </c>
      <c r="C45" s="934"/>
      <c r="D45" s="934"/>
      <c r="E45" s="981"/>
      <c r="F45" s="982"/>
      <c r="G45" s="981" t="e">
        <f>+VLOOKUP(Data_Validation!$A45,BV_Data_An_Cour!$L:$Q,6,0)</f>
        <v>#N/A</v>
      </c>
      <c r="H45" s="182"/>
      <c r="K45" s="158" t="s">
        <v>32</v>
      </c>
    </row>
    <row r="46" spans="1:11" ht="15" customHeight="1">
      <c r="A46" s="1101">
        <v>408</v>
      </c>
      <c r="B46" s="163" t="s">
        <v>2288</v>
      </c>
      <c r="C46" s="934"/>
      <c r="D46" s="934"/>
      <c r="E46" s="984"/>
      <c r="F46" s="984"/>
      <c r="G46" s="984" t="e">
        <f>+VLOOKUP(Data_Validation!$A46,BV_Data_An_Cour!$L:$Q,6,0)</f>
        <v>#N/A</v>
      </c>
      <c r="H46" s="182"/>
      <c r="K46" s="158" t="s">
        <v>8</v>
      </c>
    </row>
    <row r="47" spans="1:11" ht="15" customHeight="1">
      <c r="A47" s="1101">
        <v>409</v>
      </c>
      <c r="B47" s="163" t="s">
        <v>2290</v>
      </c>
      <c r="C47" s="934"/>
      <c r="D47" s="934"/>
      <c r="E47" s="981"/>
      <c r="F47" s="982"/>
      <c r="G47" s="981" t="e">
        <f>+VLOOKUP(Data_Validation!$A47,BV_Data_An_Cour!$L:$Q,6,0)</f>
        <v>#N/A</v>
      </c>
      <c r="H47" s="182"/>
      <c r="K47" s="158" t="s">
        <v>62</v>
      </c>
    </row>
    <row r="48" spans="1:11" ht="15" customHeight="1">
      <c r="A48" s="1101">
        <v>410</v>
      </c>
      <c r="B48" s="163" t="s">
        <v>2292</v>
      </c>
      <c r="C48" s="934"/>
      <c r="D48" s="934"/>
      <c r="E48" s="984"/>
      <c r="F48" s="984"/>
      <c r="G48" s="984" t="e">
        <f>+VLOOKUP(Data_Validation!$A48,BV_Data_An_Cour!$L:$Q,6,0)</f>
        <v>#N/A</v>
      </c>
      <c r="H48" s="182"/>
      <c r="K48" s="158" t="str">
        <f>Print_Mois!C35</f>
        <v>Entretien stock</v>
      </c>
    </row>
    <row r="49" spans="1:11" ht="15" customHeight="1">
      <c r="A49" s="1101">
        <v>411</v>
      </c>
      <c r="B49" s="163" t="s">
        <v>2294</v>
      </c>
      <c r="C49" s="934"/>
      <c r="D49" s="934"/>
      <c r="E49" s="981"/>
      <c r="F49" s="982"/>
      <c r="G49" s="981" t="e">
        <f>+VLOOKUP(Data_Validation!$A49,BV_Data_An_Cour!$L:$Q,6,0)</f>
        <v>#N/A</v>
      </c>
      <c r="H49" s="182"/>
      <c r="K49" s="158" t="s">
        <v>59</v>
      </c>
    </row>
    <row r="50" spans="1:11" s="564" customFormat="1" ht="15" customHeight="1">
      <c r="A50" s="1101">
        <v>412</v>
      </c>
      <c r="B50" s="163" t="s">
        <v>2949</v>
      </c>
      <c r="C50" s="934"/>
      <c r="D50" s="934"/>
      <c r="E50" s="981"/>
      <c r="F50" s="982"/>
      <c r="G50" s="981" t="e">
        <f>+VLOOKUP(Data_Validation!$A50,BV_Data_An_Cour!$L:$Q,6,0)</f>
        <v>#N/A</v>
      </c>
      <c r="H50" s="182"/>
      <c r="K50" s="158"/>
    </row>
    <row r="51" spans="1:11" ht="15" customHeight="1">
      <c r="A51" s="1101">
        <v>421</v>
      </c>
      <c r="B51" s="163" t="s">
        <v>2295</v>
      </c>
      <c r="C51" s="934"/>
      <c r="D51" s="934"/>
      <c r="E51" s="981"/>
      <c r="F51" s="982"/>
      <c r="G51" s="981" t="str">
        <f>+VLOOKUP(Data_Validation!$A51,BV_Data_An_Cour!$L:$Q,6,0)</f>
        <v>1-Mémo</v>
      </c>
      <c r="H51" s="182"/>
      <c r="K51" s="158" t="s">
        <v>57</v>
      </c>
    </row>
    <row r="52" spans="1:11" ht="15" customHeight="1">
      <c r="A52" s="1101">
        <v>422</v>
      </c>
      <c r="B52" s="163" t="s">
        <v>2298</v>
      </c>
      <c r="C52" s="934"/>
      <c r="D52" s="934"/>
      <c r="E52" s="981"/>
      <c r="F52" s="982"/>
      <c r="G52" s="981" t="str">
        <f>+VLOOKUP(Data_Validation!$A52,BV_Data_An_Cour!$L:$Q,6,0)</f>
        <v>1-Mémo</v>
      </c>
      <c r="H52" s="182"/>
      <c r="K52" s="158" t="s">
        <v>60</v>
      </c>
    </row>
    <row r="53" spans="1:11" ht="15" customHeight="1">
      <c r="A53" s="1101">
        <v>423</v>
      </c>
      <c r="B53" s="163" t="s">
        <v>2300</v>
      </c>
      <c r="C53" s="934"/>
      <c r="D53" s="934"/>
      <c r="E53" s="981"/>
      <c r="F53" s="982"/>
      <c r="G53" s="981" t="str">
        <f>+VLOOKUP(Data_Validation!$A53,BV_Data_An_Cour!$L:$Q,6,0)</f>
        <v>1-Mémo</v>
      </c>
      <c r="H53" s="182"/>
      <c r="K53" s="158" t="str">
        <f>Print_Mois!C301</f>
        <v>Escomptes</v>
      </c>
    </row>
    <row r="54" spans="1:11" ht="15" customHeight="1">
      <c r="A54" s="1101">
        <v>424</v>
      </c>
      <c r="B54" s="163" t="s">
        <v>2302</v>
      </c>
      <c r="C54" s="934"/>
      <c r="D54" s="934"/>
      <c r="E54" s="981"/>
      <c r="F54" s="982"/>
      <c r="G54" s="981" t="str">
        <f>+VLOOKUP(Data_Validation!$A54,BV_Data_An_Cour!$L:$Q,6,0)</f>
        <v>1-Mémo</v>
      </c>
      <c r="H54" s="182"/>
      <c r="K54" s="158" t="str">
        <f>Print_Mois!C15</f>
        <v>Ex-Démos et courtoisies</v>
      </c>
    </row>
    <row r="55" spans="1:11" ht="15" customHeight="1">
      <c r="A55" s="1101">
        <v>425</v>
      </c>
      <c r="B55" s="163" t="s">
        <v>2304</v>
      </c>
      <c r="C55" s="934"/>
      <c r="D55" s="934"/>
      <c r="E55" s="981"/>
      <c r="F55" s="982"/>
      <c r="G55" s="981" t="e">
        <f>+VLOOKUP(Data_Validation!$A55,BV_Data_An_Cour!$L:$Q,6,0)</f>
        <v>#N/A</v>
      </c>
      <c r="H55" s="182"/>
      <c r="K55" s="158" t="str">
        <f>Print_Mois!C17</f>
        <v>Flottes</v>
      </c>
    </row>
    <row r="56" spans="1:11" ht="15" customHeight="1">
      <c r="A56" s="1101">
        <v>426</v>
      </c>
      <c r="B56" s="163" t="s">
        <v>2306</v>
      </c>
      <c r="C56" s="934"/>
      <c r="D56" s="934"/>
      <c r="E56" s="981"/>
      <c r="F56" s="982"/>
      <c r="G56" s="981" t="e">
        <f>+VLOOKUP(Data_Validation!$A56,BV_Data_An_Cour!$L:$Q,6,0)</f>
        <v>#N/A</v>
      </c>
      <c r="H56" s="182"/>
      <c r="K56" s="158" t="s">
        <v>1669</v>
      </c>
    </row>
    <row r="57" spans="1:11" ht="15" customHeight="1">
      <c r="A57" s="1101">
        <v>427</v>
      </c>
      <c r="B57" s="163" t="s">
        <v>2308</v>
      </c>
      <c r="C57" s="934"/>
      <c r="D57" s="934"/>
      <c r="E57" s="981"/>
      <c r="F57" s="982"/>
      <c r="G57" s="981" t="e">
        <f>+VLOOKUP(Data_Validation!$A57,BV_Data_An_Cour!$L:$Q,6,0)</f>
        <v>#N/A</v>
      </c>
      <c r="H57" s="182"/>
      <c r="K57" s="158" t="str">
        <f>Print_Mois!V446</f>
        <v>Formation</v>
      </c>
    </row>
    <row r="58" spans="1:11" ht="15" customHeight="1">
      <c r="A58" s="1101">
        <v>428</v>
      </c>
      <c r="B58" s="163" t="s">
        <v>2310</v>
      </c>
      <c r="C58" s="934"/>
      <c r="D58" s="934"/>
      <c r="E58" s="981"/>
      <c r="F58" s="982"/>
      <c r="G58" s="981" t="e">
        <f>+VLOOKUP(Data_Validation!$A58,BV_Data_An_Cour!$L:$Q,6,0)</f>
        <v>#N/A</v>
      </c>
      <c r="H58" s="182"/>
      <c r="K58" s="158" t="str">
        <f>Print_Mois!V440</f>
        <v>Fournitures autres</v>
      </c>
    </row>
    <row r="59" spans="1:11" ht="15" customHeight="1">
      <c r="A59" s="1101">
        <v>429</v>
      </c>
      <c r="B59" s="163" t="s">
        <v>2312</v>
      </c>
      <c r="C59" s="934"/>
      <c r="D59" s="934"/>
      <c r="E59" s="981"/>
      <c r="F59" s="982"/>
      <c r="G59" s="981" t="e">
        <f>+VLOOKUP(Data_Validation!$A59,BV_Data_An_Cour!$L:$Q,6,0)</f>
        <v>#N/A</v>
      </c>
      <c r="H59" s="182"/>
      <c r="K59" s="158" t="s">
        <v>1989</v>
      </c>
    </row>
    <row r="60" spans="1:11" ht="15" customHeight="1">
      <c r="A60" s="1101">
        <v>430</v>
      </c>
      <c r="B60" s="163" t="s">
        <v>2314</v>
      </c>
      <c r="C60" s="934"/>
      <c r="D60" s="934"/>
      <c r="E60" s="981"/>
      <c r="F60" s="982"/>
      <c r="G60" s="981" t="e">
        <f>+VLOOKUP(Data_Validation!$A60,BV_Data_An_Cour!$L:$Q,6,0)</f>
        <v>#N/A</v>
      </c>
      <c r="H60" s="182"/>
      <c r="K60" s="158" t="str">
        <f>Print_Mois!V479</f>
        <v>Frais administration</v>
      </c>
    </row>
    <row r="61" spans="1:11" ht="15" customHeight="1">
      <c r="A61" s="1101">
        <v>431</v>
      </c>
      <c r="B61" s="163" t="s">
        <v>2316</v>
      </c>
      <c r="C61" s="934"/>
      <c r="D61" s="934"/>
      <c r="E61" s="981"/>
      <c r="F61" s="982"/>
      <c r="G61" s="981" t="e">
        <f>+VLOOKUP(Data_Validation!$A61,BV_Data_An_Cour!$L:$Q,6,0)</f>
        <v>#N/A</v>
      </c>
      <c r="H61" s="182"/>
      <c r="K61" s="158" t="s">
        <v>134</v>
      </c>
    </row>
    <row r="62" spans="1:11" s="564" customFormat="1" ht="15" customHeight="1">
      <c r="A62" s="1101">
        <v>432</v>
      </c>
      <c r="B62" s="163" t="s">
        <v>2958</v>
      </c>
      <c r="C62" s="934"/>
      <c r="D62" s="934"/>
      <c r="E62" s="981"/>
      <c r="F62" s="982"/>
      <c r="G62" s="981" t="e">
        <f>+VLOOKUP(Data_Validation!$A62,BV_Data_An_Cour!$L:$Q,6,0)</f>
        <v>#N/A</v>
      </c>
      <c r="H62" s="182"/>
      <c r="K62" s="158"/>
    </row>
    <row r="63" spans="1:11" ht="15" customHeight="1">
      <c r="A63" s="1101">
        <v>500</v>
      </c>
      <c r="B63" s="165" t="s">
        <v>2318</v>
      </c>
      <c r="C63" s="934"/>
      <c r="D63" s="934"/>
      <c r="E63" s="981" t="s">
        <v>1913</v>
      </c>
      <c r="F63" s="981"/>
      <c r="G63" s="981" t="str">
        <f>+VLOOKUP(Data_Validation!$A63,BV_Data_An_Cour!$L:$Q,6,0)</f>
        <v>1-Mémo</v>
      </c>
      <c r="H63" s="182"/>
      <c r="K63" s="158" t="str">
        <f>Print_Mois!V450</f>
        <v>[...]</v>
      </c>
    </row>
    <row r="64" spans="1:11" ht="15" customHeight="1">
      <c r="A64" s="1101">
        <v>511</v>
      </c>
      <c r="B64" s="165" t="s">
        <v>2320</v>
      </c>
      <c r="C64" s="934"/>
      <c r="D64" s="934"/>
      <c r="E64" s="981" t="s">
        <v>1913</v>
      </c>
      <c r="F64" s="981"/>
      <c r="G64" s="981" t="str">
        <f>+VLOOKUP(Data_Validation!$A64,BV_Data_An_Cour!$L:$Q,6,0)</f>
        <v>1-Mémo</v>
      </c>
      <c r="H64" s="182"/>
      <c r="K64" s="158" t="str">
        <f>Print_Mois!V437</f>
        <v>Frais de déplacement</v>
      </c>
    </row>
    <row r="65" spans="1:11" ht="15" customHeight="1">
      <c r="A65" s="1101">
        <v>512</v>
      </c>
      <c r="B65" s="163" t="s">
        <v>2321</v>
      </c>
      <c r="C65" s="934"/>
      <c r="D65" s="934"/>
      <c r="E65" s="981" t="s">
        <v>1913</v>
      </c>
      <c r="F65" s="981"/>
      <c r="G65" s="981" t="str">
        <f>+VLOOKUP(Data_Validation!$A65,BV_Data_An_Cour!$L:$Q,6,0)</f>
        <v>1-Mémo</v>
      </c>
      <c r="H65" s="182"/>
      <c r="K65" s="158" t="str">
        <f>Print_Mois!C33</f>
        <v>Frais de livraison</v>
      </c>
    </row>
    <row r="66" spans="1:11" ht="15" customHeight="1">
      <c r="A66" s="1101">
        <v>514</v>
      </c>
      <c r="B66" s="163" t="s">
        <v>2322</v>
      </c>
      <c r="C66" s="934"/>
      <c r="D66" s="934"/>
      <c r="E66" s="981" t="s">
        <v>1913</v>
      </c>
      <c r="F66" s="981"/>
      <c r="G66" s="981" t="str">
        <f>+VLOOKUP(Data_Validation!$A66,BV_Data_An_Cour!$L:$Q,6,0)</f>
        <v>1-Mémo</v>
      </c>
      <c r="H66" s="182"/>
      <c r="K66" s="158" t="s">
        <v>1678</v>
      </c>
    </row>
    <row r="67" spans="1:11" ht="15" customHeight="1">
      <c r="A67" s="1101">
        <v>515</v>
      </c>
      <c r="B67" s="165" t="s">
        <v>2324</v>
      </c>
      <c r="C67" s="934"/>
      <c r="D67" s="934"/>
      <c r="E67" s="981" t="s">
        <v>1913</v>
      </c>
      <c r="F67" s="981"/>
      <c r="G67" s="981" t="e">
        <f>+VLOOKUP(Data_Validation!$A67,BV_Data_An_Cour!$L:$Q,6,0)</f>
        <v>#N/A</v>
      </c>
      <c r="H67" s="182"/>
      <c r="K67" s="158" t="s">
        <v>43</v>
      </c>
    </row>
    <row r="68" spans="1:11" ht="15" customHeight="1">
      <c r="A68" s="1101">
        <v>517</v>
      </c>
      <c r="B68" s="163" t="s">
        <v>2326</v>
      </c>
      <c r="C68" s="934"/>
      <c r="D68" s="934"/>
      <c r="E68" s="981" t="s">
        <v>1913</v>
      </c>
      <c r="F68" s="981"/>
      <c r="G68" s="981" t="str">
        <f>+VLOOKUP(Data_Validation!$A68,BV_Data_An_Cour!$L:$Q,6,0)</f>
        <v>1-Mémo</v>
      </c>
      <c r="H68" s="182"/>
      <c r="K68" s="158" t="str">
        <f>Print_Mois!V444</f>
        <v>Frais postaux</v>
      </c>
    </row>
    <row r="69" spans="1:11" ht="15" customHeight="1">
      <c r="A69" s="1101">
        <v>521</v>
      </c>
      <c r="B69" s="165" t="s">
        <v>2328</v>
      </c>
      <c r="C69" s="934"/>
      <c r="D69" s="934"/>
      <c r="E69" s="981" t="s">
        <v>1913</v>
      </c>
      <c r="F69" s="981"/>
      <c r="G69" s="981" t="str">
        <f>+VLOOKUP(Data_Validation!$A69,BV_Data_An_Cour!$L:$Q,6,0)</f>
        <v>1-Mémo</v>
      </c>
      <c r="H69" s="182"/>
      <c r="K69" s="158" t="s">
        <v>1680</v>
      </c>
    </row>
    <row r="70" spans="1:11" ht="15" customHeight="1">
      <c r="A70" s="1101">
        <v>522</v>
      </c>
      <c r="B70" s="165" t="s">
        <v>2330</v>
      </c>
      <c r="C70" s="934"/>
      <c r="D70" s="934"/>
      <c r="E70" s="981" t="s">
        <v>1913</v>
      </c>
      <c r="F70" s="981"/>
      <c r="G70" s="981" t="str">
        <f>+VLOOKUP(Data_Validation!$A70,BV_Data_An_Cour!$L:$Q,6,0)</f>
        <v>1-Mémo</v>
      </c>
      <c r="H70" s="182"/>
      <c r="K70" s="158" t="str">
        <f>Print_Mois!V435</f>
        <v>Frais véhicules de cie</v>
      </c>
    </row>
    <row r="71" spans="1:11" ht="15" customHeight="1">
      <c r="A71" s="1101">
        <v>524</v>
      </c>
      <c r="B71" s="165" t="s">
        <v>2332</v>
      </c>
      <c r="C71" s="934"/>
      <c r="D71" s="934"/>
      <c r="E71" s="981" t="s">
        <v>1913</v>
      </c>
      <c r="F71" s="981"/>
      <c r="G71" s="981" t="str">
        <f>+VLOOKUP(Data_Validation!$A71,BV_Data_An_Cour!$L:$Q,6,0)</f>
        <v>1-Mémo</v>
      </c>
      <c r="H71" s="182"/>
      <c r="K71" s="158" t="s">
        <v>1681</v>
      </c>
    </row>
    <row r="72" spans="1:11" ht="15" customHeight="1">
      <c r="A72" s="1108">
        <v>527</v>
      </c>
      <c r="B72" s="165" t="s">
        <v>2334</v>
      </c>
      <c r="C72" s="934"/>
      <c r="D72" s="934"/>
      <c r="E72" s="981" t="s">
        <v>1913</v>
      </c>
      <c r="F72" s="981"/>
      <c r="G72" s="981" t="str">
        <f>+VLOOKUP(Data_Validation!$A72,BV_Data_An_Cour!$L:$Q,6,0)</f>
        <v>1-Mémo</v>
      </c>
      <c r="H72" s="182"/>
      <c r="K72" s="158" t="str">
        <f>Print_Mois!V469</f>
        <v>Holdbacks</v>
      </c>
    </row>
    <row r="73" spans="1:11" ht="15" customHeight="1">
      <c r="A73" s="1101">
        <v>541</v>
      </c>
      <c r="B73" s="165" t="s">
        <v>2336</v>
      </c>
      <c r="C73" s="934"/>
      <c r="D73" s="934"/>
      <c r="E73" s="981" t="s">
        <v>1913</v>
      </c>
      <c r="F73" s="981"/>
      <c r="G73" s="981" t="str">
        <f>+VLOOKUP(Data_Validation!$A73,BV_Data_An_Cour!$L:$Q,6,0)</f>
        <v>1-Mémo</v>
      </c>
      <c r="H73" s="182"/>
      <c r="K73" s="158" t="str">
        <f>Print_Mois!V458</f>
        <v>Honoraires</v>
      </c>
    </row>
    <row r="74" spans="1:11" ht="15" customHeight="1">
      <c r="A74" s="1101">
        <v>542</v>
      </c>
      <c r="B74" s="163" t="s">
        <v>2339</v>
      </c>
      <c r="C74" s="934"/>
      <c r="D74" s="934"/>
      <c r="E74" s="981" t="s">
        <v>1913</v>
      </c>
      <c r="F74" s="981"/>
      <c r="G74" s="981" t="str">
        <f>+VLOOKUP(Data_Validation!$A74,BV_Data_An_Cour!$L:$Q,6,0)</f>
        <v>1-Mémo</v>
      </c>
      <c r="H74" s="182"/>
      <c r="K74" s="158" t="str">
        <f>Print_Mois!C307</f>
        <v>Huiles et Graisse</v>
      </c>
    </row>
    <row r="75" spans="1:11" ht="15" customHeight="1">
      <c r="A75" s="1101">
        <v>551</v>
      </c>
      <c r="B75" s="165" t="s">
        <v>2341</v>
      </c>
      <c r="C75" s="934"/>
      <c r="D75" s="934"/>
      <c r="E75" s="981" t="s">
        <v>1913</v>
      </c>
      <c r="F75" s="981"/>
      <c r="G75" s="981" t="str">
        <f>+VLOOKUP(Data_Validation!$A75,BV_Data_An_Cour!$L:$Q,6,0)</f>
        <v>1-Mémo</v>
      </c>
      <c r="H75" s="182"/>
      <c r="K75" s="158" t="s">
        <v>52</v>
      </c>
    </row>
    <row r="76" spans="1:11" ht="15" customHeight="1">
      <c r="A76" s="1101">
        <v>552</v>
      </c>
      <c r="B76" s="163" t="s">
        <v>2343</v>
      </c>
      <c r="C76" s="934"/>
      <c r="D76" s="934"/>
      <c r="E76" s="981" t="s">
        <v>1913</v>
      </c>
      <c r="F76" s="981"/>
      <c r="G76" s="981" t="str">
        <f>+VLOOKUP(Data_Validation!$A76,BV_Data_An_Cour!$L:$Q,6,0)</f>
        <v>1-Mémo</v>
      </c>
      <c r="H76" s="182"/>
      <c r="K76" s="158" t="s">
        <v>20</v>
      </c>
    </row>
    <row r="77" spans="1:11" ht="15" customHeight="1">
      <c r="A77" s="1109">
        <v>564</v>
      </c>
      <c r="B77" s="989" t="s">
        <v>2855</v>
      </c>
      <c r="C77" s="934"/>
      <c r="D77" s="934"/>
      <c r="E77" s="981" t="s">
        <v>1913</v>
      </c>
      <c r="F77" s="982"/>
      <c r="G77" s="981" t="str">
        <f>+VLOOKUP(Data_Validation!$A77,BV_Data_An_Cour!$L:$Q,6,0)</f>
        <v>1-Mémo</v>
      </c>
      <c r="H77" s="182"/>
      <c r="K77" s="158" t="s">
        <v>48</v>
      </c>
    </row>
    <row r="78" spans="1:11" ht="15" customHeight="1">
      <c r="A78" s="1101">
        <v>614</v>
      </c>
      <c r="B78" s="160" t="s">
        <v>2345</v>
      </c>
      <c r="C78" s="934"/>
      <c r="D78" s="934"/>
      <c r="E78" s="981" t="s">
        <v>1913</v>
      </c>
      <c r="F78" s="981"/>
      <c r="G78" s="981" t="str">
        <f>+VLOOKUP(Data_Validation!$A78,BV_Data_An_Cour!$L:$Q,6,0)</f>
        <v>1-Mémo</v>
      </c>
      <c r="H78" s="182"/>
      <c r="K78" s="158" t="str">
        <f>Print_Mois!V436</f>
        <v>Informatique</v>
      </c>
    </row>
    <row r="79" spans="1:11" ht="15" customHeight="1">
      <c r="A79" s="1101">
        <v>615</v>
      </c>
      <c r="B79" s="160" t="s">
        <v>2348</v>
      </c>
      <c r="C79" s="934"/>
      <c r="D79" s="934"/>
      <c r="E79" s="981" t="s">
        <v>1913</v>
      </c>
      <c r="F79" s="981"/>
      <c r="G79" s="981" t="str">
        <f>+VLOOKUP(Data_Validation!$A79,BV_Data_An_Cour!$L:$Q,6,0)</f>
        <v>1-Mémo</v>
      </c>
      <c r="H79" s="182"/>
      <c r="K79" s="158" t="s">
        <v>172</v>
      </c>
    </row>
    <row r="80" spans="1:11" ht="15" customHeight="1">
      <c r="A80" s="1108">
        <v>621</v>
      </c>
      <c r="B80" s="163" t="s">
        <v>2350</v>
      </c>
      <c r="C80" s="934"/>
      <c r="D80" s="934"/>
      <c r="E80" s="981" t="s">
        <v>1913</v>
      </c>
      <c r="F80" s="981"/>
      <c r="G80" s="981" t="str">
        <f>+VLOOKUP(Data_Validation!$A80,BV_Data_An_Cour!$L:$Q,6,0)</f>
        <v>1-Mémo</v>
      </c>
      <c r="H80" s="182"/>
      <c r="K80" s="158" t="s">
        <v>109</v>
      </c>
    </row>
    <row r="81" spans="1:11" ht="15" customHeight="1">
      <c r="A81" s="1101">
        <v>622</v>
      </c>
      <c r="B81" s="160" t="s">
        <v>2352</v>
      </c>
      <c r="C81" s="934"/>
      <c r="D81" s="934"/>
      <c r="E81" s="981" t="s">
        <v>1913</v>
      </c>
      <c r="F81" s="981"/>
      <c r="G81" s="981" t="str">
        <f>+VLOOKUP(Data_Validation!$A81,BV_Data_An_Cour!$L:$Q,6,0)</f>
        <v>1-Mémo</v>
      </c>
      <c r="H81" s="182"/>
      <c r="K81" s="158" t="str">
        <f>Print_Mois!V491</f>
        <v>Intérêts sur marge</v>
      </c>
    </row>
    <row r="82" spans="1:11" ht="15" customHeight="1">
      <c r="A82" s="1101">
        <v>624</v>
      </c>
      <c r="B82" s="160" t="s">
        <v>2354</v>
      </c>
      <c r="C82" s="934"/>
      <c r="D82" s="934"/>
      <c r="E82" s="981" t="s">
        <v>1913</v>
      </c>
      <c r="F82" s="981"/>
      <c r="G82" s="981" t="str">
        <f>+VLOOKUP(Data_Validation!$A82,BV_Data_An_Cour!$L:$Q,6,0)</f>
        <v>1-Mémo</v>
      </c>
      <c r="H82" s="182"/>
      <c r="K82" s="158" t="str">
        <f>Print_Mois!V492</f>
        <v>Intérêts sur prêt</v>
      </c>
    </row>
    <row r="83" spans="1:11" ht="15" customHeight="1">
      <c r="A83" s="1108">
        <v>644</v>
      </c>
      <c r="B83" s="163" t="s">
        <v>2356</v>
      </c>
      <c r="C83" s="934"/>
      <c r="D83" s="934"/>
      <c r="E83" s="981" t="s">
        <v>1913</v>
      </c>
      <c r="F83" s="981"/>
      <c r="G83" s="981" t="str">
        <f>+VLOOKUP(Data_Validation!$A83,BV_Data_An_Cour!$L:$Q,6,0)</f>
        <v>1-Mémo</v>
      </c>
      <c r="H83" s="182"/>
      <c r="K83" s="158" t="s">
        <v>33</v>
      </c>
    </row>
    <row r="84" spans="1:11" ht="15" customHeight="1">
      <c r="A84" s="1101">
        <v>651</v>
      </c>
      <c r="B84" s="160" t="s">
        <v>2359</v>
      </c>
      <c r="C84" s="934"/>
      <c r="D84" s="934"/>
      <c r="E84" s="981" t="s">
        <v>1913</v>
      </c>
      <c r="F84" s="981"/>
      <c r="G84" s="981" t="str">
        <f>+VLOOKUP(Data_Validation!$A84,BV_Data_An_Cour!$L:$Q,6,0)</f>
        <v>1-Mémo</v>
      </c>
      <c r="H84" s="182"/>
      <c r="K84" s="158" t="s">
        <v>29</v>
      </c>
    </row>
    <row r="85" spans="1:11" ht="15" customHeight="1">
      <c r="A85" s="1101">
        <v>652</v>
      </c>
      <c r="B85" s="163" t="s">
        <v>2361</v>
      </c>
      <c r="C85" s="934"/>
      <c r="D85" s="934"/>
      <c r="E85" s="981" t="s">
        <v>1913</v>
      </c>
      <c r="F85" s="981"/>
      <c r="G85" s="981" t="str">
        <f>+VLOOKUP(Data_Validation!$A85,BV_Data_An_Cour!$L:$Q,6,0)</f>
        <v>1-Mémo</v>
      </c>
      <c r="H85" s="182"/>
      <c r="K85" s="158" t="s">
        <v>31</v>
      </c>
    </row>
    <row r="86" spans="1:11" ht="15" customHeight="1">
      <c r="A86" s="1101">
        <v>654</v>
      </c>
      <c r="B86" s="160" t="s">
        <v>2363</v>
      </c>
      <c r="C86" s="934"/>
      <c r="D86" s="934"/>
      <c r="E86" s="981" t="s">
        <v>1913</v>
      </c>
      <c r="F86" s="981"/>
      <c r="G86" s="981" t="str">
        <f>+VLOOKUP(Data_Validation!$A86,BV_Data_An_Cour!$L:$Q,6,0)</f>
        <v>1-Mémo</v>
      </c>
      <c r="H86" s="182"/>
      <c r="K86" s="158" t="str">
        <f>Print_Mois!V460</f>
        <v>Location équipement</v>
      </c>
    </row>
    <row r="87" spans="1:11" ht="15" customHeight="1">
      <c r="A87" s="1101">
        <v>655</v>
      </c>
      <c r="B87" s="163" t="s">
        <v>2365</v>
      </c>
      <c r="C87" s="934"/>
      <c r="D87" s="934"/>
      <c r="E87" s="981" t="s">
        <v>1913</v>
      </c>
      <c r="F87" s="984"/>
      <c r="G87" s="984" t="str">
        <f>+VLOOKUP(Data_Validation!$A87,BV_Data_An_Cour!$L:$Q,6,0)</f>
        <v>1-Mémo</v>
      </c>
      <c r="H87" s="182"/>
      <c r="K87" s="158" t="str">
        <f>Print_Mois!V452</f>
        <v>Loyer</v>
      </c>
    </row>
    <row r="88" spans="1:11" ht="15" customHeight="1">
      <c r="A88" s="1108">
        <v>657</v>
      </c>
      <c r="B88" s="163" t="s">
        <v>2367</v>
      </c>
      <c r="C88" s="934"/>
      <c r="D88" s="934"/>
      <c r="E88" s="981" t="s">
        <v>1913</v>
      </c>
      <c r="F88" s="981"/>
      <c r="G88" s="981" t="str">
        <f>+VLOOKUP(Data_Validation!$A88,BV_Data_An_Cour!$L:$Q,6,0)</f>
        <v>1-Mémo</v>
      </c>
      <c r="H88" s="182"/>
      <c r="K88" s="158" t="str">
        <f>Print_Mois!C243</f>
        <v>M/O Carrosserie</v>
      </c>
    </row>
    <row r="89" spans="1:11" ht="15" customHeight="1">
      <c r="A89" s="1108">
        <v>661</v>
      </c>
      <c r="B89" s="160" t="s">
        <v>2369</v>
      </c>
      <c r="C89" s="934"/>
      <c r="D89" s="934"/>
      <c r="E89" s="981" t="s">
        <v>1913</v>
      </c>
      <c r="F89" s="981"/>
      <c r="G89" s="981" t="str">
        <f>+VLOOKUP(Data_Validation!$A89,BV_Data_An_Cour!$L:$Q,6,0)</f>
        <v>1-Mémo</v>
      </c>
      <c r="H89" s="182"/>
      <c r="K89" s="158" t="str">
        <f>Print_Mois!C171</f>
        <v>M/O Client</v>
      </c>
    </row>
    <row r="90" spans="1:11" ht="15" customHeight="1">
      <c r="A90" s="1101">
        <v>662</v>
      </c>
      <c r="B90" s="163" t="s">
        <v>2371</v>
      </c>
      <c r="C90" s="934"/>
      <c r="D90" s="934"/>
      <c r="E90" s="981" t="s">
        <v>1913</v>
      </c>
      <c r="F90" s="984"/>
      <c r="G90" s="984" t="str">
        <f>+VLOOKUP(Data_Validation!$A90,BV_Data_An_Cour!$L:$Q,6,0)</f>
        <v>1-Mémo</v>
      </c>
      <c r="H90" s="182"/>
      <c r="K90" s="158" t="str">
        <f>Print_Mois!C180</f>
        <v>M/O Esthétique</v>
      </c>
    </row>
    <row r="91" spans="1:11" ht="15" customHeight="1">
      <c r="A91" s="1101">
        <v>664</v>
      </c>
      <c r="B91" s="160" t="s">
        <v>2373</v>
      </c>
      <c r="C91" s="934"/>
      <c r="D91" s="934"/>
      <c r="E91" s="981" t="s">
        <v>1913</v>
      </c>
      <c r="F91" s="981"/>
      <c r="G91" s="981" t="str">
        <f>+VLOOKUP(Data_Validation!$A91,BV_Data_An_Cour!$L:$Q,6,0)</f>
        <v>1-Mémo</v>
      </c>
      <c r="H91" s="182"/>
      <c r="K91" s="158" t="str">
        <f>+Print_Mois!C246</f>
        <v>M/O Esthétique Carr.</v>
      </c>
    </row>
    <row r="92" spans="1:11" ht="15" customHeight="1">
      <c r="A92" s="1101">
        <v>667</v>
      </c>
      <c r="B92" s="160" t="s">
        <v>2375</v>
      </c>
      <c r="C92" s="934"/>
      <c r="D92" s="934"/>
      <c r="E92" s="981" t="s">
        <v>1913</v>
      </c>
      <c r="F92" s="981"/>
      <c r="G92" s="981" t="str">
        <f>+VLOOKUP(Data_Validation!$A92,BV_Data_An_Cour!$L:$Q,6,0)</f>
        <v>1-Mémo</v>
      </c>
      <c r="H92" s="182"/>
      <c r="K92" s="158" t="str">
        <f>Print_Mois!C174</f>
        <v>M/O Garantie</v>
      </c>
    </row>
    <row r="93" spans="1:11" ht="15" customHeight="1">
      <c r="A93" s="1101">
        <v>677</v>
      </c>
      <c r="B93" s="165" t="s">
        <v>2377</v>
      </c>
      <c r="C93" s="934"/>
      <c r="D93" s="934"/>
      <c r="E93" s="981" t="s">
        <v>1913</v>
      </c>
      <c r="F93" s="982"/>
      <c r="G93" s="981" t="str">
        <f>+VLOOKUP(Data_Validation!$A93,BV_Data_An_Cour!$L:$Q,6,0)</f>
        <v>1-Mémo</v>
      </c>
      <c r="H93" s="182"/>
      <c r="K93" s="158" t="str">
        <f>Print_Mois!C177</f>
        <v>M/O Interne</v>
      </c>
    </row>
    <row r="94" spans="1:11" ht="15" customHeight="1">
      <c r="A94" s="1101">
        <v>1102</v>
      </c>
      <c r="B94" s="163" t="s">
        <v>2845</v>
      </c>
      <c r="C94" s="934" t="s">
        <v>1638</v>
      </c>
      <c r="D94" s="934" t="s">
        <v>8</v>
      </c>
      <c r="E94" s="981" t="s">
        <v>1913</v>
      </c>
      <c r="F94" s="982"/>
      <c r="G94" s="981" t="str">
        <f>+VLOOKUP(Data_Validation!$A94,BV_Data_An_Cour!$L:$Q,6,0)</f>
        <v>2-Actifs</v>
      </c>
      <c r="H94" s="182"/>
      <c r="K94" s="158" t="s">
        <v>9</v>
      </c>
    </row>
    <row r="95" spans="1:11" ht="15" customHeight="1">
      <c r="A95" s="1101">
        <v>1103</v>
      </c>
      <c r="B95" s="163" t="s">
        <v>2877</v>
      </c>
      <c r="C95" s="934" t="s">
        <v>1638</v>
      </c>
      <c r="D95" s="934" t="s">
        <v>8</v>
      </c>
      <c r="E95" s="981" t="s">
        <v>1913</v>
      </c>
      <c r="F95" s="982"/>
      <c r="G95" s="981" t="e">
        <f>+VLOOKUP(Data_Validation!$A95,BV_Data_An_Cour!$L:$Q,6,0)</f>
        <v>#N/A</v>
      </c>
      <c r="H95" s="182"/>
      <c r="K95" s="158" t="s">
        <v>1696</v>
      </c>
    </row>
    <row r="96" spans="1:11" ht="15" customHeight="1">
      <c r="A96" s="1101">
        <v>1104</v>
      </c>
      <c r="B96" s="163" t="s">
        <v>2878</v>
      </c>
      <c r="C96" s="934" t="s">
        <v>1638</v>
      </c>
      <c r="D96" s="934" t="s">
        <v>8</v>
      </c>
      <c r="E96" s="981" t="s">
        <v>1913</v>
      </c>
      <c r="F96" s="982"/>
      <c r="G96" s="981" t="e">
        <f>+VLOOKUP(Data_Validation!$A96,BV_Data_An_Cour!$L:$Q,6,0)</f>
        <v>#N/A</v>
      </c>
      <c r="H96" s="182"/>
      <c r="K96" s="158" t="s">
        <v>58</v>
      </c>
    </row>
    <row r="97" spans="1:11" ht="15" customHeight="1">
      <c r="A97" s="1101">
        <v>1105</v>
      </c>
      <c r="B97" s="163" t="s">
        <v>2879</v>
      </c>
      <c r="C97" s="934" t="s">
        <v>1638</v>
      </c>
      <c r="D97" s="934" t="s">
        <v>8</v>
      </c>
      <c r="E97" s="981" t="s">
        <v>1913</v>
      </c>
      <c r="F97" s="982"/>
      <c r="G97" s="981" t="e">
        <f>+VLOOKUP(Data_Validation!$A97,BV_Data_An_Cour!$L:$Q,6,0)</f>
        <v>#N/A</v>
      </c>
      <c r="H97" s="182"/>
      <c r="K97" s="158" t="str">
        <f>Print_Mois!C95</f>
        <v>Non Certifié</v>
      </c>
    </row>
    <row r="98" spans="1:11" s="564" customFormat="1" ht="15" customHeight="1">
      <c r="A98" s="1101">
        <v>1107</v>
      </c>
      <c r="B98" s="163" t="s">
        <v>3310</v>
      </c>
      <c r="C98" s="934" t="s">
        <v>1638</v>
      </c>
      <c r="D98" s="934" t="s">
        <v>8</v>
      </c>
      <c r="E98" s="981" t="s">
        <v>1913</v>
      </c>
      <c r="F98" s="982"/>
      <c r="G98" s="981" t="e">
        <f>+VLOOKUP(Data_Validation!$A98,BV_Data_An_Cour!$L:$Q,6,0)</f>
        <v>#N/A</v>
      </c>
      <c r="H98" s="182"/>
      <c r="K98" s="158"/>
    </row>
    <row r="99" spans="1:11" ht="15" customHeight="1">
      <c r="A99" s="1101">
        <v>1111</v>
      </c>
      <c r="B99" s="163" t="s">
        <v>3253</v>
      </c>
      <c r="C99" s="934" t="s">
        <v>1638</v>
      </c>
      <c r="D99" s="934" t="s">
        <v>8</v>
      </c>
      <c r="E99" s="981" t="s">
        <v>1913</v>
      </c>
      <c r="F99" s="982"/>
      <c r="G99" s="981" t="str">
        <f>+VLOOKUP(Data_Validation!$A99,BV_Data_An_Cour!$L:$Q,6,0)</f>
        <v>2-Actifs</v>
      </c>
      <c r="H99" s="182"/>
      <c r="K99" s="158" t="str">
        <f>Print_Mois!C296</f>
        <v>P/A Garantie</v>
      </c>
    </row>
    <row r="100" spans="1:11" ht="15" customHeight="1">
      <c r="A100" s="1101">
        <v>1142</v>
      </c>
      <c r="B100" s="163" t="s">
        <v>2380</v>
      </c>
      <c r="C100" s="934" t="s">
        <v>1638</v>
      </c>
      <c r="D100" s="934" t="s">
        <v>8</v>
      </c>
      <c r="E100" s="981" t="s">
        <v>1913</v>
      </c>
      <c r="F100" s="982"/>
      <c r="G100" s="981" t="e">
        <f>+VLOOKUP(Data_Validation!$A100,BV_Data_An_Cour!$L:$Q,6,0)</f>
        <v>#N/A</v>
      </c>
      <c r="H100" s="182"/>
      <c r="K100" s="158" t="str">
        <f>Print_Mois!V442</f>
        <v>Papeterie</v>
      </c>
    </row>
    <row r="101" spans="1:11" ht="15" customHeight="1">
      <c r="A101" s="1101">
        <v>1182</v>
      </c>
      <c r="B101" s="163" t="s">
        <v>2382</v>
      </c>
      <c r="C101" s="934" t="s">
        <v>1638</v>
      </c>
      <c r="D101" s="934" t="s">
        <v>8</v>
      </c>
      <c r="E101" s="981" t="s">
        <v>1913</v>
      </c>
      <c r="F101" s="982"/>
      <c r="G101" s="981" t="str">
        <f>+VLOOKUP(Data_Validation!$A101,BV_Data_An_Cour!$L:$Q,6,0)</f>
        <v>2-Actifs</v>
      </c>
      <c r="H101" s="182"/>
      <c r="K101" s="158" t="str">
        <f>Print_Mois!C295</f>
        <v>Pièces Ro Carrosserie</v>
      </c>
    </row>
    <row r="102" spans="1:11" ht="15" customHeight="1">
      <c r="A102" s="1101">
        <v>1188</v>
      </c>
      <c r="B102" s="163" t="s">
        <v>3443</v>
      </c>
      <c r="C102" s="934" t="s">
        <v>1638</v>
      </c>
      <c r="D102" s="934" t="s">
        <v>8</v>
      </c>
      <c r="E102" s="981" t="s">
        <v>1913</v>
      </c>
      <c r="F102" s="982"/>
      <c r="G102" s="981" t="e">
        <f>+VLOOKUP(Data_Validation!$A102,BV_Data_An_Cour!$L:$Q,6,0)</f>
        <v>#N/A</v>
      </c>
      <c r="H102" s="182"/>
      <c r="K102" s="158" t="str">
        <f>Print_Mois!C294</f>
        <v>Pièces Ro Clients</v>
      </c>
    </row>
    <row r="103" spans="1:11" ht="15" customHeight="1">
      <c r="A103" s="1101">
        <v>1189</v>
      </c>
      <c r="B103" s="163" t="s">
        <v>2382</v>
      </c>
      <c r="C103" s="934" t="s">
        <v>1638</v>
      </c>
      <c r="D103" s="934" t="s">
        <v>8</v>
      </c>
      <c r="E103" s="981" t="s">
        <v>1913</v>
      </c>
      <c r="F103" s="982"/>
      <c r="G103" s="981" t="e">
        <f>+VLOOKUP(Data_Validation!$A103,BV_Data_An_Cour!$L:$Q,6,0)</f>
        <v>#N/A</v>
      </c>
      <c r="H103" s="182"/>
      <c r="K103" s="158" t="s">
        <v>11</v>
      </c>
    </row>
    <row r="104" spans="1:11" ht="15" customHeight="1">
      <c r="A104" s="1101">
        <v>1202</v>
      </c>
      <c r="B104" s="163" t="s">
        <v>2176</v>
      </c>
      <c r="C104" s="934" t="s">
        <v>1638</v>
      </c>
      <c r="D104" s="934" t="s">
        <v>12</v>
      </c>
      <c r="E104" s="981" t="s">
        <v>1913</v>
      </c>
      <c r="F104" s="982"/>
      <c r="G104" s="981" t="str">
        <f>+VLOOKUP(Data_Validation!$A104,BV_Data_An_Cour!$L:$Q,6,0)</f>
        <v>2-Actifs</v>
      </c>
      <c r="H104" s="182"/>
      <c r="K104" s="158" t="str">
        <f>Print_Mois!V470</f>
        <v>Programme neuf 1</v>
      </c>
    </row>
    <row r="105" spans="1:11" s="564" customFormat="1" ht="15" customHeight="1">
      <c r="A105" s="1101">
        <v>1302</v>
      </c>
      <c r="B105" s="163" t="s">
        <v>2020</v>
      </c>
      <c r="C105" s="934" t="s">
        <v>1638</v>
      </c>
      <c r="D105" s="934" t="s">
        <v>13</v>
      </c>
      <c r="E105" s="981" t="s">
        <v>1913</v>
      </c>
      <c r="F105" s="982"/>
      <c r="G105" s="981" t="str">
        <f>+VLOOKUP(Data_Validation!$A105,BV_Data_An_Cour!$L:$Q,6,0)</f>
        <v>2-Actifs</v>
      </c>
      <c r="H105" s="182"/>
      <c r="K105" s="158" t="s">
        <v>24</v>
      </c>
    </row>
    <row r="106" spans="1:11" s="564" customFormat="1" ht="15" customHeight="1">
      <c r="A106" s="1101">
        <v>1303</v>
      </c>
      <c r="B106" s="163" t="s">
        <v>2008</v>
      </c>
      <c r="C106" s="934" t="s">
        <v>1638</v>
      </c>
      <c r="D106" s="934" t="s">
        <v>13</v>
      </c>
      <c r="E106" s="981" t="s">
        <v>1913</v>
      </c>
      <c r="F106" s="982"/>
      <c r="G106" s="981" t="str">
        <f>+VLOOKUP(Data_Validation!$A106,BV_Data_An_Cour!$L:$Q,6,0)</f>
        <v>2-Actifs</v>
      </c>
      <c r="H106" s="182"/>
      <c r="K106" s="158"/>
    </row>
    <row r="107" spans="1:11" ht="15" customHeight="1">
      <c r="A107" s="1101">
        <v>1304</v>
      </c>
      <c r="B107" s="163" t="s">
        <v>2095</v>
      </c>
      <c r="C107" s="934" t="s">
        <v>1638</v>
      </c>
      <c r="D107" s="934" t="s">
        <v>17</v>
      </c>
      <c r="E107" s="981" t="s">
        <v>1913</v>
      </c>
      <c r="F107" s="982"/>
      <c r="G107" s="981" t="str">
        <f>+VLOOKUP(Data_Validation!$A107,BV_Data_An_Cour!$L:$Q,6,0)</f>
        <v>2-Actifs</v>
      </c>
      <c r="H107" s="182"/>
      <c r="K107" s="158" t="str">
        <f>Print_Mois!V471</f>
        <v>Programme neuf 2</v>
      </c>
    </row>
    <row r="108" spans="1:11" ht="15" customHeight="1">
      <c r="A108" s="1101">
        <v>1305</v>
      </c>
      <c r="B108" s="163" t="s">
        <v>2728</v>
      </c>
      <c r="C108" s="934" t="s">
        <v>1638</v>
      </c>
      <c r="D108" s="934" t="s">
        <v>21</v>
      </c>
      <c r="E108" s="981" t="s">
        <v>1913</v>
      </c>
      <c r="F108" s="982"/>
      <c r="G108" s="981" t="str">
        <f>+VLOOKUP(Data_Validation!$A110,BV_Data_An_Cour!$L:$Q,6,0)</f>
        <v>2-Actifs</v>
      </c>
      <c r="H108" s="182"/>
      <c r="K108" s="158" t="str">
        <f>Print_Mois!V472</f>
        <v>Programme neuf 3</v>
      </c>
    </row>
    <row r="109" spans="1:11" ht="15" customHeight="1">
      <c r="A109" s="162">
        <v>1306</v>
      </c>
      <c r="B109" s="163" t="s">
        <v>2929</v>
      </c>
      <c r="C109" s="934" t="s">
        <v>1638</v>
      </c>
      <c r="D109" s="934" t="s">
        <v>23</v>
      </c>
      <c r="E109" s="981" t="s">
        <v>1913</v>
      </c>
      <c r="F109" s="982"/>
      <c r="G109" s="981" t="s">
        <v>290</v>
      </c>
      <c r="H109" s="182"/>
      <c r="K109" s="158" t="s">
        <v>108</v>
      </c>
    </row>
    <row r="110" spans="1:11" ht="15" customHeight="1">
      <c r="A110" s="162">
        <v>1307</v>
      </c>
      <c r="B110" s="163" t="s">
        <v>2947</v>
      </c>
      <c r="C110" s="934" t="s">
        <v>1638</v>
      </c>
      <c r="D110" s="934" t="s">
        <v>23</v>
      </c>
      <c r="E110" s="981" t="s">
        <v>1913</v>
      </c>
      <c r="F110" s="982"/>
      <c r="G110" s="981" t="s">
        <v>290</v>
      </c>
      <c r="H110" s="182"/>
      <c r="K110" s="158" t="s">
        <v>121</v>
      </c>
    </row>
    <row r="111" spans="1:11" ht="15" customHeight="1">
      <c r="A111" s="1101">
        <v>1312</v>
      </c>
      <c r="B111" s="163" t="s">
        <v>2825</v>
      </c>
      <c r="C111" s="934" t="s">
        <v>1638</v>
      </c>
      <c r="D111" s="934" t="s">
        <v>15</v>
      </c>
      <c r="E111" s="981" t="s">
        <v>1913</v>
      </c>
      <c r="F111" s="982"/>
      <c r="G111" s="981" t="str">
        <f>+VLOOKUP(Data_Validation!$A111,BV_Data_An_Cour!$L:$Q,6,0)</f>
        <v>2-Actifs</v>
      </c>
      <c r="H111" s="182"/>
      <c r="K111" s="158" t="str">
        <f>Print_Mois!C19</f>
        <v>Rachat bail</v>
      </c>
    </row>
    <row r="112" spans="1:11" ht="15" customHeight="1">
      <c r="A112" s="1101">
        <v>1332</v>
      </c>
      <c r="B112" s="163" t="s">
        <v>2053</v>
      </c>
      <c r="C112" s="934" t="s">
        <v>1638</v>
      </c>
      <c r="D112" s="934" t="s">
        <v>19</v>
      </c>
      <c r="E112" s="981" t="s">
        <v>1913</v>
      </c>
      <c r="F112" s="982"/>
      <c r="G112" s="981" t="str">
        <f>+VLOOKUP(Data_Validation!$A112,BV_Data_An_Cour!$L:$Q,6,0)</f>
        <v>2-Actifs</v>
      </c>
      <c r="H112" s="182"/>
      <c r="K112" s="158" t="s">
        <v>25</v>
      </c>
    </row>
    <row r="113" spans="1:11" ht="15" customHeight="1">
      <c r="A113" s="1101">
        <v>1340</v>
      </c>
      <c r="B113" s="163" t="s">
        <v>2774</v>
      </c>
      <c r="C113" s="934" t="s">
        <v>1638</v>
      </c>
      <c r="D113" s="934" t="s">
        <v>1927</v>
      </c>
      <c r="E113" s="981" t="s">
        <v>1913</v>
      </c>
      <c r="F113" s="982"/>
      <c r="G113" s="981" t="str">
        <f>+VLOOKUP(Data_Validation!$A113,BV_Data_An_Cour!$L:$Q,6,0)</f>
        <v>2-Actifs</v>
      </c>
      <c r="H113" s="182"/>
      <c r="K113" s="158" t="s">
        <v>21</v>
      </c>
    </row>
    <row r="114" spans="1:11" ht="15" customHeight="1">
      <c r="A114" s="1101">
        <v>1352</v>
      </c>
      <c r="B114" s="163" t="s">
        <v>2013</v>
      </c>
      <c r="C114" s="934" t="s">
        <v>1638</v>
      </c>
      <c r="D114" s="934" t="s">
        <v>15</v>
      </c>
      <c r="E114" s="981" t="s">
        <v>1913</v>
      </c>
      <c r="F114" s="982"/>
      <c r="G114" s="981" t="str">
        <f>+VLOOKUP(Data_Validation!$A114,BV_Data_An_Cour!$L:$Q,6,0)</f>
        <v>2-Actifs</v>
      </c>
      <c r="H114" s="182"/>
      <c r="K114" s="158" t="s">
        <v>12</v>
      </c>
    </row>
    <row r="115" spans="1:11" ht="15" customHeight="1">
      <c r="A115" s="1109">
        <v>1360</v>
      </c>
      <c r="B115" s="989" t="s">
        <v>2880</v>
      </c>
      <c r="C115" s="934" t="s">
        <v>1638</v>
      </c>
      <c r="D115" s="934" t="s">
        <v>25</v>
      </c>
      <c r="E115" s="981" t="s">
        <v>1913</v>
      </c>
      <c r="F115" s="982"/>
      <c r="G115" s="981" t="e">
        <f>+VLOOKUP(Data_Validation!$A115,BV_Data_An_Cour!$L:$Q,6,0)</f>
        <v>#N/A</v>
      </c>
      <c r="H115" s="182"/>
      <c r="K115" s="158" t="s">
        <v>12</v>
      </c>
    </row>
    <row r="116" spans="1:11" ht="15" customHeight="1">
      <c r="A116" s="1109">
        <v>1362</v>
      </c>
      <c r="B116" s="989" t="s">
        <v>2880</v>
      </c>
      <c r="C116" s="934" t="s">
        <v>1638</v>
      </c>
      <c r="D116" s="934" t="s">
        <v>25</v>
      </c>
      <c r="E116" s="981" t="s">
        <v>1913</v>
      </c>
      <c r="F116" s="982"/>
      <c r="G116" s="981" t="e">
        <f>+VLOOKUP(Data_Validation!$A116,BV_Data_An_Cour!$L:$Q,6,0)</f>
        <v>#N/A</v>
      </c>
      <c r="H116" s="182"/>
      <c r="K116" s="158" t="s">
        <v>19</v>
      </c>
    </row>
    <row r="117" spans="1:11" ht="15" customHeight="1">
      <c r="A117" s="1101">
        <v>1364</v>
      </c>
      <c r="B117" s="163" t="s">
        <v>2612</v>
      </c>
      <c r="C117" s="934" t="s">
        <v>1638</v>
      </c>
      <c r="D117" s="934" t="s">
        <v>1927</v>
      </c>
      <c r="E117" s="981" t="s">
        <v>1913</v>
      </c>
      <c r="F117" s="982"/>
      <c r="G117" s="981" t="e">
        <f>+VLOOKUP(Data_Validation!$A117,BV_Data_An_Cour!$L:$Q,6,0)</f>
        <v>#N/A</v>
      </c>
      <c r="H117" s="182"/>
      <c r="K117" s="158" t="s">
        <v>17</v>
      </c>
    </row>
    <row r="118" spans="1:11" ht="15" customHeight="1">
      <c r="A118" s="1101">
        <v>1372</v>
      </c>
      <c r="B118" s="163" t="s">
        <v>2813</v>
      </c>
      <c r="C118" s="934" t="s">
        <v>1638</v>
      </c>
      <c r="D118" s="934" t="s">
        <v>18</v>
      </c>
      <c r="E118" s="981" t="s">
        <v>1913</v>
      </c>
      <c r="F118" s="982"/>
      <c r="G118" s="983" t="e">
        <f>+VLOOKUP(Data_Validation!$A118,BV_Data_An_Cour!$L:$Q,6,0)</f>
        <v>#N/A</v>
      </c>
      <c r="H118" s="182"/>
      <c r="K118" s="158" t="s">
        <v>13</v>
      </c>
    </row>
    <row r="119" spans="1:11" ht="15" customHeight="1">
      <c r="A119" s="1101">
        <v>1399</v>
      </c>
      <c r="B119" s="163" t="s">
        <v>2856</v>
      </c>
      <c r="C119" s="934" t="s">
        <v>1638</v>
      </c>
      <c r="D119" s="934" t="s">
        <v>17</v>
      </c>
      <c r="E119" s="981" t="s">
        <v>1913</v>
      </c>
      <c r="F119" s="982"/>
      <c r="G119" s="983" t="str">
        <f>+VLOOKUP(Data_Validation!$A119,BV_Data_An_Cour!$L:$Q,6,0)</f>
        <v>2-Actifs</v>
      </c>
      <c r="H119" s="182"/>
      <c r="K119" s="158" t="s">
        <v>184</v>
      </c>
    </row>
    <row r="120" spans="1:11" s="564" customFormat="1" ht="15" customHeight="1">
      <c r="A120" s="1101">
        <v>1402</v>
      </c>
      <c r="B120" s="163" t="s">
        <v>2102</v>
      </c>
      <c r="C120" s="934" t="s">
        <v>1638</v>
      </c>
      <c r="D120" s="934" t="s">
        <v>29</v>
      </c>
      <c r="E120" s="981" t="s">
        <v>1913</v>
      </c>
      <c r="F120" s="982"/>
      <c r="G120" s="981" t="str">
        <f>+VLOOKUP(Data_Validation!$A120,BV_Data_An_Cour!$L:$Q,6,0)</f>
        <v>2-Actifs</v>
      </c>
      <c r="H120" s="182"/>
      <c r="K120" s="158" t="s">
        <v>23</v>
      </c>
    </row>
    <row r="121" spans="1:11" ht="15" customHeight="1">
      <c r="A121" s="1101">
        <v>1403</v>
      </c>
      <c r="B121" s="163" t="s">
        <v>2111</v>
      </c>
      <c r="C121" s="934" t="s">
        <v>1638</v>
      </c>
      <c r="D121" s="934" t="s">
        <v>29</v>
      </c>
      <c r="E121" s="981" t="s">
        <v>1913</v>
      </c>
      <c r="F121" s="982"/>
      <c r="G121" s="981" t="str">
        <f>+VLOOKUP(Data_Validation!$A121,BV_Data_An_Cour!$L:$Q,6,0)</f>
        <v>2-Actifs</v>
      </c>
      <c r="H121" s="182"/>
      <c r="K121" s="158" t="str">
        <f>Print_Mois!V459</f>
        <v>Réparation équipement</v>
      </c>
    </row>
    <row r="122" spans="1:11" ht="15" customHeight="1">
      <c r="A122" s="1101">
        <v>1413</v>
      </c>
      <c r="B122" s="163" t="s">
        <v>2752</v>
      </c>
      <c r="C122" s="934" t="s">
        <v>1638</v>
      </c>
      <c r="D122" s="934" t="s">
        <v>31</v>
      </c>
      <c r="E122" s="981" t="s">
        <v>1913</v>
      </c>
      <c r="F122" s="982"/>
      <c r="G122" s="981" t="str">
        <f>+VLOOKUP(Data_Validation!$A122,BV_Data_An_Cour!$L:$Q,6,0)</f>
        <v>2-Actifs</v>
      </c>
      <c r="H122" s="182"/>
      <c r="K122" s="158" t="s">
        <v>1708</v>
      </c>
    </row>
    <row r="123" spans="1:11" ht="15" customHeight="1">
      <c r="A123" s="1101">
        <v>1416</v>
      </c>
      <c r="B123" s="163" t="s">
        <v>2817</v>
      </c>
      <c r="C123" s="934" t="s">
        <v>1638</v>
      </c>
      <c r="D123" s="934" t="s">
        <v>31</v>
      </c>
      <c r="E123" s="981" t="s">
        <v>1913</v>
      </c>
      <c r="F123" s="982"/>
      <c r="G123" s="981" t="str">
        <f>+VLOOKUP(Data_Validation!$A123,BV_Data_An_Cour!$L:$Q,6,0)</f>
        <v>2-Actifs</v>
      </c>
      <c r="H123" s="182"/>
      <c r="K123" s="158" t="str">
        <f>Print_Mois!C23</f>
        <v>Rev. Autres</v>
      </c>
    </row>
    <row r="124" spans="1:11" ht="15" customHeight="1">
      <c r="A124" s="1101">
        <v>1423</v>
      </c>
      <c r="B124" s="163" t="s">
        <v>2858</v>
      </c>
      <c r="C124" s="934" t="s">
        <v>1638</v>
      </c>
      <c r="D124" s="934" t="s">
        <v>29</v>
      </c>
      <c r="E124" s="981" t="s">
        <v>1913</v>
      </c>
      <c r="F124" s="982"/>
      <c r="G124" s="983" t="str">
        <f>+VLOOKUP(Data_Validation!$A125,BV_Data_An_Cour!$L:$Q,6,0)</f>
        <v>2-Actifs</v>
      </c>
      <c r="H124" s="182"/>
      <c r="K124" s="158" t="str">
        <f>Print_Mois!C21</f>
        <v>Rev. Finances</v>
      </c>
    </row>
    <row r="125" spans="1:11" ht="15" customHeight="1">
      <c r="A125" s="1101">
        <v>1433</v>
      </c>
      <c r="B125" s="163" t="s">
        <v>2860</v>
      </c>
      <c r="C125" s="934" t="s">
        <v>1638</v>
      </c>
      <c r="D125" s="934" t="s">
        <v>29</v>
      </c>
      <c r="E125" s="981" t="s">
        <v>1913</v>
      </c>
      <c r="F125" s="982"/>
      <c r="G125" s="983" t="str">
        <f>+VLOOKUP(Data_Validation!$A126,BV_Data_An_Cour!$L:$Q,6,0)</f>
        <v>2-Actifs</v>
      </c>
      <c r="H125" s="182"/>
      <c r="K125" s="158" t="str">
        <f>Print_Mois!C22</f>
        <v>Rev. Protections</v>
      </c>
    </row>
    <row r="126" spans="1:11" ht="15" customHeight="1">
      <c r="A126" s="1101">
        <v>1442</v>
      </c>
      <c r="B126" s="163" t="s">
        <v>2025</v>
      </c>
      <c r="C126" s="934" t="s">
        <v>1638</v>
      </c>
      <c r="D126" s="934" t="s">
        <v>33</v>
      </c>
      <c r="E126" s="981" t="s">
        <v>1913</v>
      </c>
      <c r="F126" s="982"/>
      <c r="G126" s="981" t="str">
        <f>+VLOOKUP(Data_Validation!$A127,BV_Data_An_Cour!$L:$Q,6,0)</f>
        <v>2-Actifs</v>
      </c>
      <c r="H126" s="182"/>
      <c r="K126" s="158" t="str">
        <f>Print_Mois!V468</f>
        <v>Revenus autres</v>
      </c>
    </row>
    <row r="127" spans="1:11" ht="15" customHeight="1">
      <c r="A127" s="1101">
        <v>1448</v>
      </c>
      <c r="B127" s="163" t="s">
        <v>2862</v>
      </c>
      <c r="C127" s="934" t="s">
        <v>1638</v>
      </c>
      <c r="D127" s="934" t="s">
        <v>33</v>
      </c>
      <c r="E127" s="981" t="s">
        <v>1913</v>
      </c>
      <c r="F127" s="982"/>
      <c r="G127" s="983" t="str">
        <f>+VLOOKUP(Data_Validation!$A128,BV_Data_An_Cour!$L:$Q,6,0)</f>
        <v>2-Actifs</v>
      </c>
      <c r="H127" s="182"/>
      <c r="K127" s="158" t="s">
        <v>36</v>
      </c>
    </row>
    <row r="128" spans="1:11" ht="15" customHeight="1">
      <c r="A128" s="1101">
        <v>1452</v>
      </c>
      <c r="B128" s="163" t="s">
        <v>2815</v>
      </c>
      <c r="C128" s="934" t="s">
        <v>1638</v>
      </c>
      <c r="D128" s="934" t="s">
        <v>33</v>
      </c>
      <c r="E128" s="981" t="s">
        <v>1913</v>
      </c>
      <c r="F128" s="982"/>
      <c r="G128" s="981" t="str">
        <f>+VLOOKUP(Data_Validation!$A129,BV_Data_An_Cour!$L:$Q,6,0)</f>
        <v>2-Actifs</v>
      </c>
      <c r="H128" s="182"/>
      <c r="K128" s="158" t="str">
        <f>Print_Mois!V422</f>
        <v>Salaires autres</v>
      </c>
    </row>
    <row r="129" spans="1:29" ht="15" customHeight="1">
      <c r="A129" s="1101">
        <v>1456</v>
      </c>
      <c r="B129" s="163" t="s">
        <v>2731</v>
      </c>
      <c r="C129" s="934" t="s">
        <v>1638</v>
      </c>
      <c r="D129" s="934" t="s">
        <v>33</v>
      </c>
      <c r="E129" s="981" t="s">
        <v>1913</v>
      </c>
      <c r="F129" s="982"/>
      <c r="G129" s="981" t="str">
        <f>+VLOOKUP(Data_Validation!$A130,BV_Data_An_Cour!$L:$Q,6,0)</f>
        <v>2-Actifs</v>
      </c>
      <c r="H129" s="182"/>
      <c r="K129" s="158" t="str">
        <f>Print_Mois!V420</f>
        <v>Salaires cadres</v>
      </c>
    </row>
    <row r="130" spans="1:29" ht="15" customHeight="1">
      <c r="A130" s="1101">
        <v>1472</v>
      </c>
      <c r="B130" s="163" t="s">
        <v>2580</v>
      </c>
      <c r="C130" s="934" t="s">
        <v>1638</v>
      </c>
      <c r="D130" s="934" t="s">
        <v>39</v>
      </c>
      <c r="E130" s="981" t="s">
        <v>1913</v>
      </c>
      <c r="F130" s="982"/>
      <c r="G130" s="981" t="str">
        <f>+VLOOKUP(Data_Validation!$A131,BV_Data_An_Cour!$L:$Q,6,0)</f>
        <v>2-Actifs</v>
      </c>
      <c r="H130" s="182"/>
      <c r="K130" s="158" t="str">
        <f>Print_Mois!C43</f>
        <v>Salaires commis</v>
      </c>
    </row>
    <row r="131" spans="1:29" ht="15" customHeight="1">
      <c r="A131" s="1101">
        <v>1474</v>
      </c>
      <c r="B131" s="163" t="s">
        <v>2754</v>
      </c>
      <c r="C131" s="934" t="s">
        <v>1638</v>
      </c>
      <c r="D131" s="934" t="s">
        <v>41</v>
      </c>
      <c r="E131" s="981" t="s">
        <v>1913</v>
      </c>
      <c r="F131" s="982"/>
      <c r="G131" s="981" t="str">
        <f>+VLOOKUP(Data_Validation!$A132,BV_Data_An_Cour!$L:$Q,6,0)</f>
        <v>2-Actifs</v>
      </c>
      <c r="H131" s="182"/>
      <c r="K131" s="158" t="str">
        <f>Print_Mois!V421</f>
        <v>Salaires commis</v>
      </c>
    </row>
    <row r="132" spans="1:29" ht="15" customHeight="1">
      <c r="A132" s="1101">
        <v>1492</v>
      </c>
      <c r="B132" s="163" t="s">
        <v>2133</v>
      </c>
      <c r="C132" s="934" t="s">
        <v>1638</v>
      </c>
      <c r="D132" s="934" t="s">
        <v>33</v>
      </c>
      <c r="E132" s="981" t="s">
        <v>1913</v>
      </c>
      <c r="F132" s="982"/>
      <c r="G132" s="981" t="e">
        <f>+VLOOKUP(Data_Validation!$A133,BV_Data_An_Cour!$L:$Q,6,0)</f>
        <v>#N/A</v>
      </c>
      <c r="H132" s="182"/>
      <c r="K132" s="158" t="str">
        <f>Print_Mois!V427</f>
        <v>Salaires en absences</v>
      </c>
    </row>
    <row r="133" spans="1:29" ht="15" customHeight="1">
      <c r="A133" s="162">
        <v>1496</v>
      </c>
      <c r="B133" s="163" t="s">
        <v>2854</v>
      </c>
      <c r="C133" s="934" t="s">
        <v>1638</v>
      </c>
      <c r="D133" s="934" t="s">
        <v>33</v>
      </c>
      <c r="E133" s="981" t="s">
        <v>1913</v>
      </c>
      <c r="F133" s="982"/>
      <c r="G133" s="983" t="str">
        <f>+VLOOKUP(Data_Validation!$A134,BV_Data_An_Cour!$L:$Q,6,0)</f>
        <v>2-Actifs</v>
      </c>
      <c r="H133" s="182"/>
      <c r="K133" s="158" t="str">
        <f>Print_Mois!V419</f>
        <v>Salaires propriétaire</v>
      </c>
    </row>
    <row r="134" spans="1:29" ht="15" customHeight="1">
      <c r="A134" s="1101">
        <v>1498</v>
      </c>
      <c r="B134" s="163" t="s">
        <v>2682</v>
      </c>
      <c r="C134" s="934" t="s">
        <v>1638</v>
      </c>
      <c r="D134" s="934" t="s">
        <v>33</v>
      </c>
      <c r="E134" s="981" t="s">
        <v>1913</v>
      </c>
      <c r="F134" s="982"/>
      <c r="G134" s="981" t="e">
        <f>+VLOOKUP(Data_Validation!$A135,BV_Data_An_Cour!$L:$Q,6,0)</f>
        <v>#N/A</v>
      </c>
      <c r="H134" s="182"/>
      <c r="K134" s="158" t="str">
        <f>Print_Mois!V423</f>
        <v>Salaires spécialistes</v>
      </c>
    </row>
    <row r="135" spans="1:29" ht="15" customHeight="1">
      <c r="A135" s="1101">
        <v>1502</v>
      </c>
      <c r="B135" s="163" t="s">
        <v>2097</v>
      </c>
      <c r="C135" s="934" t="s">
        <v>1638</v>
      </c>
      <c r="D135" s="934" t="s">
        <v>43</v>
      </c>
      <c r="E135" s="981" t="s">
        <v>1913</v>
      </c>
      <c r="F135" s="982"/>
      <c r="G135" s="981" t="e">
        <f>+VLOOKUP(Data_Validation!$A136,BV_Data_An_Cour!$L:$Q,6,0)</f>
        <v>#N/A</v>
      </c>
      <c r="H135" s="182"/>
      <c r="K135" s="158" t="str">
        <f>Print_Mois!C34</f>
        <v>Service gratuit 1</v>
      </c>
    </row>
    <row r="136" spans="1:29" ht="15" customHeight="1">
      <c r="A136" s="1101">
        <v>1504</v>
      </c>
      <c r="B136" s="163" t="s">
        <v>2123</v>
      </c>
      <c r="C136" s="934" t="s">
        <v>1638</v>
      </c>
      <c r="D136" s="934" t="s">
        <v>43</v>
      </c>
      <c r="E136" s="981" t="s">
        <v>1913</v>
      </c>
      <c r="F136" s="982"/>
      <c r="G136" s="981" t="str">
        <f>+VLOOKUP(Data_Validation!$A137,BV_Data_An_Cour!$L:$Q,6,0)</f>
        <v>2-Actifs</v>
      </c>
      <c r="H136" s="182"/>
      <c r="K136" s="158" t="str">
        <f>Print_Mois!V434</f>
        <v>Service gratuit 2</v>
      </c>
    </row>
    <row r="137" spans="1:29" ht="15" customHeight="1">
      <c r="A137" s="1108">
        <v>1506</v>
      </c>
      <c r="B137" s="160" t="s">
        <v>2797</v>
      </c>
      <c r="C137" s="934" t="s">
        <v>1638</v>
      </c>
      <c r="D137" s="934" t="s">
        <v>43</v>
      </c>
      <c r="E137" s="981" t="s">
        <v>1913</v>
      </c>
      <c r="F137" s="982"/>
      <c r="G137" s="981" t="e">
        <f>+VLOOKUP(Data_Validation!$A138,BV_Data_An_Cour!$L:$Q,6,0)</f>
        <v>#N/A</v>
      </c>
      <c r="H137" s="182"/>
      <c r="I137" s="2"/>
      <c r="J137" s="2"/>
      <c r="K137" s="158" t="str">
        <f>Print_Mois!V438</f>
        <v>Services extérieurs</v>
      </c>
      <c r="L137" s="2"/>
      <c r="M137" s="2"/>
      <c r="P137" s="2"/>
      <c r="Q137" s="2"/>
      <c r="R137" s="2"/>
      <c r="S137" s="2"/>
      <c r="T137" s="2"/>
      <c r="U137" s="2"/>
      <c r="V137" s="2"/>
      <c r="W137" s="2"/>
      <c r="X137" s="2"/>
      <c r="Y137" s="2"/>
      <c r="Z137" s="2"/>
      <c r="AA137" s="2"/>
      <c r="AB137" s="2"/>
      <c r="AC137" s="2"/>
    </row>
    <row r="138" spans="1:29" ht="15" customHeight="1">
      <c r="A138" s="1108">
        <v>1508</v>
      </c>
      <c r="B138" s="160" t="s">
        <v>2385</v>
      </c>
      <c r="C138" s="934" t="s">
        <v>1638</v>
      </c>
      <c r="D138" s="934" t="s">
        <v>43</v>
      </c>
      <c r="E138" s="981" t="s">
        <v>1913</v>
      </c>
      <c r="F138" s="982"/>
      <c r="G138" s="981" t="str">
        <f>+VLOOKUP(Data_Validation!$A139,BV_Data_An_Cour!$L:$Q,6,0)</f>
        <v>2-Actifs</v>
      </c>
      <c r="H138" s="182"/>
      <c r="K138" s="158" t="s">
        <v>41</v>
      </c>
    </row>
    <row r="139" spans="1:29" ht="15" customHeight="1">
      <c r="A139" s="1108">
        <v>1510</v>
      </c>
      <c r="B139" s="160" t="s">
        <v>2633</v>
      </c>
      <c r="C139" s="934" t="s">
        <v>1638</v>
      </c>
      <c r="D139" s="934" t="s">
        <v>43</v>
      </c>
      <c r="E139" s="981" t="s">
        <v>1913</v>
      </c>
      <c r="F139" s="982"/>
      <c r="G139" s="981" t="str">
        <f>+VLOOKUP(Data_Validation!$A140,BV_Data_An_Cour!$L:$Q,6,0)</f>
        <v>2-Actifs</v>
      </c>
      <c r="H139" s="182"/>
      <c r="K139" s="158" t="str">
        <f>Print_Mois!C187</f>
        <v>Sous-traitement</v>
      </c>
    </row>
    <row r="140" spans="1:29" ht="15" customHeight="1">
      <c r="A140" s="1101">
        <v>1520</v>
      </c>
      <c r="B140" s="163" t="s">
        <v>2145</v>
      </c>
      <c r="C140" s="934" t="s">
        <v>1638</v>
      </c>
      <c r="D140" s="934" t="s">
        <v>43</v>
      </c>
      <c r="E140" s="981" t="s">
        <v>1913</v>
      </c>
      <c r="F140" s="982"/>
      <c r="G140" s="981" t="e">
        <f>+VLOOKUP(Data_Validation!$A141,BV_Data_An_Cour!$L:$Q,6,0)</f>
        <v>#N/A</v>
      </c>
      <c r="H140" s="182"/>
      <c r="K140" s="158" t="s">
        <v>121</v>
      </c>
    </row>
    <row r="141" spans="1:29" ht="15" customHeight="1">
      <c r="A141" s="1101">
        <v>1522</v>
      </c>
      <c r="B141" s="163" t="s">
        <v>2387</v>
      </c>
      <c r="C141" s="934" t="s">
        <v>1638</v>
      </c>
      <c r="D141" s="934" t="s">
        <v>43</v>
      </c>
      <c r="E141" s="981" t="s">
        <v>1913</v>
      </c>
      <c r="F141" s="982"/>
      <c r="G141" s="981" t="e">
        <f>+VLOOKUP(Data_Validation!$A142,BV_Data_An_Cour!$L:$Q,6,0)</f>
        <v>#N/A</v>
      </c>
      <c r="H141" s="182"/>
      <c r="K141" s="158" t="s">
        <v>91</v>
      </c>
    </row>
    <row r="142" spans="1:29" ht="15" customHeight="1">
      <c r="A142" s="162">
        <v>1524</v>
      </c>
      <c r="B142" s="163" t="s">
        <v>2848</v>
      </c>
      <c r="C142" s="934" t="s">
        <v>1638</v>
      </c>
      <c r="D142" s="934" t="s">
        <v>43</v>
      </c>
      <c r="E142" s="981" t="s">
        <v>1913</v>
      </c>
      <c r="F142" s="982"/>
      <c r="G142" s="983" t="e">
        <f>+VLOOKUP(Data_Validation!$A143,BV_Data_An_Cour!$L:$Q,6,0)</f>
        <v>#N/A</v>
      </c>
      <c r="H142" s="182"/>
      <c r="K142" s="158" t="s">
        <v>237</v>
      </c>
    </row>
    <row r="143" spans="1:29" ht="15" customHeight="1">
      <c r="A143" s="1101">
        <v>1528</v>
      </c>
      <c r="B143" s="163" t="s">
        <v>2117</v>
      </c>
      <c r="C143" s="934" t="s">
        <v>1638</v>
      </c>
      <c r="D143" s="934" t="s">
        <v>40</v>
      </c>
      <c r="E143" s="981" t="s">
        <v>1913</v>
      </c>
      <c r="F143" s="982"/>
      <c r="G143" s="981" t="e">
        <f>+VLOOKUP(Data_Validation!$A144,BV_Data_An_Cour!$L:$Q,6,0)</f>
        <v>#N/A</v>
      </c>
      <c r="H143" s="182"/>
      <c r="K143" s="158" t="s">
        <v>239</v>
      </c>
    </row>
    <row r="144" spans="1:29" ht="15" customHeight="1">
      <c r="A144" s="1101">
        <v>1530</v>
      </c>
      <c r="B144" s="163" t="s">
        <v>2596</v>
      </c>
      <c r="C144" s="934" t="s">
        <v>1638</v>
      </c>
      <c r="D144" s="934" t="s">
        <v>43</v>
      </c>
      <c r="E144" s="981" t="s">
        <v>1913</v>
      </c>
      <c r="F144" s="982"/>
      <c r="G144" s="981" t="str">
        <f>+VLOOKUP(Data_Validation!$A145,BV_Data_An_Cour!$L:$Q,6,0)</f>
        <v>2-Actifs</v>
      </c>
      <c r="H144" s="182"/>
      <c r="K144" s="158" t="str">
        <f>Print_Mois!V455</f>
        <v>Taxe sur le capital</v>
      </c>
    </row>
    <row r="145" spans="1:11" ht="15" customHeight="1">
      <c r="A145" s="1101">
        <v>1532</v>
      </c>
      <c r="B145" s="163" t="s">
        <v>2174</v>
      </c>
      <c r="C145" s="934" t="s">
        <v>1638</v>
      </c>
      <c r="D145" s="934" t="s">
        <v>43</v>
      </c>
      <c r="E145" s="981" t="s">
        <v>1913</v>
      </c>
      <c r="F145" s="982"/>
      <c r="G145" s="981" t="e">
        <f>+VLOOKUP(Data_Validation!$A146,BV_Data_An_Cour!$L:$Q,6,0)</f>
        <v>#N/A</v>
      </c>
      <c r="H145" s="182"/>
      <c r="K145" s="158" t="s">
        <v>18</v>
      </c>
    </row>
    <row r="146" spans="1:11" ht="15" customHeight="1">
      <c r="A146" s="1101">
        <v>1534</v>
      </c>
      <c r="B146" s="163" t="s">
        <v>2192</v>
      </c>
      <c r="C146" s="934" t="s">
        <v>1638</v>
      </c>
      <c r="D146" s="934" t="s">
        <v>43</v>
      </c>
      <c r="E146" s="981" t="s">
        <v>1913</v>
      </c>
      <c r="F146" s="982"/>
      <c r="G146" s="981" t="e">
        <f>+VLOOKUP(Data_Validation!$A147,BV_Data_An_Cour!$L:$Q,6,0)</f>
        <v>#N/A</v>
      </c>
      <c r="H146" s="182"/>
      <c r="K146" s="158" t="str">
        <f>Print_Mois!V443</f>
        <v>Téléphone</v>
      </c>
    </row>
    <row r="147" spans="1:11" ht="15" customHeight="1">
      <c r="A147" s="1101">
        <v>1536</v>
      </c>
      <c r="B147" s="163" t="s">
        <v>2389</v>
      </c>
      <c r="C147" s="934" t="s">
        <v>1638</v>
      </c>
      <c r="D147" s="934" t="s">
        <v>43</v>
      </c>
      <c r="E147" s="981" t="s">
        <v>1913</v>
      </c>
      <c r="F147" s="982"/>
      <c r="G147" s="981" t="e">
        <f>+VLOOKUP(Data_Validation!$A148,BV_Data_An_Cour!$L:$Q,6,0)</f>
        <v>#N/A</v>
      </c>
      <c r="H147" s="182"/>
      <c r="K147" s="158" t="s">
        <v>39</v>
      </c>
    </row>
    <row r="148" spans="1:11" ht="15" customHeight="1">
      <c r="A148" s="1101">
        <v>1538</v>
      </c>
      <c r="B148" s="163" t="s">
        <v>2673</v>
      </c>
      <c r="C148" s="934" t="s">
        <v>1638</v>
      </c>
      <c r="D148" s="934" t="s">
        <v>43</v>
      </c>
      <c r="E148" s="981" t="s">
        <v>1913</v>
      </c>
      <c r="F148" s="982"/>
      <c r="G148" s="981" t="str">
        <f>+VLOOKUP(Data_Validation!$A149,BV_Data_An_Cour!$L:$Q,6,0)</f>
        <v>2-Actifs</v>
      </c>
      <c r="H148" s="182"/>
      <c r="K148" s="158" t="s">
        <v>128</v>
      </c>
    </row>
    <row r="149" spans="1:11" ht="15" customHeight="1">
      <c r="A149" s="1101">
        <v>1540</v>
      </c>
      <c r="B149" s="163" t="s">
        <v>2776</v>
      </c>
      <c r="C149" s="934" t="s">
        <v>1638</v>
      </c>
      <c r="D149" s="934" t="s">
        <v>43</v>
      </c>
      <c r="E149" s="981" t="s">
        <v>1913</v>
      </c>
      <c r="F149" s="982"/>
      <c r="G149" s="981" t="str">
        <f>+VLOOKUP(Data_Validation!$A150,BV_Data_An_Cour!$L:$Q,6,0)</f>
        <v>2-Actifs</v>
      </c>
      <c r="H149" s="182"/>
      <c r="K149" s="158" t="str">
        <f>Print_Mois!C99</f>
        <v>Ventes au Gros</v>
      </c>
    </row>
    <row r="150" spans="1:11" s="564" customFormat="1" ht="15" customHeight="1">
      <c r="A150" s="1101">
        <v>1544</v>
      </c>
      <c r="B150" s="163" t="s">
        <v>2194</v>
      </c>
      <c r="C150" s="934" t="s">
        <v>1638</v>
      </c>
      <c r="D150" s="934" t="s">
        <v>40</v>
      </c>
      <c r="E150" s="981" t="s">
        <v>1913</v>
      </c>
      <c r="F150" s="982"/>
      <c r="G150" s="981" t="str">
        <f>+VLOOKUP(Data_Validation!$A151,BV_Data_An_Cour!$L:$Q,6,0)</f>
        <v>2-Actifs</v>
      </c>
      <c r="H150" s="182"/>
      <c r="K150" s="158"/>
    </row>
    <row r="151" spans="1:11" ht="15" customHeight="1">
      <c r="A151" s="1101">
        <v>1546</v>
      </c>
      <c r="B151" s="163" t="s">
        <v>2179</v>
      </c>
      <c r="C151" s="934" t="s">
        <v>1638</v>
      </c>
      <c r="D151" s="934" t="s">
        <v>40</v>
      </c>
      <c r="E151" s="981" t="s">
        <v>1913</v>
      </c>
      <c r="F151" s="982"/>
      <c r="G151" s="981" t="str">
        <f>+VLOOKUP(Data_Validation!$A152,BV_Data_An_Cour!$L:$Q,6,0)</f>
        <v>2-Actifs</v>
      </c>
      <c r="H151" s="182"/>
      <c r="K151" s="158" t="str">
        <f>Print_Mois!C299</f>
        <v>Ventes de Gros</v>
      </c>
    </row>
    <row r="152" spans="1:11" ht="15" customHeight="1">
      <c r="A152" s="1101">
        <v>1552</v>
      </c>
      <c r="B152" s="163" t="s">
        <v>2115</v>
      </c>
      <c r="C152" s="934" t="s">
        <v>1638</v>
      </c>
      <c r="D152" s="934" t="s">
        <v>43</v>
      </c>
      <c r="E152" s="981" t="s">
        <v>1913</v>
      </c>
      <c r="F152" s="982"/>
      <c r="G152" s="981" t="str">
        <f>+VLOOKUP(Data_Validation!$A153,BV_Data_An_Cour!$L:$Q,6,0)</f>
        <v>2-Actifs</v>
      </c>
      <c r="H152" s="182"/>
      <c r="K152" s="158" t="s">
        <v>181</v>
      </c>
    </row>
    <row r="153" spans="1:11" ht="15" customHeight="1">
      <c r="A153" s="1101">
        <v>1553</v>
      </c>
      <c r="B153" s="163" t="s">
        <v>2956</v>
      </c>
      <c r="C153" s="934" t="s">
        <v>1638</v>
      </c>
      <c r="D153" s="934" t="s">
        <v>43</v>
      </c>
      <c r="E153" s="981" t="s">
        <v>1913</v>
      </c>
      <c r="F153" s="982"/>
      <c r="G153" s="981" t="str">
        <f>+VLOOKUP(Data_Validation!$A154,BV_Data_An_Cour!$L:$Q,6,0)</f>
        <v>2-Actifs</v>
      </c>
      <c r="H153" s="182"/>
      <c r="K153" s="158" t="str">
        <f>Print_Mois!C297</f>
        <v>Ventes Internes</v>
      </c>
    </row>
    <row r="154" spans="1:11" s="564" customFormat="1" ht="15" customHeight="1">
      <c r="A154" s="1101">
        <v>1582</v>
      </c>
      <c r="B154" s="163" t="s">
        <v>2109</v>
      </c>
      <c r="C154" s="934" t="s">
        <v>1638</v>
      </c>
      <c r="D154" s="934" t="s">
        <v>43</v>
      </c>
      <c r="E154" s="981" t="s">
        <v>1913</v>
      </c>
      <c r="F154" s="982"/>
      <c r="G154" s="981" t="e">
        <f>+VLOOKUP(Data_Validation!$A155,BV_Data_An_Cour!$L:$Q,6,0)</f>
        <v>#N/A</v>
      </c>
      <c r="H154" s="182"/>
      <c r="K154" s="158"/>
    </row>
    <row r="155" spans="1:11" ht="15" customHeight="1">
      <c r="A155" s="1101">
        <v>1584</v>
      </c>
      <c r="B155" s="163" t="s">
        <v>2135</v>
      </c>
      <c r="C155" s="934" t="s">
        <v>1638</v>
      </c>
      <c r="D155" s="934" t="s">
        <v>43</v>
      </c>
      <c r="E155" s="981" t="s">
        <v>1913</v>
      </c>
      <c r="F155" s="982"/>
      <c r="G155" s="981" t="str">
        <f>+VLOOKUP(Data_Validation!$A156,BV_Data_An_Cour!$L:$Q,6,0)</f>
        <v>2-Actifs</v>
      </c>
      <c r="H155" s="182"/>
      <c r="K155" s="158" t="str">
        <f>Print_Mois!C306</f>
        <v>Ventes Pneus</v>
      </c>
    </row>
    <row r="156" spans="1:11" ht="15" customHeight="1">
      <c r="A156" s="1101">
        <v>1586</v>
      </c>
      <c r="B156" s="163" t="s">
        <v>2170</v>
      </c>
      <c r="C156" s="934" t="s">
        <v>1638</v>
      </c>
      <c r="D156" s="934" t="s">
        <v>43</v>
      </c>
      <c r="E156" s="981" t="s">
        <v>1913</v>
      </c>
      <c r="F156" s="982"/>
      <c r="G156" s="981" t="str">
        <f>+VLOOKUP(Data_Validation!$A157,BV_Data_An_Cour!$L:$Q,6,0)</f>
        <v>2-Actifs</v>
      </c>
      <c r="H156" s="182"/>
    </row>
    <row r="157" spans="1:11" ht="15" customHeight="1">
      <c r="A157" s="162">
        <v>1591</v>
      </c>
      <c r="B157" s="163" t="s">
        <v>2931</v>
      </c>
      <c r="C157" s="934" t="s">
        <v>1638</v>
      </c>
      <c r="D157" s="934" t="s">
        <v>43</v>
      </c>
      <c r="E157" s="981" t="s">
        <v>1913</v>
      </c>
      <c r="F157" s="982"/>
      <c r="G157" s="981" t="s">
        <v>290</v>
      </c>
      <c r="H157" s="182"/>
    </row>
    <row r="158" spans="1:11" ht="15" customHeight="1">
      <c r="A158" s="1101">
        <v>1592</v>
      </c>
      <c r="B158" s="163" t="s">
        <v>2794</v>
      </c>
      <c r="C158" s="934" t="s">
        <v>1638</v>
      </c>
      <c r="D158" s="934" t="s">
        <v>43</v>
      </c>
      <c r="E158" s="981" t="s">
        <v>1913</v>
      </c>
      <c r="F158" s="982"/>
      <c r="G158" s="981" t="e">
        <f>+VLOOKUP(Data_Validation!$A159,BV_Data_An_Cour!$L:$Q,6,0)</f>
        <v>#N/A</v>
      </c>
      <c r="H158" s="182"/>
    </row>
    <row r="159" spans="1:11" ht="15" customHeight="1">
      <c r="A159" s="1101">
        <v>1593</v>
      </c>
      <c r="B159" s="163" t="s">
        <v>475</v>
      </c>
      <c r="C159" s="934" t="s">
        <v>1638</v>
      </c>
      <c r="D159" s="934" t="s">
        <v>43</v>
      </c>
      <c r="E159" s="981" t="s">
        <v>1913</v>
      </c>
      <c r="F159" s="982"/>
      <c r="G159" s="981" t="e">
        <f>+VLOOKUP(Data_Validation!$A160,BV_Data_An_Cour!$L:$Q,6,0)</f>
        <v>#N/A</v>
      </c>
      <c r="H159" s="182"/>
    </row>
    <row r="160" spans="1:11" ht="15" customHeight="1">
      <c r="A160" s="1101">
        <v>1594</v>
      </c>
      <c r="B160" s="163" t="s">
        <v>2567</v>
      </c>
      <c r="C160" s="934" t="s">
        <v>1638</v>
      </c>
      <c r="D160" s="934" t="s">
        <v>43</v>
      </c>
      <c r="E160" s="981" t="s">
        <v>1913</v>
      </c>
      <c r="F160" s="982"/>
      <c r="G160" s="981" t="e">
        <f>+VLOOKUP(Data_Validation!$A161,BV_Data_An_Cour!$L:$Q,6,0)</f>
        <v>#N/A</v>
      </c>
      <c r="H160" s="182"/>
    </row>
    <row r="161" spans="1:11" ht="15" customHeight="1">
      <c r="A161" s="1101">
        <v>1595</v>
      </c>
      <c r="B161" s="163" t="s">
        <v>2565</v>
      </c>
      <c r="C161" s="934" t="s">
        <v>1638</v>
      </c>
      <c r="D161" s="934" t="s">
        <v>43</v>
      </c>
      <c r="E161" s="981" t="s">
        <v>1913</v>
      </c>
      <c r="F161" s="982"/>
      <c r="G161" s="981" t="str">
        <f>+VLOOKUP(Data_Validation!$A162,BV_Data_An_Cour!$L:$Q,6,0)</f>
        <v>2-Actifs</v>
      </c>
      <c r="H161" s="182"/>
    </row>
    <row r="162" spans="1:11" ht="15" customHeight="1">
      <c r="A162" s="1101">
        <v>1732</v>
      </c>
      <c r="B162" s="163" t="s">
        <v>2391</v>
      </c>
      <c r="C162" s="934" t="s">
        <v>1638</v>
      </c>
      <c r="D162" s="934" t="s">
        <v>53</v>
      </c>
      <c r="E162" s="981" t="s">
        <v>1913</v>
      </c>
      <c r="F162" s="982"/>
      <c r="G162" s="981" t="str">
        <f>+VLOOKUP(Data_Validation!$A163,BV_Data_An_Cour!$L:$Q,6,0)</f>
        <v>2-Actifs</v>
      </c>
      <c r="H162" s="159"/>
    </row>
    <row r="163" spans="1:11" ht="15" customHeight="1">
      <c r="A163" s="1101">
        <v>1733</v>
      </c>
      <c r="B163" s="163" t="s">
        <v>2149</v>
      </c>
      <c r="C163" s="934" t="s">
        <v>1638</v>
      </c>
      <c r="D163" s="934" t="s">
        <v>53</v>
      </c>
      <c r="E163" s="981" t="s">
        <v>1913</v>
      </c>
      <c r="F163" s="982"/>
      <c r="G163" s="981" t="str">
        <f>+VLOOKUP(Data_Validation!$A164,BV_Data_An_Cour!$L:$Q,6,0)</f>
        <v>2-Actifs</v>
      </c>
      <c r="H163" s="159"/>
    </row>
    <row r="164" spans="1:11" ht="15" customHeight="1">
      <c r="A164" s="1101">
        <v>1742</v>
      </c>
      <c r="B164" s="163" t="s">
        <v>2393</v>
      </c>
      <c r="C164" s="934" t="s">
        <v>1638</v>
      </c>
      <c r="D164" s="934" t="s">
        <v>57</v>
      </c>
      <c r="E164" s="981" t="s">
        <v>1913</v>
      </c>
      <c r="F164" s="982"/>
      <c r="G164" s="981" t="str">
        <f>+VLOOKUP(Data_Validation!$A165,BV_Data_An_Cour!$L:$Q,6,0)</f>
        <v>2-Actifs</v>
      </c>
      <c r="H164" s="159"/>
    </row>
    <row r="165" spans="1:11" ht="15" customHeight="1">
      <c r="A165" s="1101">
        <v>1743</v>
      </c>
      <c r="B165" s="163" t="s">
        <v>2119</v>
      </c>
      <c r="C165" s="934" t="s">
        <v>1638</v>
      </c>
      <c r="D165" s="934" t="s">
        <v>57</v>
      </c>
      <c r="E165" s="981" t="s">
        <v>1913</v>
      </c>
      <c r="F165" s="982"/>
      <c r="G165" s="981" t="str">
        <f>+VLOOKUP(Data_Validation!$A166,BV_Data_An_Cour!$L:$Q,6,0)</f>
        <v>2-Actifs</v>
      </c>
      <c r="H165" s="159"/>
    </row>
    <row r="166" spans="1:11" ht="15" customHeight="1">
      <c r="A166" s="1101">
        <v>1744</v>
      </c>
      <c r="B166" s="163" t="s">
        <v>2395</v>
      </c>
      <c r="C166" s="934" t="s">
        <v>1638</v>
      </c>
      <c r="D166" s="934" t="s">
        <v>57</v>
      </c>
      <c r="E166" s="981" t="s">
        <v>1913</v>
      </c>
      <c r="F166" s="982"/>
      <c r="G166" s="981" t="str">
        <f>+VLOOKUP(Data_Validation!$A167,BV_Data_An_Cour!$L:$Q,6,0)</f>
        <v>2-Actifs</v>
      </c>
      <c r="H166" s="159"/>
    </row>
    <row r="167" spans="1:11" ht="15" customHeight="1">
      <c r="A167" s="1101">
        <v>1745</v>
      </c>
      <c r="B167" s="163" t="s">
        <v>2190</v>
      </c>
      <c r="C167" s="934" t="s">
        <v>1638</v>
      </c>
      <c r="D167" s="934" t="s">
        <v>57</v>
      </c>
      <c r="E167" s="981" t="s">
        <v>1913</v>
      </c>
      <c r="F167" s="982"/>
      <c r="G167" s="981" t="e">
        <f>+VLOOKUP(Data_Validation!$A168,BV_Data_An_Cour!$L:$Q,6,0)</f>
        <v>#N/A</v>
      </c>
      <c r="H167" s="159"/>
    </row>
    <row r="168" spans="1:11" ht="15" customHeight="1">
      <c r="A168" s="1101">
        <v>1760</v>
      </c>
      <c r="B168" s="163" t="s">
        <v>2397</v>
      </c>
      <c r="C168" s="934" t="s">
        <v>1638</v>
      </c>
      <c r="D168" s="934" t="s">
        <v>60</v>
      </c>
      <c r="E168" s="981" t="s">
        <v>1913</v>
      </c>
      <c r="F168" s="982"/>
      <c r="G168" s="981" t="e">
        <f>+VLOOKUP(Data_Validation!$A169,BV_Data_An_Cour!$L:$Q,6,0)</f>
        <v>#N/A</v>
      </c>
      <c r="H168" s="159"/>
    </row>
    <row r="169" spans="1:11" ht="15" customHeight="1">
      <c r="A169" s="1101">
        <v>1761</v>
      </c>
      <c r="B169" s="163" t="s">
        <v>2561</v>
      </c>
      <c r="C169" s="934" t="s">
        <v>1638</v>
      </c>
      <c r="D169" s="934" t="s">
        <v>60</v>
      </c>
      <c r="E169" s="981" t="s">
        <v>1913</v>
      </c>
      <c r="F169" s="982"/>
      <c r="G169" s="981" t="str">
        <f>+VLOOKUP(Data_Validation!$A170,BV_Data_An_Cour!$L:$Q,6,0)</f>
        <v>2-Actifs</v>
      </c>
      <c r="H169" s="159"/>
    </row>
    <row r="170" spans="1:11" ht="15" customHeight="1">
      <c r="A170" s="1101">
        <v>1762</v>
      </c>
      <c r="B170" s="163" t="s">
        <v>2399</v>
      </c>
      <c r="C170" s="934" t="s">
        <v>1638</v>
      </c>
      <c r="D170" s="934" t="s">
        <v>58</v>
      </c>
      <c r="E170" s="981" t="s">
        <v>1913</v>
      </c>
      <c r="F170" s="982"/>
      <c r="G170" s="981" t="str">
        <f>+VLOOKUP(Data_Validation!$A171,BV_Data_An_Cour!$L:$Q,6,0)</f>
        <v>2-Actifs</v>
      </c>
      <c r="H170" s="159"/>
    </row>
    <row r="171" spans="1:11" ht="15" customHeight="1">
      <c r="A171" s="1101">
        <v>1763</v>
      </c>
      <c r="B171" s="163" t="s">
        <v>2156</v>
      </c>
      <c r="C171" s="934" t="s">
        <v>1638</v>
      </c>
      <c r="D171" s="934" t="s">
        <v>58</v>
      </c>
      <c r="E171" s="981" t="s">
        <v>1913</v>
      </c>
      <c r="F171" s="982"/>
      <c r="G171" s="981" t="str">
        <f>+VLOOKUP(Data_Validation!$A172,BV_Data_An_Cour!$L:$Q,6,0)</f>
        <v>2-Actifs</v>
      </c>
      <c r="H171" s="159"/>
    </row>
    <row r="172" spans="1:11" ht="15" customHeight="1">
      <c r="A172" s="1101">
        <v>1772</v>
      </c>
      <c r="B172" s="163" t="s">
        <v>2401</v>
      </c>
      <c r="C172" s="934" t="s">
        <v>1638</v>
      </c>
      <c r="D172" s="934" t="s">
        <v>57</v>
      </c>
      <c r="E172" s="981" t="s">
        <v>1913</v>
      </c>
      <c r="F172" s="982"/>
      <c r="G172" s="981" t="str">
        <f>+VLOOKUP(Data_Validation!$A173,BV_Data_An_Cour!$L:$Q,6,0)</f>
        <v>2-Actifs</v>
      </c>
      <c r="H172" s="159"/>
    </row>
    <row r="173" spans="1:11" ht="15" customHeight="1">
      <c r="A173" s="1101">
        <v>1773</v>
      </c>
      <c r="B173" s="163" t="s">
        <v>2403</v>
      </c>
      <c r="C173" s="934" t="s">
        <v>1638</v>
      </c>
      <c r="D173" s="934" t="s">
        <v>57</v>
      </c>
      <c r="E173" s="981" t="s">
        <v>1913</v>
      </c>
      <c r="F173" s="982"/>
      <c r="G173" s="981" t="str">
        <f>+VLOOKUP(Data_Validation!$A174,BV_Data_An_Cour!$L:$Q,6,0)</f>
        <v>2-Actifs</v>
      </c>
      <c r="H173" s="159"/>
    </row>
    <row r="174" spans="1:11" ht="15" customHeight="1">
      <c r="A174" s="1101">
        <v>1786</v>
      </c>
      <c r="B174" s="163" t="s">
        <v>2559</v>
      </c>
      <c r="C174" s="934" t="s">
        <v>1638</v>
      </c>
      <c r="D174" s="934" t="s">
        <v>59</v>
      </c>
      <c r="E174" s="981" t="s">
        <v>1913</v>
      </c>
      <c r="F174" s="982"/>
      <c r="G174" s="981" t="str">
        <f>+VLOOKUP(Data_Validation!$A175,BV_Data_An_Cour!$L:$Q,6,0)</f>
        <v>2-Actifs</v>
      </c>
      <c r="H174" s="159"/>
      <c r="K174" s="2"/>
    </row>
    <row r="175" spans="1:11" ht="15" customHeight="1">
      <c r="A175" s="1101">
        <v>1787</v>
      </c>
      <c r="B175" s="163" t="s">
        <v>2147</v>
      </c>
      <c r="C175" s="934" t="s">
        <v>1638</v>
      </c>
      <c r="D175" s="934" t="s">
        <v>59</v>
      </c>
      <c r="E175" s="981" t="s">
        <v>1913</v>
      </c>
      <c r="F175" s="982"/>
      <c r="G175" s="981" t="str">
        <f>+VLOOKUP(Data_Validation!$A176,BV_Data_An_Cour!$L:$Q,6,0)</f>
        <v>2-Actifs</v>
      </c>
      <c r="H175" s="159"/>
    </row>
    <row r="176" spans="1:11" ht="15" customHeight="1">
      <c r="A176" s="1101">
        <v>1792</v>
      </c>
      <c r="B176" s="163" t="s">
        <v>819</v>
      </c>
      <c r="C176" s="934" t="s">
        <v>1638</v>
      </c>
      <c r="D176" s="934" t="s">
        <v>62</v>
      </c>
      <c r="E176" s="981" t="s">
        <v>1913</v>
      </c>
      <c r="F176" s="982"/>
      <c r="G176" s="981" t="str">
        <f>+VLOOKUP(Data_Validation!$A177,BV_Data_An_Cour!$L:$Q,6,0)</f>
        <v>2-Actifs</v>
      </c>
      <c r="H176" s="159"/>
    </row>
    <row r="177" spans="1:8" ht="15" customHeight="1">
      <c r="A177" s="1101">
        <v>1793</v>
      </c>
      <c r="B177" s="163" t="s">
        <v>2188</v>
      </c>
      <c r="C177" s="934" t="s">
        <v>1638</v>
      </c>
      <c r="D177" s="934" t="s">
        <v>62</v>
      </c>
      <c r="E177" s="981" t="s">
        <v>1913</v>
      </c>
      <c r="F177" s="982"/>
      <c r="G177" s="981" t="str">
        <f>+VLOOKUP(Data_Validation!$A178,BV_Data_An_Cour!$L:$Q,6,0)</f>
        <v>2-Actifs</v>
      </c>
      <c r="H177" s="159"/>
    </row>
    <row r="178" spans="1:8" ht="15" customHeight="1">
      <c r="A178" s="1101">
        <v>1804</v>
      </c>
      <c r="B178" s="163" t="s">
        <v>2406</v>
      </c>
      <c r="C178" s="934" t="s">
        <v>1638</v>
      </c>
      <c r="D178" s="934" t="s">
        <v>65</v>
      </c>
      <c r="E178" s="981" t="s">
        <v>1913</v>
      </c>
      <c r="F178" s="982"/>
      <c r="G178" s="981" t="str">
        <f>+VLOOKUP(Data_Validation!$A179,BV_Data_An_Cour!$L:$Q,6,0)</f>
        <v>2-Actifs</v>
      </c>
      <c r="H178" s="159"/>
    </row>
    <row r="179" spans="1:8" ht="15" customHeight="1">
      <c r="A179" s="1101">
        <v>1806</v>
      </c>
      <c r="B179" s="163" t="s">
        <v>2743</v>
      </c>
      <c r="C179" s="934" t="s">
        <v>1638</v>
      </c>
      <c r="D179" s="934" t="s">
        <v>25</v>
      </c>
      <c r="E179" s="981" t="s">
        <v>1913</v>
      </c>
      <c r="F179" s="982"/>
      <c r="G179" s="981" t="str">
        <f>+VLOOKUP(Data_Validation!$A180,BV_Data_An_Cour!$L:$Q,6,0)</f>
        <v>3-Passifs</v>
      </c>
      <c r="H179" s="159"/>
    </row>
    <row r="180" spans="1:8" ht="15" customHeight="1">
      <c r="A180" s="1101">
        <v>2101</v>
      </c>
      <c r="B180" s="163" t="s">
        <v>2837</v>
      </c>
      <c r="C180" s="934" t="s">
        <v>1638</v>
      </c>
      <c r="D180" s="934" t="s">
        <v>30</v>
      </c>
      <c r="E180" s="981" t="s">
        <v>1913</v>
      </c>
      <c r="F180" s="982"/>
      <c r="G180" s="981" t="str">
        <f>+VLOOKUP(Data_Validation!$A181,BV_Data_An_Cour!$L:$Q,6,0)</f>
        <v>3-Passifs</v>
      </c>
      <c r="H180" s="159"/>
    </row>
    <row r="181" spans="1:8" ht="15" customHeight="1">
      <c r="A181" s="1101">
        <v>2103</v>
      </c>
      <c r="B181" s="163" t="s">
        <v>2029</v>
      </c>
      <c r="C181" s="934" t="s">
        <v>1638</v>
      </c>
      <c r="D181" s="934" t="s">
        <v>32</v>
      </c>
      <c r="E181" s="981" t="s">
        <v>1913</v>
      </c>
      <c r="F181" s="982"/>
      <c r="G181" s="981" t="str">
        <f>+VLOOKUP(Data_Validation!$A182,BV_Data_An_Cour!$L:$Q,6,0)</f>
        <v>3-Passifs</v>
      </c>
      <c r="H181" s="159"/>
    </row>
    <row r="182" spans="1:8" ht="15" customHeight="1">
      <c r="A182" s="1101">
        <v>2131</v>
      </c>
      <c r="B182" s="163" t="s">
        <v>2408</v>
      </c>
      <c r="C182" s="934" t="s">
        <v>1638</v>
      </c>
      <c r="D182" s="934" t="s">
        <v>11</v>
      </c>
      <c r="E182" s="981" t="s">
        <v>1913</v>
      </c>
      <c r="F182" s="982"/>
      <c r="G182" s="981" t="str">
        <f>+VLOOKUP(Data_Validation!$A183,BV_Data_An_Cour!$L:$Q,6,0)</f>
        <v>3-Passifs</v>
      </c>
      <c r="H182" s="159"/>
    </row>
    <row r="183" spans="1:8" ht="15" customHeight="1">
      <c r="A183" s="1108">
        <v>2220</v>
      </c>
      <c r="B183" s="163" t="s">
        <v>2196</v>
      </c>
      <c r="C183" s="934" t="s">
        <v>1638</v>
      </c>
      <c r="D183" s="934" t="s">
        <v>18</v>
      </c>
      <c r="E183" s="981" t="s">
        <v>1913</v>
      </c>
      <c r="F183" s="981"/>
      <c r="G183" s="981" t="str">
        <f>+VLOOKUP(Data_Validation!$A184,BV_Data_An_Cour!$L:$Q,6,0)</f>
        <v>3-Passifs</v>
      </c>
      <c r="H183" s="159"/>
    </row>
    <row r="184" spans="1:8" ht="15" customHeight="1">
      <c r="A184" s="1108">
        <v>2221</v>
      </c>
      <c r="B184" s="163" t="s">
        <v>2049</v>
      </c>
      <c r="C184" s="934" t="s">
        <v>1638</v>
      </c>
      <c r="D184" s="934" t="s">
        <v>18</v>
      </c>
      <c r="E184" s="981" t="s">
        <v>1913</v>
      </c>
      <c r="F184" s="981"/>
      <c r="G184" s="981" t="str">
        <f>+VLOOKUP(Data_Validation!$A185,BV_Data_An_Cour!$L:$Q,6,0)</f>
        <v>3-Passifs</v>
      </c>
      <c r="H184" s="159"/>
    </row>
    <row r="185" spans="1:8" ht="15" customHeight="1">
      <c r="A185" s="1108">
        <v>2222</v>
      </c>
      <c r="B185" s="163" t="s">
        <v>2787</v>
      </c>
      <c r="C185" s="934" t="s">
        <v>1638</v>
      </c>
      <c r="D185" s="934" t="s">
        <v>18</v>
      </c>
      <c r="E185" s="981" t="s">
        <v>1913</v>
      </c>
      <c r="F185" s="981"/>
      <c r="G185" s="981" t="str">
        <f>+VLOOKUP(Data_Validation!$A186,BV_Data_An_Cour!$L:$Q,6,0)</f>
        <v>3-Passifs</v>
      </c>
      <c r="H185" s="159"/>
    </row>
    <row r="186" spans="1:8" ht="15" customHeight="1">
      <c r="A186" s="1108">
        <v>2223</v>
      </c>
      <c r="B186" s="163" t="s">
        <v>2804</v>
      </c>
      <c r="C186" s="934" t="s">
        <v>1638</v>
      </c>
      <c r="D186" s="934" t="s">
        <v>18</v>
      </c>
      <c r="E186" s="981" t="s">
        <v>1913</v>
      </c>
      <c r="F186" s="981"/>
      <c r="G186" s="981" t="str">
        <f>+VLOOKUP(Data_Validation!$A187,BV_Data_An_Cour!$L:$Q,6,0)</f>
        <v>3-Passifs</v>
      </c>
      <c r="H186" s="159"/>
    </row>
    <row r="187" spans="1:8" ht="15" customHeight="1">
      <c r="A187" s="1108">
        <v>2224</v>
      </c>
      <c r="B187" s="163" t="s">
        <v>2057</v>
      </c>
      <c r="C187" s="934" t="s">
        <v>1638</v>
      </c>
      <c r="D187" s="934" t="s">
        <v>18</v>
      </c>
      <c r="E187" s="981" t="s">
        <v>1913</v>
      </c>
      <c r="F187" s="981"/>
      <c r="G187" s="981" t="str">
        <f>+VLOOKUP(Data_Validation!$A188,BV_Data_An_Cour!$L:$Q,6,0)</f>
        <v>3-Passifs</v>
      </c>
      <c r="H187" s="159"/>
    </row>
    <row r="188" spans="1:8" ht="15" customHeight="1">
      <c r="A188" s="1108">
        <v>2225</v>
      </c>
      <c r="B188" s="163" t="s">
        <v>2607</v>
      </c>
      <c r="C188" s="934" t="s">
        <v>1638</v>
      </c>
      <c r="D188" s="934" t="s">
        <v>18</v>
      </c>
      <c r="E188" s="981" t="s">
        <v>1913</v>
      </c>
      <c r="F188" s="981"/>
      <c r="G188" s="981" t="str">
        <f>+VLOOKUP(Data_Validation!$A189,BV_Data_An_Cour!$L:$Q,6,0)</f>
        <v>3-Passifs</v>
      </c>
      <c r="H188" s="159"/>
    </row>
    <row r="189" spans="1:8" ht="15" customHeight="1">
      <c r="A189" s="1108">
        <v>2281</v>
      </c>
      <c r="B189" s="163" t="s">
        <v>2809</v>
      </c>
      <c r="C189" s="934" t="s">
        <v>1638</v>
      </c>
      <c r="D189" s="934" t="s">
        <v>26</v>
      </c>
      <c r="E189" s="981" t="s">
        <v>1913</v>
      </c>
      <c r="F189" s="981"/>
      <c r="G189" s="981" t="str">
        <f>+VLOOKUP(Data_Validation!$A190,BV_Data_An_Cour!$L:$Q,6,0)</f>
        <v>3-Passifs</v>
      </c>
      <c r="H189" s="159"/>
    </row>
    <row r="190" spans="1:8" ht="15" customHeight="1">
      <c r="A190" s="1108">
        <v>2283</v>
      </c>
      <c r="B190" s="163" t="s">
        <v>2166</v>
      </c>
      <c r="C190" s="934" t="s">
        <v>1638</v>
      </c>
      <c r="D190" s="934" t="s">
        <v>26</v>
      </c>
      <c r="E190" s="981" t="s">
        <v>1913</v>
      </c>
      <c r="F190" s="981"/>
      <c r="G190" s="981" t="str">
        <f>+VLOOKUP(Data_Validation!$A191,BV_Data_An_Cour!$L:$Q,6,0)</f>
        <v>3-Passifs</v>
      </c>
      <c r="H190" s="159"/>
    </row>
    <row r="191" spans="1:8" ht="15" customHeight="1">
      <c r="A191" s="1101">
        <v>2285</v>
      </c>
      <c r="B191" s="163" t="s">
        <v>2763</v>
      </c>
      <c r="C191" s="934" t="s">
        <v>1638</v>
      </c>
      <c r="D191" s="934" t="s">
        <v>26</v>
      </c>
      <c r="E191" s="981" t="s">
        <v>1913</v>
      </c>
      <c r="F191" s="982"/>
      <c r="G191" s="981" t="str">
        <f>+VLOOKUP(Data_Validation!$A192,BV_Data_An_Cour!$L:$Q,6,0)</f>
        <v>3-Passifs</v>
      </c>
      <c r="H191" s="159"/>
    </row>
    <row r="192" spans="1:8" ht="15" customHeight="1">
      <c r="A192" s="1101">
        <v>2287</v>
      </c>
      <c r="B192" s="163" t="s">
        <v>2737</v>
      </c>
      <c r="C192" s="934" t="s">
        <v>1638</v>
      </c>
      <c r="D192" s="934" t="s">
        <v>26</v>
      </c>
      <c r="E192" s="981" t="s">
        <v>1913</v>
      </c>
      <c r="F192" s="982"/>
      <c r="G192" s="981" t="str">
        <f>+VLOOKUP(Data_Validation!$A193,BV_Data_An_Cour!$L:$Q,6,0)</f>
        <v>3-Passifs</v>
      </c>
      <c r="H192" s="159"/>
    </row>
    <row r="193" spans="1:8" ht="15" customHeight="1">
      <c r="A193" s="1101">
        <v>2291</v>
      </c>
      <c r="B193" s="163" t="s">
        <v>2002</v>
      </c>
      <c r="C193" s="934" t="s">
        <v>1638</v>
      </c>
      <c r="D193" s="934" t="s">
        <v>16</v>
      </c>
      <c r="E193" s="981" t="s">
        <v>1913</v>
      </c>
      <c r="F193" s="982"/>
      <c r="G193" s="981" t="str">
        <f>+VLOOKUP(Data_Validation!$A194,BV_Data_An_Cour!$L:$Q,6,0)</f>
        <v>3-Passifs</v>
      </c>
      <c r="H193" s="159"/>
    </row>
    <row r="194" spans="1:8" s="564" customFormat="1" ht="15" customHeight="1">
      <c r="A194" s="1101">
        <v>2292</v>
      </c>
      <c r="B194" s="163" t="s">
        <v>2042</v>
      </c>
      <c r="C194" s="934" t="s">
        <v>1638</v>
      </c>
      <c r="D194" s="934" t="s">
        <v>26</v>
      </c>
      <c r="E194" s="981" t="s">
        <v>1913</v>
      </c>
      <c r="F194" s="982"/>
      <c r="G194" s="981" t="str">
        <f>+VLOOKUP(Data_Validation!$A195,BV_Data_An_Cour!$L:$Q,6,0)</f>
        <v>3-Passifs</v>
      </c>
      <c r="H194" s="159"/>
    </row>
    <row r="195" spans="1:8" ht="15" customHeight="1">
      <c r="A195" s="1101">
        <v>2293</v>
      </c>
      <c r="B195" s="163" t="s">
        <v>2125</v>
      </c>
      <c r="C195" s="934" t="s">
        <v>1638</v>
      </c>
      <c r="D195" s="934" t="s">
        <v>40</v>
      </c>
      <c r="E195" s="981" t="s">
        <v>1913</v>
      </c>
      <c r="F195" s="982"/>
      <c r="G195" s="981" t="str">
        <f>+VLOOKUP(Data_Validation!$A196,BV_Data_An_Cour!$L:$Q,6,0)</f>
        <v>3-Passifs</v>
      </c>
      <c r="H195" s="159"/>
    </row>
    <row r="196" spans="1:8" ht="15" customHeight="1">
      <c r="A196" s="1101">
        <v>2295</v>
      </c>
      <c r="B196" s="163" t="s">
        <v>2410</v>
      </c>
      <c r="C196" s="934" t="s">
        <v>1638</v>
      </c>
      <c r="D196" s="934" t="s">
        <v>40</v>
      </c>
      <c r="E196" s="981" t="s">
        <v>1913</v>
      </c>
      <c r="F196" s="982"/>
      <c r="G196" s="981" t="str">
        <f>+VLOOKUP(Data_Validation!$A197,BV_Data_An_Cour!$L:$Q,6,0)</f>
        <v>3-Passifs</v>
      </c>
      <c r="H196" s="159"/>
    </row>
    <row r="197" spans="1:8" ht="15" customHeight="1">
      <c r="A197" s="162">
        <v>2296</v>
      </c>
      <c r="B197" s="163" t="s">
        <v>2930</v>
      </c>
      <c r="C197" s="934" t="s">
        <v>1638</v>
      </c>
      <c r="D197" s="934" t="s">
        <v>24</v>
      </c>
      <c r="E197" s="981" t="s">
        <v>1913</v>
      </c>
      <c r="F197" s="982"/>
      <c r="G197" s="981" t="s">
        <v>279</v>
      </c>
      <c r="H197" s="159"/>
    </row>
    <row r="198" spans="1:8" ht="15" customHeight="1">
      <c r="A198" s="1101">
        <v>2297</v>
      </c>
      <c r="B198" s="163" t="s">
        <v>2139</v>
      </c>
      <c r="C198" s="934" t="s">
        <v>1638</v>
      </c>
      <c r="D198" s="934" t="s">
        <v>40</v>
      </c>
      <c r="E198" s="981" t="s">
        <v>1913</v>
      </c>
      <c r="F198" s="982"/>
      <c r="G198" s="981" t="str">
        <f>+VLOOKUP(Data_Validation!$A199,BV_Data_An_Cour!$L:$Q,6,0)</f>
        <v>3-Passifs</v>
      </c>
      <c r="H198" s="159"/>
    </row>
    <row r="199" spans="1:8" ht="15" customHeight="1">
      <c r="A199" s="1101">
        <v>2315</v>
      </c>
      <c r="B199" s="163" t="s">
        <v>2701</v>
      </c>
      <c r="C199" s="934" t="s">
        <v>1638</v>
      </c>
      <c r="D199" s="934" t="s">
        <v>38</v>
      </c>
      <c r="E199" s="981" t="s">
        <v>1913</v>
      </c>
      <c r="F199" s="982"/>
      <c r="G199" s="981" t="str">
        <f>+VLOOKUP(Data_Validation!$A200,BV_Data_An_Cour!$L:$Q,6,0)</f>
        <v>3-Passifs</v>
      </c>
      <c r="H199" s="159"/>
    </row>
    <row r="200" spans="1:8" ht="15" customHeight="1">
      <c r="A200" s="1101">
        <v>2335</v>
      </c>
      <c r="B200" s="163" t="s">
        <v>2153</v>
      </c>
      <c r="C200" s="934" t="s">
        <v>1638</v>
      </c>
      <c r="D200" s="934" t="s">
        <v>38</v>
      </c>
      <c r="E200" s="981" t="s">
        <v>1913</v>
      </c>
      <c r="F200" s="982"/>
      <c r="G200" s="981" t="str">
        <f>+VLOOKUP(Data_Validation!$A201,BV_Data_An_Cour!$L:$Q,6,0)</f>
        <v>3-Passifs</v>
      </c>
      <c r="H200" s="159"/>
    </row>
    <row r="201" spans="1:8" ht="15" customHeight="1">
      <c r="A201" s="1101">
        <v>2342</v>
      </c>
      <c r="B201" s="163" t="s">
        <v>2740</v>
      </c>
      <c r="C201" s="934" t="s">
        <v>1638</v>
      </c>
      <c r="D201" s="934" t="s">
        <v>38</v>
      </c>
      <c r="E201" s="981" t="s">
        <v>1913</v>
      </c>
      <c r="F201" s="982"/>
      <c r="G201" s="981" t="str">
        <f>+VLOOKUP(Data_Validation!$A202,BV_Data_An_Cour!$L:$Q,6,0)</f>
        <v>3-Passifs</v>
      </c>
      <c r="H201" s="159"/>
    </row>
    <row r="202" spans="1:8" ht="15" customHeight="1">
      <c r="A202" s="1101">
        <v>2343</v>
      </c>
      <c r="B202" s="163" t="s">
        <v>2573</v>
      </c>
      <c r="C202" s="934" t="s">
        <v>1638</v>
      </c>
      <c r="D202" s="934" t="s">
        <v>38</v>
      </c>
      <c r="E202" s="981" t="s">
        <v>1913</v>
      </c>
      <c r="F202" s="982"/>
      <c r="G202" s="981" t="str">
        <f>+VLOOKUP(Data_Validation!$A203,BV_Data_An_Cour!$L:$Q,6,0)</f>
        <v>3-Passifs</v>
      </c>
      <c r="H202" s="159"/>
    </row>
    <row r="203" spans="1:8" s="564" customFormat="1" ht="15" customHeight="1">
      <c r="A203" s="1101">
        <v>2344</v>
      </c>
      <c r="B203" s="163" t="s">
        <v>533</v>
      </c>
      <c r="C203" s="934" t="s">
        <v>1638</v>
      </c>
      <c r="D203" s="934" t="s">
        <v>38</v>
      </c>
      <c r="E203" s="981" t="s">
        <v>1913</v>
      </c>
      <c r="F203" s="982"/>
      <c r="G203" s="981" t="str">
        <f>+VLOOKUP(Data_Validation!$A204,BV_Data_An_Cour!$L:$Q,6,0)</f>
        <v>3-Passifs</v>
      </c>
      <c r="H203" s="159"/>
    </row>
    <row r="204" spans="1:8" ht="15" customHeight="1">
      <c r="A204" s="1101">
        <v>2401</v>
      </c>
      <c r="B204" s="163" t="s">
        <v>2186</v>
      </c>
      <c r="C204" s="934" t="s">
        <v>1638</v>
      </c>
      <c r="D204" s="934" t="s">
        <v>22</v>
      </c>
      <c r="E204" s="981" t="s">
        <v>1913</v>
      </c>
      <c r="F204" s="982"/>
      <c r="G204" s="981" t="str">
        <f>+VLOOKUP(Data_Validation!$A205,BV_Data_An_Cour!$L:$Q,6,0)</f>
        <v>3-Passifs</v>
      </c>
      <c r="H204" s="159"/>
    </row>
    <row r="205" spans="1:8" ht="15" customHeight="1">
      <c r="A205" s="1101">
        <v>2501</v>
      </c>
      <c r="B205" s="163" t="s">
        <v>2591</v>
      </c>
      <c r="C205" s="934" t="s">
        <v>1638</v>
      </c>
      <c r="D205" s="934" t="s">
        <v>36</v>
      </c>
      <c r="E205" s="981" t="s">
        <v>1913</v>
      </c>
      <c r="F205" s="982"/>
      <c r="G205" s="981" t="str">
        <f>+VLOOKUP(Data_Validation!$A206,BV_Data_An_Cour!$L:$Q,6,0)</f>
        <v>3-Passifs</v>
      </c>
      <c r="H205" s="159"/>
    </row>
    <row r="206" spans="1:8" ht="15" customHeight="1">
      <c r="A206" s="1110">
        <v>2502</v>
      </c>
      <c r="B206" s="163" t="s">
        <v>2903</v>
      </c>
      <c r="C206" s="934" t="s">
        <v>1638</v>
      </c>
      <c r="D206" s="934" t="s">
        <v>36</v>
      </c>
      <c r="E206" s="981" t="s">
        <v>1913</v>
      </c>
      <c r="F206" s="982"/>
      <c r="G206" s="981" t="s">
        <v>279</v>
      </c>
      <c r="H206" s="159"/>
    </row>
    <row r="207" spans="1:8" ht="15" customHeight="1">
      <c r="A207" s="1101">
        <v>2503</v>
      </c>
      <c r="B207" s="163" t="s">
        <v>2051</v>
      </c>
      <c r="C207" s="934" t="s">
        <v>1638</v>
      </c>
      <c r="D207" s="934" t="s">
        <v>36</v>
      </c>
      <c r="E207" s="981" t="s">
        <v>1913</v>
      </c>
      <c r="F207" s="982"/>
      <c r="G207" s="981" t="str">
        <f>+VLOOKUP(Data_Validation!$A208,BV_Data_An_Cour!$L:$Q,6,0)</f>
        <v>3-Passifs</v>
      </c>
      <c r="H207" s="159"/>
    </row>
    <row r="208" spans="1:8" ht="15" customHeight="1">
      <c r="A208" s="1101">
        <v>2505</v>
      </c>
      <c r="B208" s="163" t="s">
        <v>2091</v>
      </c>
      <c r="C208" s="934" t="s">
        <v>1638</v>
      </c>
      <c r="D208" s="934" t="s">
        <v>36</v>
      </c>
      <c r="E208" s="981" t="s">
        <v>1913</v>
      </c>
      <c r="F208" s="982"/>
      <c r="G208" s="981" t="e">
        <f>+VLOOKUP(Data_Validation!$A209,BV_Data_An_Cour!$L:$Q,6,0)</f>
        <v>#N/A</v>
      </c>
      <c r="H208" s="159"/>
    </row>
    <row r="209" spans="1:8" s="564" customFormat="1" ht="15" customHeight="1">
      <c r="A209" s="1101">
        <v>2507</v>
      </c>
      <c r="B209" s="163" t="s">
        <v>2412</v>
      </c>
      <c r="C209" s="934" t="s">
        <v>1638</v>
      </c>
      <c r="D209" s="934" t="s">
        <v>36</v>
      </c>
      <c r="E209" s="981" t="s">
        <v>1913</v>
      </c>
      <c r="F209" s="982"/>
      <c r="G209" s="981" t="str">
        <f>+VLOOKUP(Data_Validation!$A210,BV_Data_An_Cour!$L:$Q,6,0)</f>
        <v>3-Passifs</v>
      </c>
      <c r="H209" s="159"/>
    </row>
    <row r="210" spans="1:8" s="564" customFormat="1" ht="15" customHeight="1">
      <c r="A210" s="1101">
        <v>2509</v>
      </c>
      <c r="B210" s="163" t="s">
        <v>2087</v>
      </c>
      <c r="C210" s="934" t="s">
        <v>1638</v>
      </c>
      <c r="D210" s="934" t="s">
        <v>36</v>
      </c>
      <c r="E210" s="981" t="s">
        <v>1913</v>
      </c>
      <c r="F210" s="982"/>
      <c r="G210" s="981" t="str">
        <f>+VLOOKUP(Data_Validation!$A211,BV_Data_An_Cour!$L:$Q,6,0)</f>
        <v>3-Passifs</v>
      </c>
      <c r="H210" s="159"/>
    </row>
    <row r="211" spans="1:8" ht="15" customHeight="1">
      <c r="A211" s="1101">
        <v>2511</v>
      </c>
      <c r="B211" s="163" t="s">
        <v>2181</v>
      </c>
      <c r="C211" s="934" t="s">
        <v>1638</v>
      </c>
      <c r="D211" s="934" t="s">
        <v>36</v>
      </c>
      <c r="E211" s="981" t="s">
        <v>1913</v>
      </c>
      <c r="F211" s="982"/>
      <c r="G211" s="981" t="str">
        <f>+VLOOKUP(Data_Validation!$A212,BV_Data_An_Cour!$L:$Q,6,0)</f>
        <v>3-Passifs</v>
      </c>
      <c r="H211" s="159"/>
    </row>
    <row r="212" spans="1:8" ht="15" customHeight="1">
      <c r="A212" s="1101">
        <v>2561</v>
      </c>
      <c r="B212" s="163" t="s">
        <v>2950</v>
      </c>
      <c r="C212" s="934" t="s">
        <v>1638</v>
      </c>
      <c r="D212" s="934" t="s">
        <v>40</v>
      </c>
      <c r="E212" s="981" t="s">
        <v>1913</v>
      </c>
      <c r="F212" s="982"/>
      <c r="G212" s="981" t="str">
        <f>+VLOOKUP(Data_Validation!$A213,BV_Data_An_Cour!$L:$Q,6,0)</f>
        <v>3-Passifs</v>
      </c>
      <c r="H212" s="159"/>
    </row>
    <row r="213" spans="1:8" ht="15" customHeight="1">
      <c r="A213" s="1101">
        <v>2562</v>
      </c>
      <c r="B213" s="163" t="s">
        <v>2955</v>
      </c>
      <c r="C213" s="934" t="s">
        <v>1638</v>
      </c>
      <c r="D213" s="934" t="s">
        <v>40</v>
      </c>
      <c r="E213" s="981" t="s">
        <v>1913</v>
      </c>
      <c r="F213" s="982"/>
      <c r="G213" s="981" t="str">
        <f>+VLOOKUP(Data_Validation!$A214,BV_Data_An_Cour!$L:$Q,6,0)</f>
        <v>3-Passifs</v>
      </c>
    </row>
    <row r="214" spans="1:8" ht="15" customHeight="1">
      <c r="A214" s="1101">
        <v>2801</v>
      </c>
      <c r="B214" s="163" t="s">
        <v>2680</v>
      </c>
      <c r="C214" s="934" t="s">
        <v>1638</v>
      </c>
      <c r="D214" s="934" t="s">
        <v>54</v>
      </c>
      <c r="E214" s="981" t="s">
        <v>1913</v>
      </c>
      <c r="F214" s="982"/>
      <c r="G214" s="981" t="str">
        <f>+VLOOKUP(Data_Validation!$A215,BV_Data_An_Cour!$L:$Q,6,0)</f>
        <v>3-Passifs</v>
      </c>
      <c r="H214" s="159"/>
    </row>
    <row r="215" spans="1:8" ht="15" customHeight="1">
      <c r="A215" s="1101">
        <v>2901</v>
      </c>
      <c r="B215" s="163" t="s">
        <v>824</v>
      </c>
      <c r="C215" s="934" t="s">
        <v>1638</v>
      </c>
      <c r="D215" s="934" t="s">
        <v>40</v>
      </c>
      <c r="E215" s="981" t="s">
        <v>1913</v>
      </c>
      <c r="F215" s="982"/>
      <c r="G215" s="981" t="str">
        <f>+VLOOKUP(Data_Validation!$A216,BV_Data_An_Cour!$L:$Q,6,0)</f>
        <v>4-Valeur nette</v>
      </c>
      <c r="H215" s="159"/>
    </row>
    <row r="216" spans="1:8" ht="15" customHeight="1">
      <c r="A216" s="1101">
        <v>3001</v>
      </c>
      <c r="B216" s="163" t="s">
        <v>2414</v>
      </c>
      <c r="C216" s="934" t="s">
        <v>1638</v>
      </c>
      <c r="D216" s="934" t="s">
        <v>67</v>
      </c>
      <c r="E216" s="981" t="s">
        <v>1913</v>
      </c>
      <c r="F216" s="982"/>
      <c r="G216" s="981" t="str">
        <f>+VLOOKUP(Data_Validation!$A217,BV_Data_An_Cour!$L:$Q,6,0)</f>
        <v>4-Valeur nette</v>
      </c>
      <c r="H216" s="159"/>
    </row>
    <row r="217" spans="1:8" ht="15" customHeight="1">
      <c r="A217" s="1101">
        <v>3003</v>
      </c>
      <c r="B217" s="163" t="s">
        <v>2416</v>
      </c>
      <c r="C217" s="934" t="s">
        <v>1638</v>
      </c>
      <c r="D217" s="934" t="s">
        <v>68</v>
      </c>
      <c r="E217" s="981" t="s">
        <v>1913</v>
      </c>
      <c r="F217" s="982"/>
      <c r="G217" s="981" t="str">
        <f>+VLOOKUP(Data_Validation!$A218,BV_Data_An_Cour!$L:$Q,6,0)</f>
        <v>4-Valeur nette</v>
      </c>
      <c r="H217" s="159"/>
    </row>
    <row r="218" spans="1:8" s="564" customFormat="1" ht="15" customHeight="1">
      <c r="A218" s="1101">
        <v>3007</v>
      </c>
      <c r="B218" s="163" t="s">
        <v>2418</v>
      </c>
      <c r="C218" s="934" t="s">
        <v>1638</v>
      </c>
      <c r="D218" s="934" t="s">
        <v>67</v>
      </c>
      <c r="E218" s="981"/>
      <c r="F218" s="982"/>
      <c r="G218" s="981" t="str">
        <f>+VLOOKUP(Data_Validation!$A219,BV_Data_An_Cour!$L:$Q,6,0)</f>
        <v>4-Valeur nette</v>
      </c>
      <c r="H218" s="159"/>
    </row>
    <row r="219" spans="1:8" ht="15" customHeight="1">
      <c r="A219" s="1101">
        <v>3201</v>
      </c>
      <c r="B219" s="163" t="s">
        <v>2420</v>
      </c>
      <c r="C219" s="934" t="s">
        <v>1638</v>
      </c>
      <c r="D219" s="934" t="s">
        <v>69</v>
      </c>
      <c r="E219" s="981" t="s">
        <v>1913</v>
      </c>
      <c r="F219" s="982"/>
      <c r="G219" s="981" t="str">
        <f>+VLOOKUP(Data_Validation!$A220,BV_Data_An_Cour!$L:$Q,6,0)</f>
        <v>5-Ventes</v>
      </c>
      <c r="H219" s="159"/>
    </row>
    <row r="220" spans="1:8" ht="15" customHeight="1">
      <c r="A220" s="1101">
        <v>4100</v>
      </c>
      <c r="B220" s="163" t="s">
        <v>2018</v>
      </c>
      <c r="C220" s="934" t="s">
        <v>75</v>
      </c>
      <c r="D220" s="934" t="s">
        <v>96</v>
      </c>
      <c r="E220" s="981" t="s">
        <v>1913</v>
      </c>
      <c r="F220" s="982" t="s">
        <v>1916</v>
      </c>
      <c r="G220" s="981" t="e">
        <f>+VLOOKUP(Data_Validation!$A221,BV_Data_An_Cour!$L:$Q,6,0)</f>
        <v>#N/A</v>
      </c>
      <c r="H220" s="159"/>
    </row>
    <row r="221" spans="1:8" ht="15" customHeight="1">
      <c r="A221" s="1101">
        <v>4101</v>
      </c>
      <c r="B221" s="163" t="s">
        <v>2422</v>
      </c>
      <c r="C221" s="934" t="s">
        <v>75</v>
      </c>
      <c r="D221" s="934" t="s">
        <v>89</v>
      </c>
      <c r="E221" s="981" t="s">
        <v>1913</v>
      </c>
      <c r="F221" s="982" t="s">
        <v>1916</v>
      </c>
      <c r="G221" s="981" t="e">
        <f>+VLOOKUP(Data_Validation!$A223,BV_Data_An_Cour!$L:$Q,6,0)</f>
        <v>#N/A</v>
      </c>
      <c r="H221" s="159"/>
    </row>
    <row r="222" spans="1:8" ht="15" customHeight="1">
      <c r="A222" s="1101">
        <v>4105</v>
      </c>
      <c r="B222" s="163" t="s">
        <v>2424</v>
      </c>
      <c r="C222" s="934" t="s">
        <v>75</v>
      </c>
      <c r="D222" s="934" t="s">
        <v>89</v>
      </c>
      <c r="E222" s="981" t="s">
        <v>1913</v>
      </c>
      <c r="F222" s="982" t="s">
        <v>1916</v>
      </c>
      <c r="G222" s="981" t="str">
        <f>+VLOOKUP(Data_Validation!$A224,BV_Data_An_Cour!$L:$Q,6,0)</f>
        <v>5-Ventes</v>
      </c>
      <c r="H222" s="159"/>
    </row>
    <row r="223" spans="1:8" ht="15" customHeight="1">
      <c r="A223" s="1101">
        <v>4107</v>
      </c>
      <c r="B223" s="163" t="s">
        <v>2011</v>
      </c>
      <c r="C223" s="934" t="s">
        <v>75</v>
      </c>
      <c r="D223" s="934" t="s">
        <v>89</v>
      </c>
      <c r="E223" s="981" t="s">
        <v>1913</v>
      </c>
      <c r="F223" s="982" t="s">
        <v>1916</v>
      </c>
      <c r="G223" s="981" t="str">
        <f>+VLOOKUP(Data_Validation!$A225,BV_Data_An_Cour!$L:$Q,6,0)</f>
        <v>5-Ventes</v>
      </c>
      <c r="H223" s="159"/>
    </row>
    <row r="224" spans="1:8" ht="15" customHeight="1">
      <c r="A224" s="1101">
        <v>4109</v>
      </c>
      <c r="B224" s="163" t="s">
        <v>2426</v>
      </c>
      <c r="C224" s="934" t="s">
        <v>75</v>
      </c>
      <c r="D224" s="934" t="s">
        <v>89</v>
      </c>
      <c r="E224" s="981" t="s">
        <v>1913</v>
      </c>
      <c r="F224" s="982" t="s">
        <v>1916</v>
      </c>
      <c r="G224" s="981" t="e">
        <f>+VLOOKUP(Data_Validation!$A226,BV_Data_An_Cour!$L:$Q,6,0)</f>
        <v>#N/A</v>
      </c>
      <c r="H224" s="159"/>
    </row>
    <row r="225" spans="1:8" ht="15" customHeight="1">
      <c r="A225" s="1101">
        <v>4111</v>
      </c>
      <c r="B225" s="163" t="s">
        <v>2006</v>
      </c>
      <c r="C225" s="934" t="s">
        <v>75</v>
      </c>
      <c r="D225" s="934" t="s">
        <v>89</v>
      </c>
      <c r="E225" s="981" t="s">
        <v>1913</v>
      </c>
      <c r="F225" s="982" t="s">
        <v>1916</v>
      </c>
      <c r="G225" s="981" t="e">
        <f>+VLOOKUP(Data_Validation!$A227,BV_Data_An_Cour!$L:$Q,6,0)</f>
        <v>#N/A</v>
      </c>
      <c r="H225" s="159"/>
    </row>
    <row r="226" spans="1:8" s="564" customFormat="1" ht="15" customHeight="1">
      <c r="A226" s="1101">
        <v>4113</v>
      </c>
      <c r="B226" s="163" t="s">
        <v>2428</v>
      </c>
      <c r="C226" s="934" t="s">
        <v>75</v>
      </c>
      <c r="D226" s="934" t="s">
        <v>89</v>
      </c>
      <c r="E226" s="981" t="s">
        <v>1913</v>
      </c>
      <c r="F226" s="982" t="s">
        <v>1916</v>
      </c>
      <c r="G226" s="981" t="str">
        <f>+VLOOKUP(Data_Validation!$A228,BV_Data_An_Cour!$L:$Q,6,0)</f>
        <v>5-Ventes</v>
      </c>
      <c r="H226" s="159"/>
    </row>
    <row r="227" spans="1:8" ht="15" customHeight="1">
      <c r="A227" s="1101">
        <v>4115</v>
      </c>
      <c r="B227" s="163" t="s">
        <v>2430</v>
      </c>
      <c r="C227" s="934" t="s">
        <v>75</v>
      </c>
      <c r="D227" s="934" t="s">
        <v>89</v>
      </c>
      <c r="E227" s="981" t="s">
        <v>1913</v>
      </c>
      <c r="F227" s="982" t="s">
        <v>1916</v>
      </c>
      <c r="G227" s="981" t="str">
        <f>+VLOOKUP(Data_Validation!$A229,BV_Data_An_Cour!$L:$Q,6,0)</f>
        <v>5-Ventes</v>
      </c>
      <c r="H227" s="159"/>
    </row>
    <row r="228" spans="1:8" ht="15" customHeight="1">
      <c r="A228" s="1108">
        <v>4118</v>
      </c>
      <c r="B228" s="163" t="s">
        <v>2899</v>
      </c>
      <c r="C228" s="934" t="s">
        <v>75</v>
      </c>
      <c r="D228" s="934" t="s">
        <v>90</v>
      </c>
      <c r="E228" s="981" t="s">
        <v>1913</v>
      </c>
      <c r="F228" s="982" t="s">
        <v>1916</v>
      </c>
      <c r="G228" s="981" t="str">
        <f>+VLOOKUP(Data_Validation!$A230,BV_Data_An_Cour!$L:$Q,6,0)</f>
        <v>5-Ventes</v>
      </c>
      <c r="H228" s="159"/>
    </row>
    <row r="229" spans="1:8" ht="15" customHeight="1">
      <c r="A229" s="1108">
        <v>4119</v>
      </c>
      <c r="B229" s="163" t="s">
        <v>1995</v>
      </c>
      <c r="C229" s="934" t="s">
        <v>75</v>
      </c>
      <c r="D229" s="934" t="s">
        <v>90</v>
      </c>
      <c r="E229" s="981" t="s">
        <v>1913</v>
      </c>
      <c r="F229" s="982" t="s">
        <v>1916</v>
      </c>
      <c r="G229" s="981" t="str">
        <f>+VLOOKUP(Data_Validation!$A231,BV_Data_An_Cour!$L:$Q,6,0)</f>
        <v>5-Ventes</v>
      </c>
      <c r="H229" s="159"/>
    </row>
    <row r="230" spans="1:8" ht="15" customHeight="1">
      <c r="A230" s="929">
        <v>4121</v>
      </c>
      <c r="B230" s="165" t="s">
        <v>2882</v>
      </c>
      <c r="C230" s="934" t="s">
        <v>75</v>
      </c>
      <c r="D230" s="934" t="s">
        <v>90</v>
      </c>
      <c r="E230" s="981" t="s">
        <v>1913</v>
      </c>
      <c r="F230" s="982" t="s">
        <v>2849</v>
      </c>
      <c r="G230" s="981" t="str">
        <f>+VLOOKUP(Data_Validation!$A557,BV_Data_An_Cour!$L:$Q,6,0)</f>
        <v>10-Compte compteur</v>
      </c>
    </row>
    <row r="231" spans="1:8" ht="15" customHeight="1">
      <c r="A231" s="1101">
        <v>4127</v>
      </c>
      <c r="B231" s="163" t="s">
        <v>2023</v>
      </c>
      <c r="C231" s="934" t="s">
        <v>75</v>
      </c>
      <c r="D231" s="934" t="s">
        <v>89</v>
      </c>
      <c r="E231" s="981" t="s">
        <v>1913</v>
      </c>
      <c r="F231" s="982" t="s">
        <v>1916</v>
      </c>
      <c r="G231" s="981" t="str">
        <f>+VLOOKUP(Data_Validation!$A232,BV_Data_An_Cour!$L:$Q,6,0)</f>
        <v>5-Ventes</v>
      </c>
      <c r="H231" s="159"/>
    </row>
    <row r="232" spans="1:8" ht="15" customHeight="1">
      <c r="A232" s="1101">
        <v>4131</v>
      </c>
      <c r="B232" s="163" t="s">
        <v>1991</v>
      </c>
      <c r="C232" s="934" t="s">
        <v>75</v>
      </c>
      <c r="D232" s="934" t="s">
        <v>90</v>
      </c>
      <c r="E232" s="981" t="s">
        <v>1913</v>
      </c>
      <c r="F232" s="982" t="s">
        <v>1916</v>
      </c>
      <c r="G232" s="981" t="e">
        <f>+VLOOKUP(Data_Validation!$A233,BV_Data_An_Cour!$L:$Q,6,0)</f>
        <v>#N/A</v>
      </c>
      <c r="H232" s="159"/>
    </row>
    <row r="233" spans="1:8" ht="15" customHeight="1">
      <c r="A233" s="1101">
        <v>4135</v>
      </c>
      <c r="B233" s="163" t="s">
        <v>2021</v>
      </c>
      <c r="C233" s="934" t="s">
        <v>75</v>
      </c>
      <c r="D233" s="934" t="s">
        <v>89</v>
      </c>
      <c r="E233" s="981" t="s">
        <v>1913</v>
      </c>
      <c r="F233" s="982" t="s">
        <v>1916</v>
      </c>
      <c r="G233" s="981" t="str">
        <f>+VLOOKUP(Data_Validation!$A234,BV_Data_An_Cour!$L:$Q,6,0)</f>
        <v>5-Ventes</v>
      </c>
      <c r="H233" s="159"/>
    </row>
    <row r="234" spans="1:8" ht="15" customHeight="1">
      <c r="A234" s="1101">
        <v>4137</v>
      </c>
      <c r="B234" s="163" t="s">
        <v>2432</v>
      </c>
      <c r="C234" s="934" t="s">
        <v>75</v>
      </c>
      <c r="D234" s="934" t="s">
        <v>95</v>
      </c>
      <c r="E234" s="981" t="s">
        <v>1913</v>
      </c>
      <c r="F234" s="982" t="s">
        <v>1916</v>
      </c>
      <c r="G234" s="981" t="str">
        <f>+VLOOKUP(Data_Validation!$A235,BV_Data_An_Cour!$L:$Q,6,0)</f>
        <v>5-Ventes</v>
      </c>
      <c r="H234" s="159"/>
    </row>
    <row r="235" spans="1:8" ht="15" customHeight="1">
      <c r="A235" s="1101">
        <v>4139</v>
      </c>
      <c r="B235" s="163" t="s">
        <v>1997</v>
      </c>
      <c r="C235" s="934" t="s">
        <v>75</v>
      </c>
      <c r="D235" s="934" t="s">
        <v>94</v>
      </c>
      <c r="E235" s="981" t="s">
        <v>1913</v>
      </c>
      <c r="F235" s="982" t="s">
        <v>1916</v>
      </c>
      <c r="G235" s="981" t="str">
        <f>+VLOOKUP(Data_Validation!$A236,BV_Data_An_Cour!$L:$Q,6,0)</f>
        <v>5-Ventes</v>
      </c>
      <c r="H235" s="159"/>
    </row>
    <row r="236" spans="1:8" ht="15" customHeight="1">
      <c r="A236" s="1101">
        <v>4144</v>
      </c>
      <c r="B236" s="163" t="s">
        <v>3361</v>
      </c>
      <c r="C236" s="934" t="s">
        <v>75</v>
      </c>
      <c r="D236" s="934" t="s">
        <v>89</v>
      </c>
      <c r="E236" s="981" t="s">
        <v>1913</v>
      </c>
      <c r="F236" s="982" t="s">
        <v>1916</v>
      </c>
      <c r="G236" s="981" t="e">
        <f>+VLOOKUP(Data_Validation!$A237,BV_Data_An_Cour!$L:$Q,6,0)</f>
        <v>#N/A</v>
      </c>
      <c r="H236" s="159"/>
    </row>
    <row r="237" spans="1:8" ht="15" customHeight="1">
      <c r="A237" s="1110">
        <v>4200</v>
      </c>
      <c r="B237" s="163" t="s">
        <v>2893</v>
      </c>
      <c r="C237" s="934" t="s">
        <v>75</v>
      </c>
      <c r="D237" s="934" t="s">
        <v>96</v>
      </c>
      <c r="E237" s="981" t="s">
        <v>1913</v>
      </c>
      <c r="F237" s="982" t="s">
        <v>1916</v>
      </c>
      <c r="G237" s="981" t="s">
        <v>282</v>
      </c>
      <c r="H237" s="159"/>
    </row>
    <row r="238" spans="1:8" ht="15" customHeight="1">
      <c r="A238" s="1101">
        <v>4201</v>
      </c>
      <c r="B238" s="163" t="s">
        <v>1993</v>
      </c>
      <c r="C238" s="934" t="s">
        <v>144</v>
      </c>
      <c r="D238" s="934" t="s">
        <v>146</v>
      </c>
      <c r="E238" s="981" t="s">
        <v>1913</v>
      </c>
      <c r="F238" s="982" t="s">
        <v>1916</v>
      </c>
      <c r="G238" s="981" t="str">
        <f>+VLOOKUP(Data_Validation!$A238,BV_Data_An_Cour!$L:$Q,6,0)</f>
        <v>5-Ventes</v>
      </c>
      <c r="H238" s="159"/>
    </row>
    <row r="239" spans="1:8" ht="15" customHeight="1">
      <c r="A239" s="1101">
        <v>4211</v>
      </c>
      <c r="B239" s="163" t="s">
        <v>2434</v>
      </c>
      <c r="C239" s="934" t="s">
        <v>144</v>
      </c>
      <c r="D239" s="934" t="s">
        <v>147</v>
      </c>
      <c r="E239" s="981" t="s">
        <v>1913</v>
      </c>
      <c r="F239" s="982" t="s">
        <v>1916</v>
      </c>
      <c r="G239" s="981" t="e">
        <f>+VLOOKUP(Data_Validation!$A239,BV_Data_An_Cour!$L:$Q,6,0)</f>
        <v>#N/A</v>
      </c>
      <c r="H239" s="159"/>
    </row>
    <row r="240" spans="1:8" ht="15" customHeight="1">
      <c r="A240" s="1101">
        <v>4285</v>
      </c>
      <c r="B240" s="163" t="s">
        <v>2031</v>
      </c>
      <c r="C240" s="934" t="s">
        <v>144</v>
      </c>
      <c r="D240" s="934" t="s">
        <v>147</v>
      </c>
      <c r="E240" s="981" t="s">
        <v>1913</v>
      </c>
      <c r="F240" s="982" t="s">
        <v>1916</v>
      </c>
      <c r="G240" s="981" t="str">
        <f>+VLOOKUP(Data_Validation!$A240,BV_Data_An_Cour!$L:$Q,6,0)</f>
        <v>5-Ventes</v>
      </c>
      <c r="H240" s="159"/>
    </row>
    <row r="241" spans="1:8" ht="15" customHeight="1">
      <c r="A241" s="1101">
        <v>4291</v>
      </c>
      <c r="B241" s="163" t="s">
        <v>1999</v>
      </c>
      <c r="C241" s="934" t="s">
        <v>144</v>
      </c>
      <c r="D241" s="934" t="s">
        <v>150</v>
      </c>
      <c r="E241" s="981" t="s">
        <v>1913</v>
      </c>
      <c r="F241" s="982" t="s">
        <v>1916</v>
      </c>
      <c r="G241" s="981" t="str">
        <f>+VLOOKUP(Data_Validation!$A241,BV_Data_An_Cour!$L:$Q,6,0)</f>
        <v>5-Ventes</v>
      </c>
      <c r="H241" s="159"/>
    </row>
    <row r="242" spans="1:8" ht="15" customHeight="1">
      <c r="A242" s="1101">
        <v>4401</v>
      </c>
      <c r="B242" s="163" t="s">
        <v>2004</v>
      </c>
      <c r="C242" s="934" t="s">
        <v>155</v>
      </c>
      <c r="D242" s="934" t="s">
        <v>159</v>
      </c>
      <c r="E242" s="981" t="s">
        <v>1913</v>
      </c>
      <c r="F242" s="982" t="s">
        <v>1916</v>
      </c>
      <c r="G242" s="981" t="str">
        <f>+VLOOKUP(Data_Validation!$A242,BV_Data_An_Cour!$L:$Q,6,0)</f>
        <v>5-Ventes</v>
      </c>
      <c r="H242" s="159"/>
    </row>
    <row r="243" spans="1:8" ht="15" customHeight="1">
      <c r="A243" s="1101">
        <v>4402</v>
      </c>
      <c r="B243" s="163" t="s">
        <v>2184</v>
      </c>
      <c r="C243" s="934" t="s">
        <v>155</v>
      </c>
      <c r="D243" s="934" t="s">
        <v>163</v>
      </c>
      <c r="E243" s="981" t="s">
        <v>1913</v>
      </c>
      <c r="F243" s="982" t="s">
        <v>1916</v>
      </c>
      <c r="G243" s="981" t="str">
        <f>+VLOOKUP(Data_Validation!$A243,BV_Data_An_Cour!$L:$Q,6,0)</f>
        <v>5-Ventes</v>
      </c>
      <c r="H243" s="159"/>
    </row>
    <row r="244" spans="1:8" ht="15" customHeight="1">
      <c r="A244" s="1101">
        <v>4403</v>
      </c>
      <c r="B244" s="163" t="s">
        <v>2034</v>
      </c>
      <c r="C244" s="934" t="s">
        <v>155</v>
      </c>
      <c r="D244" s="934" t="s">
        <v>161</v>
      </c>
      <c r="E244" s="981" t="s">
        <v>1913</v>
      </c>
      <c r="F244" s="982" t="s">
        <v>1916</v>
      </c>
      <c r="G244" s="981" t="str">
        <f>+VLOOKUP(Data_Validation!$A244,BV_Data_An_Cour!$L:$Q,6,0)</f>
        <v>5-Ventes</v>
      </c>
      <c r="H244" s="159"/>
    </row>
    <row r="245" spans="1:8" ht="15" customHeight="1">
      <c r="A245" s="1108">
        <v>4405</v>
      </c>
      <c r="B245" s="163" t="s">
        <v>2044</v>
      </c>
      <c r="C245" s="934" t="s">
        <v>155</v>
      </c>
      <c r="D245" s="934" t="s">
        <v>162</v>
      </c>
      <c r="E245" s="981" t="s">
        <v>1913</v>
      </c>
      <c r="F245" s="982" t="s">
        <v>1916</v>
      </c>
      <c r="G245" s="981" t="str">
        <f>+VLOOKUP(Data_Validation!$A245,BV_Data_An_Cour!$L:$Q,6,0)</f>
        <v>5-Ventes</v>
      </c>
      <c r="H245" s="159"/>
    </row>
    <row r="246" spans="1:8" ht="15" customHeight="1">
      <c r="A246" s="1108">
        <v>4411</v>
      </c>
      <c r="B246" s="160" t="s">
        <v>2619</v>
      </c>
      <c r="C246" s="934" t="s">
        <v>155</v>
      </c>
      <c r="D246" s="934" t="s">
        <v>159</v>
      </c>
      <c r="E246" s="981" t="s">
        <v>1913</v>
      </c>
      <c r="F246" s="982" t="s">
        <v>1916</v>
      </c>
      <c r="G246" s="981" t="e">
        <f>+VLOOKUP(Data_Validation!$A246,BV_Data_An_Cour!$L:$Q,6,0)</f>
        <v>#N/A</v>
      </c>
      <c r="H246" s="159"/>
    </row>
    <row r="247" spans="1:8" s="564" customFormat="1" ht="15" customHeight="1">
      <c r="A247" s="1101">
        <v>4451</v>
      </c>
      <c r="B247" s="163" t="s">
        <v>2064</v>
      </c>
      <c r="C247" s="934" t="s">
        <v>175</v>
      </c>
      <c r="D247" s="934" t="s">
        <v>187</v>
      </c>
      <c r="E247" s="981" t="s">
        <v>1913</v>
      </c>
      <c r="F247" s="982" t="s">
        <v>1916</v>
      </c>
      <c r="G247" s="981" t="str">
        <f>+VLOOKUP(Data_Validation!$A247,BV_Data_An_Cour!$L:$Q,6,0)</f>
        <v>5-Ventes</v>
      </c>
      <c r="H247" s="159"/>
    </row>
    <row r="248" spans="1:8" ht="15" customHeight="1">
      <c r="A248" s="1101">
        <v>4491</v>
      </c>
      <c r="B248" s="163" t="s">
        <v>2137</v>
      </c>
      <c r="C248" s="934" t="s">
        <v>155</v>
      </c>
      <c r="D248" s="934" t="s">
        <v>167</v>
      </c>
      <c r="E248" s="981" t="s">
        <v>1913</v>
      </c>
      <c r="F248" s="982" t="s">
        <v>1916</v>
      </c>
      <c r="G248" s="981" t="str">
        <f>+VLOOKUP(Data_Validation!$A248,BV_Data_An_Cour!$L:$Q,6,0)</f>
        <v>5-Ventes</v>
      </c>
      <c r="H248" s="159"/>
    </row>
    <row r="249" spans="1:8" ht="15" customHeight="1">
      <c r="A249" s="1101">
        <v>4493</v>
      </c>
      <c r="B249" s="163" t="s">
        <v>2160</v>
      </c>
      <c r="C249" s="934" t="s">
        <v>155</v>
      </c>
      <c r="D249" s="934" t="s">
        <v>167</v>
      </c>
      <c r="E249" s="981" t="s">
        <v>1913</v>
      </c>
      <c r="F249" s="982" t="s">
        <v>1916</v>
      </c>
      <c r="G249" s="981" t="str">
        <f>+VLOOKUP(Data_Validation!$A249,BV_Data_An_Cour!$L:$Q,6,0)</f>
        <v>5-Ventes</v>
      </c>
      <c r="H249" s="159"/>
    </row>
    <row r="250" spans="1:8" ht="15" customHeight="1">
      <c r="A250" s="1101">
        <v>4495</v>
      </c>
      <c r="B250" s="163" t="s">
        <v>2079</v>
      </c>
      <c r="C250" s="934" t="s">
        <v>155</v>
      </c>
      <c r="D250" s="934" t="s">
        <v>167</v>
      </c>
      <c r="E250" s="981" t="s">
        <v>1913</v>
      </c>
      <c r="F250" s="982" t="s">
        <v>1916</v>
      </c>
      <c r="G250" s="981" t="str">
        <f>+VLOOKUP(Data_Validation!$A250,BV_Data_An_Cour!$L:$Q,6,0)</f>
        <v>5-Ventes</v>
      </c>
      <c r="H250" s="159"/>
    </row>
    <row r="251" spans="1:8" ht="15" customHeight="1">
      <c r="A251" s="1101">
        <v>4503</v>
      </c>
      <c r="B251" s="163" t="s">
        <v>3254</v>
      </c>
      <c r="C251" s="934" t="s">
        <v>171</v>
      </c>
      <c r="D251" s="934" t="s">
        <v>172</v>
      </c>
      <c r="E251" s="981" t="s">
        <v>1913</v>
      </c>
      <c r="F251" s="982" t="s">
        <v>1916</v>
      </c>
      <c r="G251" s="981" t="str">
        <f>+VLOOKUP(Data_Validation!$A252,BV_Data_An_Cour!$L:$Q,6,0)</f>
        <v>5-Ventes</v>
      </c>
      <c r="H251" s="159"/>
    </row>
    <row r="252" spans="1:8" ht="15" customHeight="1">
      <c r="A252" s="1101">
        <v>4591</v>
      </c>
      <c r="B252" s="163" t="s">
        <v>2062</v>
      </c>
      <c r="C252" s="934" t="s">
        <v>171</v>
      </c>
      <c r="D252" s="934" t="s">
        <v>172</v>
      </c>
      <c r="E252" s="981" t="s">
        <v>1913</v>
      </c>
      <c r="F252" s="982" t="s">
        <v>1916</v>
      </c>
      <c r="G252" s="981" t="str">
        <f>+VLOOKUP(Data_Validation!$A251,BV_Data_An_Cour!$L:$Q,6,0)</f>
        <v>5-Ventes</v>
      </c>
      <c r="H252" s="159"/>
    </row>
    <row r="253" spans="1:8" ht="15" customHeight="1">
      <c r="A253" s="1101">
        <v>4593</v>
      </c>
      <c r="B253" s="163" t="s">
        <v>2060</v>
      </c>
      <c r="C253" s="934" t="s">
        <v>171</v>
      </c>
      <c r="D253" s="934" t="s">
        <v>172</v>
      </c>
      <c r="E253" s="981" t="s">
        <v>1913</v>
      </c>
      <c r="F253" s="982" t="s">
        <v>1916</v>
      </c>
      <c r="G253" s="981" t="str">
        <f>+VLOOKUP(Data_Validation!$A253,BV_Data_An_Cour!$L:$Q,6,0)</f>
        <v>5-Ventes</v>
      </c>
      <c r="H253" s="159"/>
    </row>
    <row r="254" spans="1:8" ht="15" customHeight="1">
      <c r="A254" s="1101">
        <v>4595</v>
      </c>
      <c r="B254" s="163" t="s">
        <v>2093</v>
      </c>
      <c r="C254" s="934" t="s">
        <v>171</v>
      </c>
      <c r="D254" s="934" t="s">
        <v>172</v>
      </c>
      <c r="E254" s="981" t="s">
        <v>1913</v>
      </c>
      <c r="F254" s="982" t="s">
        <v>1916</v>
      </c>
      <c r="G254" s="981" t="str">
        <f>+VLOOKUP(Data_Validation!$A254,BV_Data_An_Cour!$L:$Q,6,0)</f>
        <v>5-Ventes</v>
      </c>
      <c r="H254" s="159"/>
    </row>
    <row r="255" spans="1:8" ht="15" customHeight="1">
      <c r="A255" s="1101">
        <v>4701</v>
      </c>
      <c r="B255" s="163" t="s">
        <v>2016</v>
      </c>
      <c r="C255" s="934" t="s">
        <v>175</v>
      </c>
      <c r="D255" s="934" t="s">
        <v>177</v>
      </c>
      <c r="E255" s="981" t="s">
        <v>1913</v>
      </c>
      <c r="F255" s="982" t="s">
        <v>1916</v>
      </c>
      <c r="G255" s="981" t="str">
        <f>+VLOOKUP(Data_Validation!$A255,BV_Data_An_Cour!$L:$Q,6,0)</f>
        <v>5-Ventes</v>
      </c>
      <c r="H255" s="159"/>
    </row>
    <row r="256" spans="1:8" s="564" customFormat="1" ht="15" customHeight="1">
      <c r="A256" s="1101">
        <v>4702</v>
      </c>
      <c r="B256" s="163" t="s">
        <v>2143</v>
      </c>
      <c r="C256" s="934" t="s">
        <v>155</v>
      </c>
      <c r="D256" s="934" t="s">
        <v>159</v>
      </c>
      <c r="E256" s="981" t="s">
        <v>1913</v>
      </c>
      <c r="F256" s="982" t="s">
        <v>1916</v>
      </c>
      <c r="G256" s="981" t="str">
        <f>+VLOOKUP(Data_Validation!$A256,BV_Data_An_Cour!$L:$Q,6,0)</f>
        <v>5-Ventes</v>
      </c>
      <c r="H256" s="159"/>
    </row>
    <row r="257" spans="1:8" ht="15" customHeight="1">
      <c r="A257" s="1101">
        <v>4703</v>
      </c>
      <c r="B257" s="163" t="s">
        <v>2036</v>
      </c>
      <c r="C257" s="934" t="s">
        <v>175</v>
      </c>
      <c r="D257" s="934" t="s">
        <v>179</v>
      </c>
      <c r="E257" s="981" t="s">
        <v>1913</v>
      </c>
      <c r="F257" s="982" t="s">
        <v>1916</v>
      </c>
      <c r="G257" s="981" t="str">
        <f>+VLOOKUP(Data_Validation!$A257,BV_Data_An_Cour!$L:$Q,6,0)</f>
        <v>5-Ventes</v>
      </c>
      <c r="H257" s="159"/>
    </row>
    <row r="258" spans="1:8" ht="15" customHeight="1">
      <c r="A258" s="1101">
        <v>4705</v>
      </c>
      <c r="B258" s="163" t="s">
        <v>2040</v>
      </c>
      <c r="C258" s="934" t="s">
        <v>175</v>
      </c>
      <c r="D258" s="934" t="s">
        <v>180</v>
      </c>
      <c r="E258" s="981" t="s">
        <v>1913</v>
      </c>
      <c r="F258" s="982" t="s">
        <v>1916</v>
      </c>
      <c r="G258" s="981" t="str">
        <f>+VLOOKUP(Data_Validation!$A258,BV_Data_An_Cour!$L:$Q,6,0)</f>
        <v>5-Ventes</v>
      </c>
      <c r="H258" s="159"/>
    </row>
    <row r="259" spans="1:8" ht="15" customHeight="1">
      <c r="A259" s="1101">
        <v>4706</v>
      </c>
      <c r="B259" s="163" t="s">
        <v>2143</v>
      </c>
      <c r="C259" s="934" t="s">
        <v>155</v>
      </c>
      <c r="D259" s="934" t="s">
        <v>162</v>
      </c>
      <c r="E259" s="981" t="s">
        <v>1913</v>
      </c>
      <c r="F259" s="982" t="s">
        <v>1916</v>
      </c>
      <c r="G259" s="981" t="str">
        <f>+VLOOKUP(Data_Validation!$A259,BV_Data_An_Cour!$L:$Q,6,0)</f>
        <v>5-Ventes</v>
      </c>
      <c r="H259" s="159"/>
    </row>
    <row r="260" spans="1:8" ht="15" customHeight="1">
      <c r="A260" s="1101">
        <v>4711</v>
      </c>
      <c r="B260" s="163" t="s">
        <v>2107</v>
      </c>
      <c r="C260" s="934" t="s">
        <v>175</v>
      </c>
      <c r="D260" s="934" t="s">
        <v>177</v>
      </c>
      <c r="E260" s="981" t="s">
        <v>1913</v>
      </c>
      <c r="F260" s="982" t="s">
        <v>1916</v>
      </c>
      <c r="G260" s="981" t="str">
        <f>+VLOOKUP(Data_Validation!$A260,BV_Data_An_Cour!$L:$Q,6,0)</f>
        <v>5-Ventes</v>
      </c>
      <c r="H260" s="159"/>
    </row>
    <row r="261" spans="1:8" ht="15" customHeight="1">
      <c r="A261" s="162">
        <v>4715</v>
      </c>
      <c r="B261" s="163" t="s">
        <v>2915</v>
      </c>
      <c r="C261" s="934" t="s">
        <v>175</v>
      </c>
      <c r="D261" s="934" t="s">
        <v>180</v>
      </c>
      <c r="E261" s="981" t="s">
        <v>1913</v>
      </c>
      <c r="F261" s="982" t="s">
        <v>1916</v>
      </c>
      <c r="G261" s="981" t="e">
        <f>+VLOOKUP(Data_Validation!$A261,BV_Data_An_Cour!$L:$Q,6,0)</f>
        <v>#N/A</v>
      </c>
      <c r="H261" s="159"/>
    </row>
    <row r="262" spans="1:8" ht="15" customHeight="1">
      <c r="A262" s="1108">
        <v>4721</v>
      </c>
      <c r="B262" s="163" t="s">
        <v>2107</v>
      </c>
      <c r="C262" s="934" t="s">
        <v>175</v>
      </c>
      <c r="D262" s="934" t="s">
        <v>177</v>
      </c>
      <c r="E262" s="981" t="s">
        <v>1913</v>
      </c>
      <c r="F262" s="982" t="s">
        <v>1916</v>
      </c>
      <c r="G262" s="981" t="e">
        <f>+VLOOKUP(Data_Validation!$A262,BV_Data_An_Cour!$L:$Q,6,0)</f>
        <v>#N/A</v>
      </c>
      <c r="H262" s="159"/>
    </row>
    <row r="263" spans="1:8" ht="15" customHeight="1">
      <c r="A263" s="1101">
        <v>4731</v>
      </c>
      <c r="B263" s="163" t="s">
        <v>2100</v>
      </c>
      <c r="C263" s="934" t="s">
        <v>175</v>
      </c>
      <c r="D263" s="934" t="s">
        <v>178</v>
      </c>
      <c r="E263" s="981" t="s">
        <v>1913</v>
      </c>
      <c r="F263" s="982" t="s">
        <v>1916</v>
      </c>
      <c r="G263" s="981" t="str">
        <f>+VLOOKUP(Data_Validation!$A263,BV_Data_An_Cour!$L:$Q,6,0)</f>
        <v>5-Ventes</v>
      </c>
      <c r="H263" s="159"/>
    </row>
    <row r="264" spans="1:8" ht="15" customHeight="1">
      <c r="A264" s="1101">
        <v>4733</v>
      </c>
      <c r="B264" s="165" t="s">
        <v>2083</v>
      </c>
      <c r="C264" s="934" t="s">
        <v>175</v>
      </c>
      <c r="D264" s="934" t="s">
        <v>178</v>
      </c>
      <c r="E264" s="981" t="s">
        <v>1913</v>
      </c>
      <c r="F264" s="982" t="s">
        <v>1916</v>
      </c>
      <c r="G264" s="981" t="str">
        <f>+VLOOKUP(Data_Validation!$A264,BV_Data_An_Cour!$L:$Q,6,0)</f>
        <v>5-Ventes</v>
      </c>
      <c r="H264" s="159"/>
    </row>
    <row r="265" spans="1:8" ht="15" customHeight="1">
      <c r="A265" s="1108">
        <v>4735</v>
      </c>
      <c r="B265" s="165" t="s">
        <v>2158</v>
      </c>
      <c r="C265" s="934" t="s">
        <v>175</v>
      </c>
      <c r="D265" s="934" t="s">
        <v>178</v>
      </c>
      <c r="E265" s="981" t="s">
        <v>1913</v>
      </c>
      <c r="F265" s="982" t="s">
        <v>1916</v>
      </c>
      <c r="G265" s="981" t="str">
        <f>+VLOOKUP(Data_Validation!$A265,BV_Data_An_Cour!$L:$Q,6,0)</f>
        <v>5-Ventes</v>
      </c>
      <c r="H265" s="159"/>
    </row>
    <row r="266" spans="1:8" ht="15" customHeight="1">
      <c r="A266" s="1101">
        <v>4761</v>
      </c>
      <c r="B266" s="165" t="s">
        <v>2075</v>
      </c>
      <c r="C266" s="934" t="s">
        <v>175</v>
      </c>
      <c r="D266" s="934" t="s">
        <v>181</v>
      </c>
      <c r="E266" s="981" t="s">
        <v>1913</v>
      </c>
      <c r="F266" s="982" t="s">
        <v>1916</v>
      </c>
      <c r="G266" s="981" t="str">
        <f>+VLOOKUP(Data_Validation!$A266,BV_Data_An_Cour!$L:$Q,6,0)</f>
        <v>5-Ventes</v>
      </c>
      <c r="H266" s="159"/>
    </row>
    <row r="267" spans="1:8" ht="15" customHeight="1">
      <c r="A267" s="1101">
        <v>4763</v>
      </c>
      <c r="B267" s="165" t="s">
        <v>2038</v>
      </c>
      <c r="C267" s="934" t="s">
        <v>175</v>
      </c>
      <c r="D267" s="934" t="s">
        <v>182</v>
      </c>
      <c r="E267" s="981" t="s">
        <v>1913</v>
      </c>
      <c r="F267" s="982" t="s">
        <v>1916</v>
      </c>
      <c r="G267" s="981" t="str">
        <f>+VLOOKUP(Data_Validation!$A267,BV_Data_An_Cour!$L:$Q,6,0)</f>
        <v>5-Ventes</v>
      </c>
      <c r="H267" s="159"/>
    </row>
    <row r="268" spans="1:8" ht="15" customHeight="1">
      <c r="A268" s="1101">
        <v>4781</v>
      </c>
      <c r="B268" s="165" t="s">
        <v>2027</v>
      </c>
      <c r="C268" s="934" t="s">
        <v>175</v>
      </c>
      <c r="D268" s="934" t="s">
        <v>186</v>
      </c>
      <c r="E268" s="981" t="s">
        <v>1913</v>
      </c>
      <c r="F268" s="982" t="s">
        <v>1916</v>
      </c>
      <c r="G268" s="981" t="str">
        <f>+VLOOKUP(Data_Validation!$A268,BV_Data_An_Cour!$L:$Q,6,0)</f>
        <v>5-Ventes</v>
      </c>
      <c r="H268" s="159"/>
    </row>
    <row r="269" spans="1:8" ht="15" customHeight="1">
      <c r="A269" s="1101">
        <v>4785</v>
      </c>
      <c r="B269" s="165" t="s">
        <v>2113</v>
      </c>
      <c r="C269" s="934" t="s">
        <v>175</v>
      </c>
      <c r="D269" s="934" t="s">
        <v>186</v>
      </c>
      <c r="E269" s="981" t="s">
        <v>1913</v>
      </c>
      <c r="F269" s="982" t="s">
        <v>1916</v>
      </c>
      <c r="G269" s="981" t="str">
        <f>+VLOOKUP(Data_Validation!$A269,BV_Data_An_Cour!$L:$Q,6,0)</f>
        <v>5-Ventes</v>
      </c>
      <c r="H269" s="159"/>
    </row>
    <row r="270" spans="1:8" ht="15" customHeight="1">
      <c r="A270" s="1108">
        <v>5100</v>
      </c>
      <c r="B270" s="165" t="s">
        <v>2831</v>
      </c>
      <c r="C270" s="934" t="s">
        <v>75</v>
      </c>
      <c r="D270" s="934" t="s">
        <v>96</v>
      </c>
      <c r="E270" s="981" t="s">
        <v>1913</v>
      </c>
      <c r="F270" s="982"/>
      <c r="G270" s="981" t="str">
        <f>+VLOOKUP(Data_Validation!$A270,BV_Data_An_Cour!$L:$Q,6,0)</f>
        <v>6-Coût des ventes</v>
      </c>
      <c r="H270" s="159"/>
    </row>
    <row r="271" spans="1:8" ht="15" customHeight="1">
      <c r="A271" s="1101">
        <v>5101</v>
      </c>
      <c r="B271" s="165" t="s">
        <v>2437</v>
      </c>
      <c r="C271" s="934" t="s">
        <v>75</v>
      </c>
      <c r="D271" s="934" t="s">
        <v>89</v>
      </c>
      <c r="E271" s="981" t="s">
        <v>1913</v>
      </c>
      <c r="F271" s="981"/>
      <c r="G271" s="981" t="e">
        <f>+VLOOKUP(Data_Validation!$A271,BV_Data_An_Cour!$L:$Q,6,0)</f>
        <v>#N/A</v>
      </c>
      <c r="H271" s="159"/>
    </row>
    <row r="272" spans="1:8" ht="15" customHeight="1">
      <c r="A272" s="1101">
        <v>5105</v>
      </c>
      <c r="B272" s="163" t="s">
        <v>2439</v>
      </c>
      <c r="C272" s="934" t="s">
        <v>75</v>
      </c>
      <c r="D272" s="934" t="s">
        <v>89</v>
      </c>
      <c r="E272" s="981" t="s">
        <v>1913</v>
      </c>
      <c r="F272" s="981"/>
      <c r="G272" s="981" t="e">
        <f>+VLOOKUP(Data_Validation!$A272,BV_Data_An_Cour!$L:$Q,6,0)</f>
        <v>#N/A</v>
      </c>
      <c r="H272" s="159"/>
    </row>
    <row r="273" spans="1:8" s="564" customFormat="1" ht="15" customHeight="1">
      <c r="A273" s="1101">
        <v>5107</v>
      </c>
      <c r="B273" s="165" t="s">
        <v>2833</v>
      </c>
      <c r="C273" s="934" t="s">
        <v>75</v>
      </c>
      <c r="D273" s="934" t="s">
        <v>89</v>
      </c>
      <c r="E273" s="981" t="s">
        <v>1913</v>
      </c>
      <c r="F273" s="981"/>
      <c r="G273" s="981" t="e">
        <f>+VLOOKUP(Data_Validation!$A273,BV_Data_An_Cour!$L:$Q,6,0)</f>
        <v>#N/A</v>
      </c>
      <c r="H273" s="159"/>
    </row>
    <row r="274" spans="1:8" ht="15" customHeight="1">
      <c r="A274" s="1101">
        <v>5109</v>
      </c>
      <c r="B274" s="163" t="s">
        <v>2441</v>
      </c>
      <c r="C274" s="934" t="s">
        <v>75</v>
      </c>
      <c r="D274" s="934" t="s">
        <v>89</v>
      </c>
      <c r="E274" s="981" t="s">
        <v>1913</v>
      </c>
      <c r="F274" s="981"/>
      <c r="G274" s="981" t="str">
        <f>+VLOOKUP(Data_Validation!$A274,BV_Data_An_Cour!$L:$Q,6,0)</f>
        <v>6-Coût des ventes</v>
      </c>
      <c r="H274" s="159"/>
    </row>
    <row r="275" spans="1:8" ht="15" customHeight="1">
      <c r="A275" s="1101">
        <v>5111</v>
      </c>
      <c r="B275" s="163" t="s">
        <v>2835</v>
      </c>
      <c r="C275" s="934" t="s">
        <v>75</v>
      </c>
      <c r="D275" s="934" t="s">
        <v>89</v>
      </c>
      <c r="E275" s="981" t="s">
        <v>1913</v>
      </c>
      <c r="F275" s="981"/>
      <c r="G275" s="981" t="str">
        <f>+VLOOKUP(Data_Validation!$A275,BV_Data_An_Cour!$L:$Q,6,0)</f>
        <v>6-Coût des ventes</v>
      </c>
      <c r="H275" s="159"/>
    </row>
    <row r="276" spans="1:8" ht="15" customHeight="1">
      <c r="A276" s="1101">
        <v>5113</v>
      </c>
      <c r="B276" s="165" t="s">
        <v>2443</v>
      </c>
      <c r="C276" s="934" t="s">
        <v>75</v>
      </c>
      <c r="D276" s="934" t="s">
        <v>89</v>
      </c>
      <c r="E276" s="981" t="s">
        <v>1913</v>
      </c>
      <c r="F276" s="981"/>
      <c r="G276" s="981" t="e">
        <f>+VLOOKUP(Data_Validation!$A276,BV_Data_An_Cour!$L:$Q,6,0)</f>
        <v>#N/A</v>
      </c>
      <c r="H276" s="159"/>
    </row>
    <row r="277" spans="1:8" ht="15" customHeight="1">
      <c r="A277" s="1101">
        <v>5115</v>
      </c>
      <c r="B277" s="163" t="s">
        <v>2445</v>
      </c>
      <c r="C277" s="934" t="s">
        <v>75</v>
      </c>
      <c r="D277" s="934" t="s">
        <v>89</v>
      </c>
      <c r="E277" s="981" t="s">
        <v>1913</v>
      </c>
      <c r="F277" s="981"/>
      <c r="G277" s="981" t="e">
        <f>+VLOOKUP(Data_Validation!$A277,BV_Data_An_Cour!$L:$Q,6,0)</f>
        <v>#N/A</v>
      </c>
      <c r="H277" s="159"/>
    </row>
    <row r="278" spans="1:8" ht="15" customHeight="1">
      <c r="A278" s="1101">
        <v>5118</v>
      </c>
      <c r="B278" s="165" t="s">
        <v>2898</v>
      </c>
      <c r="C278" s="934" t="s">
        <v>75</v>
      </c>
      <c r="D278" s="934" t="s">
        <v>90</v>
      </c>
      <c r="E278" s="981" t="s">
        <v>1913</v>
      </c>
      <c r="F278" s="981"/>
      <c r="G278" s="981" t="e">
        <f>+VLOOKUP(Data_Validation!$A277,BV_Data_An_Cour!$L:$Q,6,0)</f>
        <v>#N/A</v>
      </c>
      <c r="H278" s="159"/>
    </row>
    <row r="279" spans="1:8" ht="15" customHeight="1">
      <c r="A279" s="1101">
        <v>5119</v>
      </c>
      <c r="B279" s="165" t="s">
        <v>2841</v>
      </c>
      <c r="C279" s="934" t="s">
        <v>75</v>
      </c>
      <c r="D279" s="934" t="s">
        <v>90</v>
      </c>
      <c r="E279" s="981" t="s">
        <v>1913</v>
      </c>
      <c r="F279" s="981"/>
      <c r="G279" s="981" t="str">
        <f>+VLOOKUP(Data_Validation!$A279,BV_Data_An_Cour!$L:$Q,6,0)</f>
        <v>6-Coût des ventes</v>
      </c>
      <c r="H279" s="159"/>
    </row>
    <row r="280" spans="1:8" ht="15" customHeight="1">
      <c r="A280" s="929">
        <v>5121</v>
      </c>
      <c r="B280" s="165" t="s">
        <v>2885</v>
      </c>
      <c r="C280" s="934" t="s">
        <v>75</v>
      </c>
      <c r="D280" s="934" t="s">
        <v>90</v>
      </c>
      <c r="E280" s="981" t="s">
        <v>1913</v>
      </c>
      <c r="F280" s="982"/>
      <c r="G280" s="981" t="str">
        <f>+VLOOKUP(Data_Validation!$A559,BV_Data_An_Cour!$L:$Q,6,0)</f>
        <v>10-Compte compteur</v>
      </c>
      <c r="H280" s="159"/>
    </row>
    <row r="281" spans="1:8" ht="15" customHeight="1">
      <c r="A281" s="929">
        <v>5127</v>
      </c>
      <c r="B281" s="163" t="s">
        <v>2827</v>
      </c>
      <c r="C281" s="934" t="s">
        <v>75</v>
      </c>
      <c r="D281" s="934" t="s">
        <v>89</v>
      </c>
      <c r="E281" s="981" t="s">
        <v>1913</v>
      </c>
      <c r="F281" s="981"/>
      <c r="G281" s="981" t="str">
        <f>+VLOOKUP(Data_Validation!$A280,BV_Data_An_Cour!$L:$Q,6,0)</f>
        <v>6-Coût des ventes</v>
      </c>
      <c r="H281" s="159"/>
    </row>
    <row r="282" spans="1:8" ht="15" customHeight="1">
      <c r="A282" s="1111">
        <v>5131</v>
      </c>
      <c r="B282" s="997" t="s">
        <v>2846</v>
      </c>
      <c r="C282" s="993" t="s">
        <v>75</v>
      </c>
      <c r="D282" s="934" t="s">
        <v>90</v>
      </c>
      <c r="E282" s="981" t="s">
        <v>1913</v>
      </c>
      <c r="F282" s="981"/>
      <c r="G282" s="981" t="str">
        <f>+VLOOKUP(Data_Validation!$A281,BV_Data_An_Cour!$L:$Q,6,0)</f>
        <v>6-Coût des ventes</v>
      </c>
      <c r="H282" s="159"/>
    </row>
    <row r="283" spans="1:8" ht="15" customHeight="1">
      <c r="A283" s="1111">
        <v>5135</v>
      </c>
      <c r="B283" s="996" t="s">
        <v>2829</v>
      </c>
      <c r="C283" s="1381" t="s">
        <v>75</v>
      </c>
      <c r="D283" s="934" t="s">
        <v>89</v>
      </c>
      <c r="E283" s="981" t="s">
        <v>1913</v>
      </c>
      <c r="F283" s="981"/>
      <c r="G283" s="981" t="str">
        <f>+VLOOKUP(Data_Validation!$A282,BV_Data_An_Cour!$L:$Q,6,0)</f>
        <v>6-Coût des ventes</v>
      </c>
      <c r="H283" s="159"/>
    </row>
    <row r="284" spans="1:8" ht="15" customHeight="1">
      <c r="A284" s="1111">
        <v>5137</v>
      </c>
      <c r="B284" s="995" t="s">
        <v>2447</v>
      </c>
      <c r="C284" s="934" t="s">
        <v>75</v>
      </c>
      <c r="D284" s="934" t="s">
        <v>95</v>
      </c>
      <c r="E284" s="981" t="s">
        <v>1913</v>
      </c>
      <c r="F284" s="981"/>
      <c r="G284" s="981" t="e">
        <f>+VLOOKUP(Data_Validation!$A283,BV_Data_An_Cour!$L:$Q,6,0)</f>
        <v>#N/A</v>
      </c>
      <c r="H284" s="159"/>
    </row>
    <row r="285" spans="1:8" ht="15" customHeight="1">
      <c r="A285" s="1111">
        <v>5139</v>
      </c>
      <c r="B285" s="165" t="s">
        <v>2447</v>
      </c>
      <c r="C285" s="934" t="s">
        <v>75</v>
      </c>
      <c r="D285" s="934" t="s">
        <v>94</v>
      </c>
      <c r="E285" s="981" t="s">
        <v>1913</v>
      </c>
      <c r="F285" s="981"/>
      <c r="G285" s="981" t="str">
        <f>+VLOOKUP(Data_Validation!$A284,BV_Data_An_Cour!$L:$Q,6,0)</f>
        <v>6-Coût des ventes</v>
      </c>
      <c r="H285" s="159"/>
    </row>
    <row r="286" spans="1:8" ht="15" customHeight="1">
      <c r="A286" s="1111">
        <v>5144</v>
      </c>
      <c r="B286" s="995" t="s">
        <v>3360</v>
      </c>
      <c r="C286" s="934" t="s">
        <v>75</v>
      </c>
      <c r="D286" s="934" t="s">
        <v>89</v>
      </c>
      <c r="E286" s="981" t="s">
        <v>1913</v>
      </c>
      <c r="F286" s="981"/>
      <c r="G286" s="981" t="str">
        <f>+VLOOKUP(Data_Validation!$A285,BV_Data_An_Cour!$L:$Q,6,0)</f>
        <v>6-Coût des ventes</v>
      </c>
      <c r="H286" s="159"/>
    </row>
    <row r="287" spans="1:8" ht="15" customHeight="1">
      <c r="A287" s="1111">
        <v>5201</v>
      </c>
      <c r="B287" s="992" t="s">
        <v>2843</v>
      </c>
      <c r="C287" s="993" t="s">
        <v>144</v>
      </c>
      <c r="D287" s="934" t="s">
        <v>146</v>
      </c>
      <c r="E287" s="981" t="s">
        <v>1913</v>
      </c>
      <c r="F287" s="981"/>
      <c r="G287" s="981" t="str">
        <f>+VLOOKUP(Data_Validation!$A286,BV_Data_An_Cour!$L:$Q,6,0)</f>
        <v>6-Coût des ventes</v>
      </c>
      <c r="H287" s="159"/>
    </row>
    <row r="288" spans="1:8" ht="15" customHeight="1">
      <c r="A288" s="1101">
        <v>5203</v>
      </c>
      <c r="B288" s="163" t="s">
        <v>2821</v>
      </c>
      <c r="C288" s="1381" t="s">
        <v>144</v>
      </c>
      <c r="D288" s="934" t="s">
        <v>146</v>
      </c>
      <c r="E288" s="981" t="s">
        <v>1913</v>
      </c>
      <c r="F288" s="981"/>
      <c r="G288" s="981" t="str">
        <f>+VLOOKUP(Data_Validation!$A287,BV_Data_An_Cour!$L:$Q,6,0)</f>
        <v>6-Coût des ventes</v>
      </c>
      <c r="H288" s="159"/>
    </row>
    <row r="289" spans="1:8" ht="15" customHeight="1">
      <c r="A289" s="1101">
        <v>5211</v>
      </c>
      <c r="B289" s="165" t="s">
        <v>2609</v>
      </c>
      <c r="C289" s="934" t="s">
        <v>144</v>
      </c>
      <c r="D289" s="934" t="s">
        <v>147</v>
      </c>
      <c r="E289" s="981" t="s">
        <v>1913</v>
      </c>
      <c r="F289" s="981"/>
      <c r="G289" s="981" t="str">
        <f>+VLOOKUP(Data_Validation!$A288,BV_Data_An_Cour!$L:$Q,6,0)</f>
        <v>6-Coût des ventes</v>
      </c>
      <c r="H289" s="159"/>
    </row>
    <row r="290" spans="1:8" ht="15" customHeight="1">
      <c r="A290" s="1101">
        <v>5213</v>
      </c>
      <c r="B290" s="163" t="s">
        <v>2449</v>
      </c>
      <c r="C290" s="934" t="s">
        <v>144</v>
      </c>
      <c r="D290" s="934" t="s">
        <v>147</v>
      </c>
      <c r="E290" s="981" t="s">
        <v>1913</v>
      </c>
      <c r="F290" s="981"/>
      <c r="G290" s="981" t="e">
        <f>+VLOOKUP(Data_Validation!$A289,BV_Data_An_Cour!$L:$Q,6,0)</f>
        <v>#N/A</v>
      </c>
      <c r="H290" s="159"/>
    </row>
    <row r="291" spans="1:8" ht="15" customHeight="1">
      <c r="A291" s="1101">
        <v>5285</v>
      </c>
      <c r="B291" s="163" t="s">
        <v>2031</v>
      </c>
      <c r="C291" s="934" t="s">
        <v>144</v>
      </c>
      <c r="D291" s="934" t="s">
        <v>147</v>
      </c>
      <c r="E291" s="981" t="s">
        <v>1913</v>
      </c>
      <c r="F291" s="981"/>
      <c r="G291" s="981" t="e">
        <f>+VLOOKUP(Data_Validation!$A290,BV_Data_An_Cour!$L:$Q,6,0)</f>
        <v>#N/A</v>
      </c>
      <c r="H291" s="159"/>
    </row>
    <row r="292" spans="1:8" ht="15" customHeight="1">
      <c r="A292" s="1108">
        <v>5286</v>
      </c>
      <c r="B292" s="165" t="s">
        <v>2663</v>
      </c>
      <c r="C292" s="934" t="s">
        <v>144</v>
      </c>
      <c r="D292" s="934" t="s">
        <v>147</v>
      </c>
      <c r="E292" s="981" t="s">
        <v>1913</v>
      </c>
      <c r="F292" s="981"/>
      <c r="G292" s="981" t="str">
        <f>+VLOOKUP(Data_Validation!$A291,BV_Data_An_Cour!$L:$Q,6,0)</f>
        <v>6-Coût des ventes</v>
      </c>
      <c r="H292" s="159"/>
    </row>
    <row r="293" spans="1:8" ht="15" customHeight="1">
      <c r="A293" s="1101">
        <v>5291</v>
      </c>
      <c r="B293" s="165" t="s">
        <v>1999</v>
      </c>
      <c r="C293" s="934" t="s">
        <v>144</v>
      </c>
      <c r="D293" s="934" t="s">
        <v>150</v>
      </c>
      <c r="E293" s="981" t="s">
        <v>1913</v>
      </c>
      <c r="F293" s="981"/>
      <c r="G293" s="981" t="str">
        <f>+VLOOKUP(Data_Validation!$A292,BV_Data_An_Cour!$L:$Q,6,0)</f>
        <v>6-Coût des ventes</v>
      </c>
      <c r="H293" s="159"/>
    </row>
    <row r="294" spans="1:8" ht="15" customHeight="1">
      <c r="A294" s="1101">
        <v>5401</v>
      </c>
      <c r="B294" s="163" t="s">
        <v>2819</v>
      </c>
      <c r="C294" s="934" t="s">
        <v>155</v>
      </c>
      <c r="D294" s="934" t="s">
        <v>159</v>
      </c>
      <c r="E294" s="981" t="s">
        <v>1913</v>
      </c>
      <c r="F294" s="981"/>
      <c r="G294" s="981" t="str">
        <f>+VLOOKUP(Data_Validation!$A293,BV_Data_An_Cour!$L:$Q,6,0)</f>
        <v>6-Coût des ventes</v>
      </c>
      <c r="H294" s="159"/>
    </row>
    <row r="295" spans="1:8" ht="15" customHeight="1">
      <c r="A295" s="1101">
        <v>5402</v>
      </c>
      <c r="B295" s="165" t="s">
        <v>2557</v>
      </c>
      <c r="C295" s="934" t="s">
        <v>155</v>
      </c>
      <c r="D295" s="934" t="s">
        <v>163</v>
      </c>
      <c r="E295" s="981" t="s">
        <v>1913</v>
      </c>
      <c r="F295" s="981"/>
      <c r="G295" s="981" t="str">
        <f>+VLOOKUP(Data_Validation!$A294,BV_Data_An_Cour!$L:$Q,6,0)</f>
        <v>6-Coût des ventes</v>
      </c>
      <c r="H295" s="159"/>
    </row>
    <row r="296" spans="1:8" ht="15" customHeight="1">
      <c r="A296" s="1101">
        <v>5403</v>
      </c>
      <c r="B296" s="165" t="s">
        <v>2782</v>
      </c>
      <c r="C296" s="934" t="s">
        <v>155</v>
      </c>
      <c r="D296" s="934" t="s">
        <v>161</v>
      </c>
      <c r="E296" s="981" t="s">
        <v>1913</v>
      </c>
      <c r="F296" s="981"/>
      <c r="G296" s="981" t="str">
        <f>+VLOOKUP(Data_Validation!$A295,BV_Data_An_Cour!$L:$Q,6,0)</f>
        <v>6-Coût des ventes</v>
      </c>
      <c r="H296" s="159"/>
    </row>
    <row r="297" spans="1:8" ht="15" customHeight="1">
      <c r="A297" s="1101">
        <v>5405</v>
      </c>
      <c r="B297" s="165" t="s">
        <v>2768</v>
      </c>
      <c r="C297" s="934" t="s">
        <v>155</v>
      </c>
      <c r="D297" s="934" t="s">
        <v>162</v>
      </c>
      <c r="E297" s="981" t="s">
        <v>1913</v>
      </c>
      <c r="F297" s="981"/>
      <c r="G297" s="981" t="str">
        <f>+VLOOKUP(Data_Validation!$A296,BV_Data_An_Cour!$L:$Q,6,0)</f>
        <v>6-Coût des ventes</v>
      </c>
      <c r="H297" s="159"/>
    </row>
    <row r="298" spans="1:8" ht="15" customHeight="1">
      <c r="A298" s="1101">
        <v>5416</v>
      </c>
      <c r="B298" s="165" t="s">
        <v>2716</v>
      </c>
      <c r="C298" s="934" t="s">
        <v>155</v>
      </c>
      <c r="D298" s="934" t="s">
        <v>164</v>
      </c>
      <c r="E298" s="981" t="s">
        <v>1913</v>
      </c>
      <c r="F298" s="981"/>
      <c r="G298" s="981" t="str">
        <f>+VLOOKUP(Data_Validation!$A297,BV_Data_An_Cour!$L:$Q,6,0)</f>
        <v>6-Coût des ventes</v>
      </c>
      <c r="H298" s="159"/>
    </row>
    <row r="299" spans="1:8" ht="15" customHeight="1">
      <c r="A299" s="1101">
        <v>5451</v>
      </c>
      <c r="B299" s="165" t="s">
        <v>2064</v>
      </c>
      <c r="C299" s="934" t="s">
        <v>175</v>
      </c>
      <c r="D299" s="934" t="s">
        <v>187</v>
      </c>
      <c r="E299" s="981" t="s">
        <v>1913</v>
      </c>
      <c r="F299" s="981"/>
      <c r="G299" s="981" t="str">
        <f>+VLOOKUP(Data_Validation!$A298,BV_Data_An_Cour!$L:$Q,6,0)</f>
        <v>6-Coût des ventes</v>
      </c>
      <c r="H299" s="159"/>
    </row>
    <row r="300" spans="1:8" ht="15" customHeight="1">
      <c r="A300" s="1101">
        <v>5491</v>
      </c>
      <c r="B300" s="165" t="s">
        <v>2137</v>
      </c>
      <c r="C300" s="934" t="s">
        <v>155</v>
      </c>
      <c r="D300" s="934" t="s">
        <v>167</v>
      </c>
      <c r="E300" s="981" t="s">
        <v>1913</v>
      </c>
      <c r="F300" s="981"/>
      <c r="G300" s="981" t="str">
        <f>+VLOOKUP(Data_Validation!$A299,BV_Data_An_Cour!$L:$Q,6,0)</f>
        <v>6-Coût des ventes</v>
      </c>
      <c r="H300" s="159"/>
    </row>
    <row r="301" spans="1:8" ht="15" customHeight="1">
      <c r="A301" s="1101">
        <v>5493</v>
      </c>
      <c r="B301" s="163" t="s">
        <v>2678</v>
      </c>
      <c r="C301" s="934" t="s">
        <v>155</v>
      </c>
      <c r="D301" s="934" t="s">
        <v>167</v>
      </c>
      <c r="E301" s="981" t="s">
        <v>1913</v>
      </c>
      <c r="F301" s="984"/>
      <c r="G301" s="984" t="str">
        <f>+VLOOKUP(Data_Validation!$A300,BV_Data_An_Cour!$L:$Q,6,0)</f>
        <v>6-Coût des ventes</v>
      </c>
      <c r="H301" s="159"/>
    </row>
    <row r="302" spans="1:8" ht="15" customHeight="1">
      <c r="A302" s="1101">
        <v>5495</v>
      </c>
      <c r="B302" s="165" t="s">
        <v>2780</v>
      </c>
      <c r="C302" s="934" t="s">
        <v>155</v>
      </c>
      <c r="D302" s="934" t="s">
        <v>167</v>
      </c>
      <c r="E302" s="981" t="s">
        <v>1913</v>
      </c>
      <c r="F302" s="981"/>
      <c r="G302" s="981" t="str">
        <f>+VLOOKUP(Data_Validation!$A301,BV_Data_An_Cour!$L:$Q,6,0)</f>
        <v>6-Coût des ventes</v>
      </c>
      <c r="H302" s="159"/>
    </row>
    <row r="303" spans="1:8" ht="15" customHeight="1">
      <c r="A303" s="1101">
        <v>5591</v>
      </c>
      <c r="B303" s="165" t="s">
        <v>2789</v>
      </c>
      <c r="C303" s="934" t="s">
        <v>171</v>
      </c>
      <c r="D303" s="934" t="s">
        <v>172</v>
      </c>
      <c r="E303" s="981" t="s">
        <v>1913</v>
      </c>
      <c r="F303" s="981"/>
      <c r="G303" s="981" t="str">
        <f>+VLOOKUP(Data_Validation!$A302,BV_Data_An_Cour!$L:$Q,6,0)</f>
        <v>6-Coût des ventes</v>
      </c>
      <c r="H303" s="159"/>
    </row>
    <row r="304" spans="1:8" ht="15" customHeight="1">
      <c r="A304" s="1101">
        <v>5593</v>
      </c>
      <c r="B304" s="165" t="s">
        <v>2799</v>
      </c>
      <c r="C304" s="934" t="s">
        <v>171</v>
      </c>
      <c r="D304" s="934" t="s">
        <v>172</v>
      </c>
      <c r="E304" s="981" t="s">
        <v>1913</v>
      </c>
      <c r="F304" s="981"/>
      <c r="G304" s="981" t="str">
        <f>+VLOOKUP(Data_Validation!$A303,BV_Data_An_Cour!$L:$Q,6,0)</f>
        <v>6-Coût des ventes</v>
      </c>
      <c r="H304" s="159"/>
    </row>
    <row r="305" spans="1:8" s="564" customFormat="1" ht="15" customHeight="1">
      <c r="A305" s="1101">
        <v>5595</v>
      </c>
      <c r="B305" s="165" t="s">
        <v>2758</v>
      </c>
      <c r="C305" s="934" t="s">
        <v>171</v>
      </c>
      <c r="D305" s="934" t="s">
        <v>172</v>
      </c>
      <c r="E305" s="981" t="s">
        <v>1913</v>
      </c>
      <c r="F305" s="981"/>
      <c r="G305" s="981" t="str">
        <f>+VLOOKUP(Data_Validation!$A304,BV_Data_An_Cour!$L:$Q,6,0)</f>
        <v>6-Coût des ventes</v>
      </c>
      <c r="H305" s="159"/>
    </row>
    <row r="306" spans="1:8" ht="15" customHeight="1">
      <c r="A306" s="1101">
        <v>5701</v>
      </c>
      <c r="B306" s="165" t="s">
        <v>2823</v>
      </c>
      <c r="C306" s="934" t="s">
        <v>175</v>
      </c>
      <c r="D306" s="934" t="s">
        <v>177</v>
      </c>
      <c r="E306" s="981" t="s">
        <v>1913</v>
      </c>
      <c r="F306" s="981"/>
      <c r="G306" s="981" t="str">
        <f>+VLOOKUP(Data_Validation!$A305,BV_Data_An_Cour!$L:$Q,6,0)</f>
        <v>6-Coût des ventes</v>
      </c>
      <c r="H306" s="159"/>
    </row>
    <row r="307" spans="1:8" ht="15" customHeight="1">
      <c r="A307" s="1101">
        <v>5702</v>
      </c>
      <c r="B307" s="165" t="s">
        <v>2649</v>
      </c>
      <c r="C307" s="934" t="s">
        <v>155</v>
      </c>
      <c r="D307" s="934" t="s">
        <v>159</v>
      </c>
      <c r="E307" s="981" t="s">
        <v>1913</v>
      </c>
      <c r="F307" s="981"/>
      <c r="G307" s="981" t="str">
        <f>+VLOOKUP(Data_Validation!$A306,BV_Data_An_Cour!$L:$Q,6,0)</f>
        <v>6-Coût des ventes</v>
      </c>
      <c r="H307" s="159"/>
    </row>
    <row r="308" spans="1:8" ht="15" customHeight="1">
      <c r="A308" s="1101">
        <v>5703</v>
      </c>
      <c r="B308" s="163" t="s">
        <v>2805</v>
      </c>
      <c r="C308" s="934" t="s">
        <v>175</v>
      </c>
      <c r="D308" s="934" t="s">
        <v>179</v>
      </c>
      <c r="E308" s="981" t="s">
        <v>1913</v>
      </c>
      <c r="F308" s="981"/>
      <c r="G308" s="981" t="str">
        <f>+VLOOKUP(Data_Validation!$A307,BV_Data_An_Cour!$L:$Q,6,0)</f>
        <v>6-Coût des ventes</v>
      </c>
      <c r="H308" s="159"/>
    </row>
    <row r="309" spans="1:8" ht="15" customHeight="1">
      <c r="A309" s="1101">
        <v>5705</v>
      </c>
      <c r="B309" s="165" t="s">
        <v>2802</v>
      </c>
      <c r="C309" s="934" t="s">
        <v>175</v>
      </c>
      <c r="D309" s="934" t="s">
        <v>180</v>
      </c>
      <c r="E309" s="981" t="s">
        <v>1913</v>
      </c>
      <c r="F309" s="981"/>
      <c r="G309" s="981" t="str">
        <f>+VLOOKUP(Data_Validation!$A308,BV_Data_An_Cour!$L:$Q,6,0)</f>
        <v>6-Coût des ventes</v>
      </c>
      <c r="H309" s="159"/>
    </row>
    <row r="310" spans="1:8" ht="15" customHeight="1">
      <c r="A310" s="1101">
        <v>5706</v>
      </c>
      <c r="B310" s="163" t="s">
        <v>2649</v>
      </c>
      <c r="C310" s="934" t="s">
        <v>155</v>
      </c>
      <c r="D310" s="934" t="s">
        <v>162</v>
      </c>
      <c r="E310" s="981" t="s">
        <v>1913</v>
      </c>
      <c r="F310" s="981"/>
      <c r="G310" s="981" t="str">
        <f>+VLOOKUP(Data_Validation!$A309,BV_Data_An_Cour!$L:$Q,6,0)</f>
        <v>6-Coût des ventes</v>
      </c>
      <c r="H310" s="159"/>
    </row>
    <row r="311" spans="1:8" ht="15" customHeight="1">
      <c r="A311" s="1101">
        <v>5711</v>
      </c>
      <c r="B311" s="165" t="s">
        <v>2451</v>
      </c>
      <c r="C311" s="934" t="s">
        <v>175</v>
      </c>
      <c r="D311" s="934" t="s">
        <v>177</v>
      </c>
      <c r="E311" s="981" t="s">
        <v>1913</v>
      </c>
      <c r="F311" s="981"/>
      <c r="G311" s="981" t="str">
        <f>+VLOOKUP(Data_Validation!$A310,BV_Data_An_Cour!$L:$Q,6,0)</f>
        <v>6-Coût des ventes</v>
      </c>
      <c r="H311" s="159"/>
    </row>
    <row r="312" spans="1:8" ht="15" customHeight="1">
      <c r="A312" s="1101">
        <v>5715</v>
      </c>
      <c r="B312" s="165" t="s">
        <v>2918</v>
      </c>
      <c r="C312" s="934" t="s">
        <v>175</v>
      </c>
      <c r="D312" s="934" t="s">
        <v>180</v>
      </c>
      <c r="E312" s="981" t="s">
        <v>1913</v>
      </c>
      <c r="F312" s="981"/>
      <c r="G312" s="981" t="str">
        <f>+VLOOKUP(Data_Validation!$A311,BV_Data_An_Cour!$L:$Q,6,0)</f>
        <v>6-Coût des ventes</v>
      </c>
      <c r="H312" s="159"/>
    </row>
    <row r="313" spans="1:8" ht="15" customHeight="1">
      <c r="A313" s="1101">
        <v>5721</v>
      </c>
      <c r="B313" s="163" t="s">
        <v>2451</v>
      </c>
      <c r="C313" s="934" t="s">
        <v>175</v>
      </c>
      <c r="D313" s="934" t="s">
        <v>177</v>
      </c>
      <c r="E313" s="981" t="s">
        <v>1913</v>
      </c>
      <c r="F313" s="981"/>
      <c r="G313" s="981" t="e">
        <f>+VLOOKUP(Data_Validation!$A312,BV_Data_An_Cour!$L:$Q,6,0)</f>
        <v>#N/A</v>
      </c>
      <c r="H313" s="159"/>
    </row>
    <row r="314" spans="1:8" ht="15" customHeight="1">
      <c r="A314" s="1101">
        <v>5731</v>
      </c>
      <c r="B314" s="165" t="s">
        <v>2745</v>
      </c>
      <c r="C314" s="934" t="s">
        <v>175</v>
      </c>
      <c r="D314" s="934" t="s">
        <v>178</v>
      </c>
      <c r="E314" s="981" t="s">
        <v>1913</v>
      </c>
      <c r="F314" s="981"/>
      <c r="G314" s="981" t="e">
        <f>+VLOOKUP(Data_Validation!$A313,BV_Data_An_Cour!$L:$Q,6,0)</f>
        <v>#N/A</v>
      </c>
      <c r="H314" s="159"/>
    </row>
    <row r="315" spans="1:8" ht="15" customHeight="1">
      <c r="A315" s="1101">
        <v>5733</v>
      </c>
      <c r="B315" s="163" t="s">
        <v>2778</v>
      </c>
      <c r="C315" s="934" t="s">
        <v>175</v>
      </c>
      <c r="D315" s="934" t="s">
        <v>178</v>
      </c>
      <c r="E315" s="981" t="s">
        <v>1913</v>
      </c>
      <c r="F315" s="981"/>
      <c r="G315" s="981" t="str">
        <f>+VLOOKUP(Data_Validation!$A314,BV_Data_An_Cour!$L:$Q,6,0)</f>
        <v>6-Coût des ventes</v>
      </c>
      <c r="H315" s="159"/>
    </row>
    <row r="316" spans="1:8" ht="15" customHeight="1">
      <c r="A316" s="1101">
        <v>5735</v>
      </c>
      <c r="B316" s="165" t="s">
        <v>2659</v>
      </c>
      <c r="C316" s="934" t="s">
        <v>175</v>
      </c>
      <c r="D316" s="934" t="s">
        <v>178</v>
      </c>
      <c r="E316" s="981" t="s">
        <v>1913</v>
      </c>
      <c r="F316" s="981"/>
      <c r="G316" s="981" t="str">
        <f>+VLOOKUP(Data_Validation!$A315,BV_Data_An_Cour!$L:$Q,6,0)</f>
        <v>6-Coût des ventes</v>
      </c>
      <c r="H316" s="159"/>
    </row>
    <row r="317" spans="1:8" ht="15" customHeight="1">
      <c r="A317" s="1101">
        <v>5761</v>
      </c>
      <c r="B317" s="165" t="s">
        <v>2785</v>
      </c>
      <c r="C317" s="934" t="s">
        <v>175</v>
      </c>
      <c r="D317" s="934" t="s">
        <v>181</v>
      </c>
      <c r="E317" s="981" t="s">
        <v>1913</v>
      </c>
      <c r="F317" s="981"/>
      <c r="G317" s="981" t="str">
        <f>+VLOOKUP(Data_Validation!$A316,BV_Data_An_Cour!$L:$Q,6,0)</f>
        <v>6-Coût des ventes</v>
      </c>
      <c r="H317" s="159"/>
    </row>
    <row r="318" spans="1:8" ht="15" customHeight="1">
      <c r="A318" s="1101">
        <v>5763</v>
      </c>
      <c r="B318" s="165" t="s">
        <v>2807</v>
      </c>
      <c r="C318" s="934" t="s">
        <v>175</v>
      </c>
      <c r="D318" s="934" t="s">
        <v>182</v>
      </c>
      <c r="E318" s="981" t="s">
        <v>1913</v>
      </c>
      <c r="F318" s="981"/>
      <c r="G318" s="981" t="str">
        <f>+VLOOKUP(Data_Validation!$A317,BV_Data_An_Cour!$L:$Q,6,0)</f>
        <v>6-Coût des ventes</v>
      </c>
      <c r="H318" s="159"/>
    </row>
    <row r="319" spans="1:8" ht="15" customHeight="1">
      <c r="A319" s="1101">
        <v>5781</v>
      </c>
      <c r="B319" s="165" t="s">
        <v>2811</v>
      </c>
      <c r="C319" s="934" t="s">
        <v>175</v>
      </c>
      <c r="D319" s="934" t="s">
        <v>186</v>
      </c>
      <c r="E319" s="981" t="s">
        <v>1913</v>
      </c>
      <c r="F319" s="981"/>
      <c r="G319" s="981" t="str">
        <f>+VLOOKUP(Data_Validation!$A318,BV_Data_An_Cour!$L:$Q,6,0)</f>
        <v>6-Coût des ventes</v>
      </c>
      <c r="H319" s="159"/>
    </row>
    <row r="320" spans="1:8" ht="15" customHeight="1">
      <c r="A320" s="1101">
        <v>5785</v>
      </c>
      <c r="B320" s="165" t="s">
        <v>2720</v>
      </c>
      <c r="C320" s="934" t="s">
        <v>175</v>
      </c>
      <c r="D320" s="934" t="s">
        <v>186</v>
      </c>
      <c r="E320" s="981" t="s">
        <v>1913</v>
      </c>
      <c r="F320" s="981"/>
      <c r="G320" s="981" t="str">
        <f>+VLOOKUP(Data_Validation!$A319,BV_Data_An_Cour!$L:$Q,6,0)</f>
        <v>6-Coût des ventes</v>
      </c>
      <c r="H320" s="159"/>
    </row>
    <row r="321" spans="1:8" ht="15" customHeight="1">
      <c r="A321" s="1101">
        <v>5792</v>
      </c>
      <c r="B321" s="163" t="s">
        <v>2453</v>
      </c>
      <c r="C321" s="934" t="s">
        <v>175</v>
      </c>
      <c r="D321" s="934" t="s">
        <v>184</v>
      </c>
      <c r="E321" s="981" t="s">
        <v>1913</v>
      </c>
      <c r="F321" s="981"/>
      <c r="G321" s="981" t="str">
        <f>+VLOOKUP(Data_Validation!$A320,BV_Data_An_Cour!$L:$Q,6,0)</f>
        <v>6-Coût des ventes</v>
      </c>
      <c r="H321" s="159"/>
    </row>
    <row r="322" spans="1:8" ht="15" customHeight="1">
      <c r="A322" s="1101">
        <v>5796</v>
      </c>
      <c r="B322" s="165" t="s">
        <v>2128</v>
      </c>
      <c r="C322" s="934" t="s">
        <v>175</v>
      </c>
      <c r="D322" s="934" t="s">
        <v>183</v>
      </c>
      <c r="E322" s="981" t="s">
        <v>1913</v>
      </c>
      <c r="F322" s="981"/>
      <c r="G322" s="981" t="e">
        <f>+VLOOKUP(Data_Validation!$A321,BV_Data_An_Cour!$L:$Q,6,0)</f>
        <v>#N/A</v>
      </c>
      <c r="H322" s="159"/>
    </row>
    <row r="323" spans="1:8" ht="15" customHeight="1">
      <c r="A323" s="1101">
        <v>6101</v>
      </c>
      <c r="B323" s="165" t="s">
        <v>1520</v>
      </c>
      <c r="C323" s="934" t="s">
        <v>75</v>
      </c>
      <c r="D323" s="934" t="s">
        <v>103</v>
      </c>
      <c r="E323" s="981" t="s">
        <v>1913</v>
      </c>
      <c r="F323" s="981"/>
      <c r="G323" s="981" t="str">
        <f>+VLOOKUP(Data_Validation!$A322,BV_Data_An_Cour!$L:$Q,6,0)</f>
        <v>6-Coût des ventes</v>
      </c>
      <c r="H323" s="159"/>
    </row>
    <row r="324" spans="1:8" ht="15" customHeight="1">
      <c r="A324" s="1101">
        <v>6102</v>
      </c>
      <c r="B324" s="992" t="s">
        <v>1439</v>
      </c>
      <c r="C324" s="993" t="s">
        <v>75</v>
      </c>
      <c r="D324" s="934" t="s">
        <v>104</v>
      </c>
      <c r="E324" s="981" t="s">
        <v>1913</v>
      </c>
      <c r="F324" s="981"/>
      <c r="G324" s="981" t="str">
        <f>+VLOOKUP(Data_Validation!$A323,BV_Data_An_Cour!$L:$Q,6,0)</f>
        <v>7-Dépenses</v>
      </c>
      <c r="H324" s="159"/>
    </row>
    <row r="325" spans="1:8" ht="15" customHeight="1">
      <c r="A325" s="1101">
        <v>6103</v>
      </c>
      <c r="B325" s="992" t="s">
        <v>396</v>
      </c>
      <c r="C325" s="993" t="s">
        <v>75</v>
      </c>
      <c r="D325" s="934" t="s">
        <v>106</v>
      </c>
      <c r="E325" s="981" t="s">
        <v>1913</v>
      </c>
      <c r="F325" s="981"/>
      <c r="G325" s="981" t="str">
        <f>+VLOOKUP(Data_Validation!$A324,BV_Data_An_Cour!$L:$Q,6,0)</f>
        <v>7-Dépenses</v>
      </c>
      <c r="H325" s="159"/>
    </row>
    <row r="326" spans="1:8" ht="15" customHeight="1">
      <c r="A326" s="1101">
        <v>6106</v>
      </c>
      <c r="B326" s="992" t="s">
        <v>2748</v>
      </c>
      <c r="C326" s="993" t="s">
        <v>75</v>
      </c>
      <c r="D326" s="934" t="s">
        <v>107</v>
      </c>
      <c r="E326" s="981" t="s">
        <v>1913</v>
      </c>
      <c r="F326" s="981"/>
      <c r="G326" s="981" t="str">
        <f>+VLOOKUP(Data_Validation!$A325,BV_Data_An_Cour!$L:$Q,6,0)</f>
        <v>7-Dépenses</v>
      </c>
      <c r="H326" s="159"/>
    </row>
    <row r="327" spans="1:8" ht="15" customHeight="1">
      <c r="A327" s="1108">
        <v>6107</v>
      </c>
      <c r="B327" s="997" t="s">
        <v>935</v>
      </c>
      <c r="C327" s="993" t="s">
        <v>75</v>
      </c>
      <c r="D327" s="934" t="s">
        <v>109</v>
      </c>
      <c r="E327" s="981" t="s">
        <v>1913</v>
      </c>
      <c r="F327" s="981"/>
      <c r="G327" s="981" t="str">
        <f>+VLOOKUP(Data_Validation!$A326,BV_Data_An_Cour!$L:$Q,6,0)</f>
        <v>7-Dépenses</v>
      </c>
      <c r="H327" s="159"/>
    </row>
    <row r="328" spans="1:8" ht="15" customHeight="1">
      <c r="A328" s="1101">
        <v>6108</v>
      </c>
      <c r="B328" s="992" t="s">
        <v>1404</v>
      </c>
      <c r="C328" s="993" t="s">
        <v>75</v>
      </c>
      <c r="D328" s="934" t="s">
        <v>105</v>
      </c>
      <c r="E328" s="981" t="s">
        <v>1913</v>
      </c>
      <c r="F328" s="981"/>
      <c r="G328" s="981" t="str">
        <f>+VLOOKUP(Data_Validation!$A327,BV_Data_An_Cour!$L:$Q,6,0)</f>
        <v>7-Dépenses</v>
      </c>
      <c r="H328" s="159"/>
    </row>
    <row r="329" spans="1:8" ht="15" customHeight="1">
      <c r="A329" s="1108">
        <v>6114</v>
      </c>
      <c r="B329" s="163" t="s">
        <v>1371</v>
      </c>
      <c r="C329" s="1381" t="s">
        <v>75</v>
      </c>
      <c r="D329" s="934" t="s">
        <v>108</v>
      </c>
      <c r="E329" s="981" t="s">
        <v>1913</v>
      </c>
      <c r="F329" s="981"/>
      <c r="G329" s="981" t="str">
        <f>+VLOOKUP(Data_Validation!$A328,BV_Data_An_Cour!$L:$Q,6,0)</f>
        <v>7-Dépenses</v>
      </c>
      <c r="H329" s="159"/>
    </row>
    <row r="330" spans="1:8" ht="15" customHeight="1">
      <c r="A330" s="1101">
        <v>6115</v>
      </c>
      <c r="B330" s="165" t="s">
        <v>2104</v>
      </c>
      <c r="C330" s="934" t="s">
        <v>75</v>
      </c>
      <c r="D330" s="934" t="s">
        <v>108</v>
      </c>
      <c r="E330" s="981" t="s">
        <v>1913</v>
      </c>
      <c r="F330" s="981"/>
      <c r="G330" s="981" t="str">
        <f>+VLOOKUP(Data_Validation!$A329,BV_Data_An_Cour!$L:$Q,6,0)</f>
        <v>7-Dépenses</v>
      </c>
      <c r="H330" s="159"/>
    </row>
    <row r="331" spans="1:8" ht="15" customHeight="1">
      <c r="A331" s="1101">
        <v>6121</v>
      </c>
      <c r="B331" s="165" t="s">
        <v>1256</v>
      </c>
      <c r="C331" s="934" t="s">
        <v>75</v>
      </c>
      <c r="D331" s="934" t="s">
        <v>213</v>
      </c>
      <c r="E331" s="981" t="s">
        <v>1913</v>
      </c>
      <c r="F331" s="981"/>
      <c r="G331" s="981" t="str">
        <f>+VLOOKUP(Data_Validation!$A330,BV_Data_An_Cour!$L:$Q,6,0)</f>
        <v>7-Dépenses</v>
      </c>
      <c r="H331" s="159"/>
    </row>
    <row r="332" spans="1:8" ht="15" customHeight="1">
      <c r="A332" s="1108">
        <v>6122</v>
      </c>
      <c r="B332" s="163" t="s">
        <v>2615</v>
      </c>
      <c r="C332" s="934" t="s">
        <v>75</v>
      </c>
      <c r="D332" s="934" t="s">
        <v>112</v>
      </c>
      <c r="E332" s="981" t="s">
        <v>1913</v>
      </c>
      <c r="F332" s="981"/>
      <c r="G332" s="981" t="str">
        <f>+VLOOKUP(Data_Validation!$A331,BV_Data_An_Cour!$L:$Q,6,0)</f>
        <v>7-Dépenses</v>
      </c>
      <c r="H332" s="159"/>
    </row>
    <row r="333" spans="1:8" ht="15" customHeight="1">
      <c r="A333" s="1101">
        <v>6123</v>
      </c>
      <c r="B333" s="165" t="s">
        <v>1339</v>
      </c>
      <c r="C333" s="934" t="s">
        <v>75</v>
      </c>
      <c r="D333" s="934" t="s">
        <v>113</v>
      </c>
      <c r="E333" s="981" t="s">
        <v>1913</v>
      </c>
      <c r="F333" s="981"/>
      <c r="G333" s="981" t="str">
        <f>+VLOOKUP(Data_Validation!$A332,BV_Data_An_Cour!$L:$Q,6,0)</f>
        <v>7-Dépenses</v>
      </c>
      <c r="H333" s="159"/>
    </row>
    <row r="334" spans="1:8" ht="15" customHeight="1">
      <c r="A334" s="1108">
        <v>6124</v>
      </c>
      <c r="B334" s="163" t="s">
        <v>1246</v>
      </c>
      <c r="C334" s="934" t="s">
        <v>75</v>
      </c>
      <c r="D334" s="934" t="s">
        <v>114</v>
      </c>
      <c r="E334" s="981" t="s">
        <v>1913</v>
      </c>
      <c r="F334" s="981"/>
      <c r="G334" s="981" t="str">
        <f>+VLOOKUP(Data_Validation!$A333,BV_Data_An_Cour!$L:$Q,6,0)</f>
        <v>7-Dépenses</v>
      </c>
      <c r="H334" s="159"/>
    </row>
    <row r="335" spans="1:8" ht="15" customHeight="1">
      <c r="A335" s="1101">
        <v>6129</v>
      </c>
      <c r="B335" s="165" t="s">
        <v>1442</v>
      </c>
      <c r="C335" s="934" t="s">
        <v>75</v>
      </c>
      <c r="D335" s="934" t="s">
        <v>116</v>
      </c>
      <c r="E335" s="981" t="s">
        <v>1913</v>
      </c>
      <c r="F335" s="981"/>
      <c r="G335" s="981" t="str">
        <f>+VLOOKUP(Data_Validation!$A334,BV_Data_An_Cour!$L:$Q,6,0)</f>
        <v>7-Dépenses</v>
      </c>
      <c r="H335" s="159"/>
    </row>
    <row r="336" spans="1:8" ht="15" customHeight="1">
      <c r="A336" s="1101">
        <v>6131</v>
      </c>
      <c r="B336" s="165" t="s">
        <v>1249</v>
      </c>
      <c r="C336" s="934" t="s">
        <v>75</v>
      </c>
      <c r="D336" s="934" t="s">
        <v>119</v>
      </c>
      <c r="E336" s="981" t="s">
        <v>1913</v>
      </c>
      <c r="F336" s="981"/>
      <c r="G336" s="981" t="str">
        <f>+VLOOKUP(Data_Validation!$A335,BV_Data_An_Cour!$L:$Q,6,0)</f>
        <v>7-Dépenses</v>
      </c>
      <c r="H336" s="159"/>
    </row>
    <row r="337" spans="1:8" ht="15" customHeight="1">
      <c r="A337" s="1101">
        <v>6132</v>
      </c>
      <c r="B337" s="165" t="s">
        <v>1280</v>
      </c>
      <c r="C337" s="934" t="s">
        <v>75</v>
      </c>
      <c r="D337" s="934" t="s">
        <v>117</v>
      </c>
      <c r="E337" s="981" t="s">
        <v>1913</v>
      </c>
      <c r="F337" s="981"/>
      <c r="G337" s="981" t="str">
        <f>+VLOOKUP(Data_Validation!$A336,BV_Data_An_Cour!$L:$Q,6,0)</f>
        <v>7-Dépenses</v>
      </c>
      <c r="H337" s="159"/>
    </row>
    <row r="338" spans="1:8" ht="15" customHeight="1">
      <c r="A338" s="1108">
        <v>6139</v>
      </c>
      <c r="B338" s="163" t="s">
        <v>1411</v>
      </c>
      <c r="C338" s="934" t="s">
        <v>75</v>
      </c>
      <c r="D338" s="934" t="s">
        <v>118</v>
      </c>
      <c r="E338" s="981" t="s">
        <v>1913</v>
      </c>
      <c r="F338" s="981"/>
      <c r="G338" s="981" t="str">
        <f>+VLOOKUP(Data_Validation!$A337,BV_Data_An_Cour!$L:$Q,6,0)</f>
        <v>7-Dépenses</v>
      </c>
      <c r="H338" s="159"/>
    </row>
    <row r="339" spans="1:8" ht="15" customHeight="1">
      <c r="A339" s="1108">
        <v>6142</v>
      </c>
      <c r="B339" s="163" t="s">
        <v>1154</v>
      </c>
      <c r="C339" s="934" t="s">
        <v>75</v>
      </c>
      <c r="D339" s="934" t="s">
        <v>127</v>
      </c>
      <c r="E339" s="981" t="s">
        <v>1913</v>
      </c>
      <c r="F339" s="981"/>
      <c r="G339" s="981" t="str">
        <f>+VLOOKUP(Data_Validation!$A338,BV_Data_An_Cour!$L:$Q,6,0)</f>
        <v>7-Dépenses</v>
      </c>
      <c r="H339" s="159"/>
    </row>
    <row r="340" spans="1:8" ht="15" customHeight="1">
      <c r="A340" s="1108">
        <v>6143</v>
      </c>
      <c r="B340" s="165" t="s">
        <v>929</v>
      </c>
      <c r="C340" s="934" t="s">
        <v>75</v>
      </c>
      <c r="D340" s="934" t="s">
        <v>128</v>
      </c>
      <c r="E340" s="981" t="s">
        <v>1913</v>
      </c>
      <c r="F340" s="981"/>
      <c r="G340" s="981" t="str">
        <f>+VLOOKUP(Data_Validation!$A339,BV_Data_An_Cour!$L:$Q,6,0)</f>
        <v>7-Dépenses</v>
      </c>
      <c r="H340" s="159"/>
    </row>
    <row r="341" spans="1:8" ht="15" customHeight="1">
      <c r="A341" s="1108">
        <v>6144</v>
      </c>
      <c r="B341" s="165" t="s">
        <v>931</v>
      </c>
      <c r="C341" s="934" t="s">
        <v>75</v>
      </c>
      <c r="D341" s="934" t="s">
        <v>133</v>
      </c>
      <c r="E341" s="981" t="s">
        <v>1913</v>
      </c>
      <c r="F341" s="981"/>
      <c r="G341" s="981" t="e">
        <f>+VLOOKUP(Data_Validation!$A340,BV_Data_An_Cour!$L:$Q,6,0)</f>
        <v>#N/A</v>
      </c>
      <c r="H341" s="159"/>
    </row>
    <row r="342" spans="1:8" ht="15" customHeight="1">
      <c r="A342" s="1101">
        <v>6145</v>
      </c>
      <c r="B342" s="165" t="s">
        <v>1183</v>
      </c>
      <c r="C342" s="934" t="s">
        <v>75</v>
      </c>
      <c r="D342" s="934" t="s">
        <v>123</v>
      </c>
      <c r="E342" s="981" t="s">
        <v>1913</v>
      </c>
      <c r="F342" s="981"/>
      <c r="G342" s="981" t="str">
        <f>+VLOOKUP(Data_Validation!$A341,BV_Data_An_Cour!$L:$Q,6,0)</f>
        <v>7-Dépenses</v>
      </c>
      <c r="H342" s="159"/>
    </row>
    <row r="343" spans="1:8" ht="15" customHeight="1">
      <c r="A343" s="1108">
        <v>6147</v>
      </c>
      <c r="B343" s="163" t="s">
        <v>1177</v>
      </c>
      <c r="C343" s="934" t="s">
        <v>75</v>
      </c>
      <c r="D343" s="934" t="s">
        <v>131</v>
      </c>
      <c r="E343" s="981" t="s">
        <v>1913</v>
      </c>
      <c r="F343" s="981"/>
      <c r="G343" s="981" t="str">
        <f>+VLOOKUP(Data_Validation!$A342,BV_Data_An_Cour!$L:$Q,6,0)</f>
        <v>7-Dépenses</v>
      </c>
      <c r="H343" s="159"/>
    </row>
    <row r="344" spans="1:8" ht="15" customHeight="1">
      <c r="A344" s="1108">
        <v>6151</v>
      </c>
      <c r="B344" s="163" t="s">
        <v>1283</v>
      </c>
      <c r="C344" s="934" t="s">
        <v>75</v>
      </c>
      <c r="D344" s="934" t="s">
        <v>124</v>
      </c>
      <c r="E344" s="981" t="s">
        <v>1913</v>
      </c>
      <c r="F344" s="981"/>
      <c r="G344" s="981" t="str">
        <f>+VLOOKUP(Data_Validation!$A343,BV_Data_An_Cour!$L:$Q,6,0)</f>
        <v>7-Dépenses</v>
      </c>
      <c r="H344" s="159"/>
    </row>
    <row r="345" spans="1:8" ht="15" customHeight="1">
      <c r="A345" s="1101">
        <v>6152</v>
      </c>
      <c r="B345" s="163" t="s">
        <v>1203</v>
      </c>
      <c r="C345" s="934" t="s">
        <v>75</v>
      </c>
      <c r="D345" s="934" t="s">
        <v>129</v>
      </c>
      <c r="E345" s="981" t="s">
        <v>1913</v>
      </c>
      <c r="F345" s="981"/>
      <c r="G345" s="981" t="str">
        <f>+VLOOKUP(Data_Validation!$A344,BV_Data_An_Cour!$L:$Q,6,0)</f>
        <v>7-Dépenses</v>
      </c>
      <c r="H345" s="159"/>
    </row>
    <row r="346" spans="1:8" ht="15" customHeight="1">
      <c r="A346" s="1108">
        <v>6153</v>
      </c>
      <c r="B346" s="163" t="s">
        <v>1151</v>
      </c>
      <c r="C346" s="934" t="s">
        <v>75</v>
      </c>
      <c r="D346" s="934" t="s">
        <v>130</v>
      </c>
      <c r="E346" s="981" t="s">
        <v>1913</v>
      </c>
      <c r="F346" s="981"/>
      <c r="G346" s="981" t="str">
        <f>+VLOOKUP(Data_Validation!$A345,BV_Data_An_Cour!$L:$Q,6,0)</f>
        <v>7-Dépenses</v>
      </c>
      <c r="H346" s="159"/>
    </row>
    <row r="347" spans="1:8" ht="15" customHeight="1">
      <c r="A347" s="1101">
        <v>6155</v>
      </c>
      <c r="B347" s="163" t="s">
        <v>1234</v>
      </c>
      <c r="C347" s="934" t="s">
        <v>75</v>
      </c>
      <c r="D347" s="934" t="s">
        <v>132</v>
      </c>
      <c r="E347" s="981" t="s">
        <v>1913</v>
      </c>
      <c r="F347" s="981"/>
      <c r="G347" s="981" t="str">
        <f>+VLOOKUP(Data_Validation!$A346,BV_Data_An_Cour!$L:$Q,6,0)</f>
        <v>7-Dépenses</v>
      </c>
      <c r="H347" s="159"/>
    </row>
    <row r="348" spans="1:8" ht="15" customHeight="1">
      <c r="A348" s="1108">
        <v>6156</v>
      </c>
      <c r="B348" s="163" t="s">
        <v>1312</v>
      </c>
      <c r="C348" s="934" t="s">
        <v>75</v>
      </c>
      <c r="D348" s="934" t="s">
        <v>125</v>
      </c>
      <c r="E348" s="981" t="s">
        <v>1913</v>
      </c>
      <c r="F348" s="981"/>
      <c r="G348" s="981" t="str">
        <f>+VLOOKUP(Data_Validation!$A347,BV_Data_An_Cour!$L:$Q,6,0)</f>
        <v>7-Dépenses</v>
      </c>
      <c r="H348" s="159"/>
    </row>
    <row r="349" spans="1:8" ht="15" customHeight="1">
      <c r="A349" s="1101">
        <v>6159</v>
      </c>
      <c r="B349" s="165" t="s">
        <v>1305</v>
      </c>
      <c r="C349" s="934" t="s">
        <v>75</v>
      </c>
      <c r="D349" s="934" t="s">
        <v>126</v>
      </c>
      <c r="E349" s="981" t="s">
        <v>1913</v>
      </c>
      <c r="F349" s="981"/>
      <c r="G349" s="981" t="str">
        <f>+VLOOKUP(Data_Validation!$A348,BV_Data_An_Cour!$L:$Q,6,0)</f>
        <v>7-Dépenses</v>
      </c>
      <c r="H349" s="159"/>
    </row>
    <row r="350" spans="1:8" ht="15" customHeight="1">
      <c r="A350" s="1101">
        <v>6161</v>
      </c>
      <c r="B350" s="165" t="s">
        <v>1330</v>
      </c>
      <c r="C350" s="934" t="s">
        <v>75</v>
      </c>
      <c r="D350" s="934" t="s">
        <v>260</v>
      </c>
      <c r="E350" s="981" t="s">
        <v>1913</v>
      </c>
      <c r="F350" s="981"/>
      <c r="G350" s="981" t="str">
        <f>+VLOOKUP(Data_Validation!$A349,BV_Data_An_Cour!$L:$Q,6,0)</f>
        <v>7-Dépenses</v>
      </c>
      <c r="H350" s="159"/>
    </row>
    <row r="351" spans="1:8" s="564" customFormat="1" ht="15" customHeight="1">
      <c r="A351" s="1101">
        <v>6162</v>
      </c>
      <c r="B351" s="165" t="s">
        <v>933</v>
      </c>
      <c r="C351" s="934" t="s">
        <v>75</v>
      </c>
      <c r="D351" s="934" t="s">
        <v>250</v>
      </c>
      <c r="E351" s="981" t="s">
        <v>1913</v>
      </c>
      <c r="F351" s="981"/>
      <c r="G351" s="981" t="str">
        <f>+VLOOKUP(Data_Validation!$A350,BV_Data_An_Cour!$L:$Q,6,0)</f>
        <v>7-Dépenses</v>
      </c>
      <c r="H351" s="159"/>
    </row>
    <row r="352" spans="1:8" s="564" customFormat="1" ht="15" customHeight="1">
      <c r="A352" s="1101">
        <v>6181</v>
      </c>
      <c r="B352" s="165" t="s">
        <v>1329</v>
      </c>
      <c r="C352" s="934" t="s">
        <v>75</v>
      </c>
      <c r="D352" s="934" t="s">
        <v>244</v>
      </c>
      <c r="E352" s="981" t="s">
        <v>1913</v>
      </c>
      <c r="F352" s="981"/>
      <c r="G352" s="981" t="e">
        <f>+VLOOKUP(Data_Validation!$A351,BV_Data_An_Cour!$L:$Q,6,0)</f>
        <v>#N/A</v>
      </c>
      <c r="H352" s="159"/>
    </row>
    <row r="353" spans="1:8" s="564" customFormat="1" ht="15" customHeight="1">
      <c r="A353" s="1108">
        <v>6182</v>
      </c>
      <c r="B353" s="163" t="s">
        <v>1466</v>
      </c>
      <c r="C353" s="934" t="s">
        <v>75</v>
      </c>
      <c r="D353" s="934" t="s">
        <v>235</v>
      </c>
      <c r="E353" s="981" t="s">
        <v>1913</v>
      </c>
      <c r="F353" s="981"/>
      <c r="G353" s="981" t="str">
        <f>+VLOOKUP(Data_Validation!$A352,BV_Data_An_Cour!$L:$Q,6,0)</f>
        <v>7-Dépenses</v>
      </c>
      <c r="H353" s="159"/>
    </row>
    <row r="354" spans="1:8" s="564" customFormat="1" ht="15" customHeight="1">
      <c r="A354" s="1101">
        <v>6186</v>
      </c>
      <c r="B354" s="165" t="s">
        <v>1363</v>
      </c>
      <c r="C354" s="934" t="s">
        <v>75</v>
      </c>
      <c r="D354" s="934" t="s">
        <v>242</v>
      </c>
      <c r="E354" s="981" t="s">
        <v>1913</v>
      </c>
      <c r="F354" s="981"/>
      <c r="G354" s="981" t="str">
        <f>+VLOOKUP(Data_Validation!$A353,BV_Data_An_Cour!$L:$Q,6,0)</f>
        <v>7-Dépenses</v>
      </c>
      <c r="H354" s="159"/>
    </row>
    <row r="355" spans="1:8" s="564" customFormat="1" ht="15" customHeight="1">
      <c r="A355" s="1108">
        <v>6187</v>
      </c>
      <c r="B355" s="163" t="s">
        <v>1359</v>
      </c>
      <c r="C355" s="934" t="s">
        <v>75</v>
      </c>
      <c r="D355" s="934" t="s">
        <v>237</v>
      </c>
      <c r="E355" s="981" t="s">
        <v>1913</v>
      </c>
      <c r="F355" s="981"/>
      <c r="G355" s="981" t="str">
        <f>+VLOOKUP(Data_Validation!$A354,BV_Data_An_Cour!$L:$Q,6,0)</f>
        <v>7-Dépenses</v>
      </c>
      <c r="H355" s="159"/>
    </row>
    <row r="356" spans="1:8" ht="15" customHeight="1">
      <c r="A356" s="1101">
        <v>6193</v>
      </c>
      <c r="B356" s="163" t="s">
        <v>1293</v>
      </c>
      <c r="C356" s="934" t="s">
        <v>75</v>
      </c>
      <c r="D356" s="934" t="s">
        <v>239</v>
      </c>
      <c r="E356" s="981" t="s">
        <v>1913</v>
      </c>
      <c r="F356" s="981"/>
      <c r="G356" s="981" t="str">
        <f>+VLOOKUP(Data_Validation!$A355,BV_Data_An_Cour!$L:$Q,6,0)</f>
        <v>7-Dépenses</v>
      </c>
      <c r="H356" s="159"/>
    </row>
    <row r="357" spans="1:8" ht="15" customHeight="1">
      <c r="A357" s="1108">
        <v>6194</v>
      </c>
      <c r="B357" s="163" t="s">
        <v>1392</v>
      </c>
      <c r="C357" s="934" t="s">
        <v>75</v>
      </c>
      <c r="D357" s="934" t="s">
        <v>246</v>
      </c>
      <c r="E357" s="981" t="s">
        <v>1913</v>
      </c>
      <c r="F357" s="981"/>
      <c r="G357" s="981" t="str">
        <f>+VLOOKUP(Data_Validation!$A356,BV_Data_An_Cour!$L:$Q,6,0)</f>
        <v>7-Dépenses</v>
      </c>
      <c r="H357" s="159"/>
    </row>
    <row r="358" spans="1:8" ht="15" customHeight="1">
      <c r="A358" s="1108">
        <v>6195</v>
      </c>
      <c r="B358" s="163" t="s">
        <v>1894</v>
      </c>
      <c r="C358" s="934" t="s">
        <v>75</v>
      </c>
      <c r="D358" s="934" t="s">
        <v>252</v>
      </c>
      <c r="E358" s="981" t="s">
        <v>1913</v>
      </c>
      <c r="F358" s="981"/>
      <c r="G358" s="981" t="str">
        <f>+VLOOKUP(Data_Validation!$A357,BV_Data_An_Cour!$L:$Q,6,0)</f>
        <v>7-Dépenses</v>
      </c>
      <c r="H358" s="159"/>
    </row>
    <row r="359" spans="1:8" ht="15" customHeight="1">
      <c r="A359" s="1101">
        <v>6201</v>
      </c>
      <c r="B359" s="160" t="s">
        <v>1480</v>
      </c>
      <c r="C359" s="934" t="s">
        <v>144</v>
      </c>
      <c r="D359" s="934" t="s">
        <v>103</v>
      </c>
      <c r="E359" s="981" t="s">
        <v>1913</v>
      </c>
      <c r="F359" s="981"/>
      <c r="G359" s="981" t="str">
        <f>+VLOOKUP(Data_Validation!$A362,BV_Data_An_Cour!$L:$Q,6,0)</f>
        <v>7-Dépenses</v>
      </c>
      <c r="H359" s="159"/>
    </row>
    <row r="360" spans="1:8" ht="15" customHeight="1">
      <c r="A360" s="1101">
        <v>6202</v>
      </c>
      <c r="B360" s="160" t="s">
        <v>1439</v>
      </c>
      <c r="C360" s="934" t="s">
        <v>144</v>
      </c>
      <c r="D360" s="934" t="s">
        <v>104</v>
      </c>
      <c r="E360" s="981" t="s">
        <v>1913</v>
      </c>
      <c r="F360" s="981"/>
      <c r="G360" s="981" t="str">
        <f>+VLOOKUP(Data_Validation!$A363,BV_Data_An_Cour!$L:$Q,6,0)</f>
        <v>7-Dépenses</v>
      </c>
      <c r="H360" s="159"/>
    </row>
    <row r="361" spans="1:8" ht="15" customHeight="1">
      <c r="A361" s="1108">
        <v>6203</v>
      </c>
      <c r="B361" s="163" t="s">
        <v>1227</v>
      </c>
      <c r="C361" s="934" t="s">
        <v>144</v>
      </c>
      <c r="D361" s="934" t="s">
        <v>106</v>
      </c>
      <c r="E361" s="981" t="s">
        <v>1913</v>
      </c>
      <c r="F361" s="981"/>
      <c r="G361" s="981" t="str">
        <f>+VLOOKUP(Data_Validation!$A364,BV_Data_An_Cour!$L:$Q,6,0)</f>
        <v>7-Dépenses</v>
      </c>
      <c r="H361" s="159"/>
    </row>
    <row r="362" spans="1:8" ht="15" customHeight="1">
      <c r="A362" s="1101">
        <v>6206</v>
      </c>
      <c r="B362" s="160" t="s">
        <v>2748</v>
      </c>
      <c r="C362" s="934" t="s">
        <v>144</v>
      </c>
      <c r="D362" s="934" t="s">
        <v>107</v>
      </c>
      <c r="E362" s="981" t="s">
        <v>1913</v>
      </c>
      <c r="F362" s="981"/>
      <c r="G362" s="981" t="str">
        <f>+VLOOKUP(Data_Validation!$A365,BV_Data_An_Cour!$L:$Q,6,0)</f>
        <v>7-Dépenses</v>
      </c>
      <c r="H362" s="159"/>
    </row>
    <row r="363" spans="1:8" ht="15" customHeight="1">
      <c r="A363" s="1108">
        <v>6207</v>
      </c>
      <c r="B363" s="163" t="s">
        <v>935</v>
      </c>
      <c r="C363" s="934" t="s">
        <v>144</v>
      </c>
      <c r="D363" s="934" t="s">
        <v>109</v>
      </c>
      <c r="E363" s="981" t="s">
        <v>1913</v>
      </c>
      <c r="F363" s="981"/>
      <c r="G363" s="981" t="str">
        <f>+VLOOKUP(Data_Validation!$A366,BV_Data_An_Cour!$L:$Q,6,0)</f>
        <v>7-Dépenses</v>
      </c>
      <c r="H363" s="159"/>
    </row>
    <row r="364" spans="1:8" ht="15" customHeight="1">
      <c r="A364" s="1101">
        <v>6208</v>
      </c>
      <c r="B364" s="160" t="s">
        <v>1404</v>
      </c>
      <c r="C364" s="934" t="s">
        <v>144</v>
      </c>
      <c r="D364" s="934" t="s">
        <v>105</v>
      </c>
      <c r="E364" s="981" t="s">
        <v>1913</v>
      </c>
      <c r="F364" s="981"/>
      <c r="G364" s="981" t="str">
        <f>+VLOOKUP(Data_Validation!$A367,BV_Data_An_Cour!$L:$Q,6,0)</f>
        <v>7-Dépenses</v>
      </c>
      <c r="H364" s="159"/>
    </row>
    <row r="365" spans="1:8" ht="15" customHeight="1">
      <c r="A365" s="1101">
        <v>6214</v>
      </c>
      <c r="B365" s="160" t="s">
        <v>1371</v>
      </c>
      <c r="C365" s="934" t="s">
        <v>144</v>
      </c>
      <c r="D365" s="934" t="s">
        <v>108</v>
      </c>
      <c r="E365" s="981" t="s">
        <v>1913</v>
      </c>
      <c r="F365" s="981"/>
      <c r="G365" s="981" t="str">
        <f>+VLOOKUP(Data_Validation!$A368,BV_Data_An_Cour!$L:$Q,6,0)</f>
        <v>7-Dépenses</v>
      </c>
    </row>
    <row r="366" spans="1:8" ht="15" customHeight="1">
      <c r="A366" s="1108">
        <v>6215</v>
      </c>
      <c r="B366" s="163" t="s">
        <v>2141</v>
      </c>
      <c r="C366" s="934" t="s">
        <v>144</v>
      </c>
      <c r="D366" s="934" t="s">
        <v>108</v>
      </c>
      <c r="E366" s="981" t="s">
        <v>1913</v>
      </c>
      <c r="F366" s="981"/>
      <c r="G366" s="981" t="str">
        <f>+VLOOKUP(Data_Validation!$A369,BV_Data_An_Cour!$L:$Q,6,0)</f>
        <v>7-Dépenses</v>
      </c>
    </row>
    <row r="367" spans="1:8" ht="15" customHeight="1">
      <c r="A367" s="1108">
        <v>6221</v>
      </c>
      <c r="B367" s="160" t="s">
        <v>1256</v>
      </c>
      <c r="C367" s="934" t="s">
        <v>144</v>
      </c>
      <c r="D367" s="934" t="s">
        <v>213</v>
      </c>
      <c r="E367" s="981" t="s">
        <v>1913</v>
      </c>
      <c r="F367" s="981"/>
      <c r="G367" s="981" t="str">
        <f>+VLOOKUP(Data_Validation!$A370,BV_Data_An_Cour!$L:$Q,6,0)</f>
        <v>7-Dépenses</v>
      </c>
      <c r="H367" s="159"/>
    </row>
    <row r="368" spans="1:8" ht="15" customHeight="1">
      <c r="A368" s="1101">
        <v>6222</v>
      </c>
      <c r="B368" s="160" t="s">
        <v>2615</v>
      </c>
      <c r="C368" s="934" t="s">
        <v>144</v>
      </c>
      <c r="D368" s="934" t="s">
        <v>112</v>
      </c>
      <c r="E368" s="981" t="s">
        <v>1913</v>
      </c>
      <c r="F368" s="981"/>
      <c r="G368" s="981" t="str">
        <f>+VLOOKUP(Data_Validation!$A371,BV_Data_An_Cour!$L:$Q,6,0)</f>
        <v>7-Dépenses</v>
      </c>
      <c r="H368" s="159"/>
    </row>
    <row r="369" spans="1:8" ht="15" customHeight="1">
      <c r="A369" s="1101">
        <v>6223</v>
      </c>
      <c r="B369" s="160" t="s">
        <v>1339</v>
      </c>
      <c r="C369" s="934" t="s">
        <v>144</v>
      </c>
      <c r="D369" s="934" t="s">
        <v>113</v>
      </c>
      <c r="E369" s="981" t="s">
        <v>1913</v>
      </c>
      <c r="F369" s="981"/>
      <c r="G369" s="981" t="str">
        <f>+VLOOKUP(Data_Validation!$A372,BV_Data_An_Cour!$L:$Q,6,0)</f>
        <v>7-Dépenses</v>
      </c>
      <c r="H369" s="159"/>
    </row>
    <row r="370" spans="1:8" ht="15" customHeight="1">
      <c r="A370" s="1101">
        <v>6224</v>
      </c>
      <c r="B370" s="160" t="s">
        <v>1409</v>
      </c>
      <c r="C370" s="934" t="s">
        <v>144</v>
      </c>
      <c r="D370" s="934" t="s">
        <v>114</v>
      </c>
      <c r="E370" s="981" t="s">
        <v>1913</v>
      </c>
      <c r="F370" s="981"/>
      <c r="G370" s="981" t="str">
        <f>+VLOOKUP(Data_Validation!$A373,BV_Data_An_Cour!$L:$Q,6,0)</f>
        <v>7-Dépenses</v>
      </c>
      <c r="H370" s="159"/>
    </row>
    <row r="371" spans="1:8" ht="15" customHeight="1">
      <c r="A371" s="1101">
        <v>6229</v>
      </c>
      <c r="B371" s="160" t="s">
        <v>1208</v>
      </c>
      <c r="C371" s="934" t="s">
        <v>144</v>
      </c>
      <c r="D371" s="934" t="s">
        <v>116</v>
      </c>
      <c r="E371" s="981" t="s">
        <v>1913</v>
      </c>
      <c r="F371" s="981"/>
      <c r="G371" s="981" t="str">
        <f>+VLOOKUP(Data_Validation!$A374,BV_Data_An_Cour!$L:$Q,6,0)</f>
        <v>7-Dépenses</v>
      </c>
      <c r="H371" s="159"/>
    </row>
    <row r="372" spans="1:8" ht="15" customHeight="1">
      <c r="A372" s="1101">
        <v>6231</v>
      </c>
      <c r="B372" s="160" t="s">
        <v>1249</v>
      </c>
      <c r="C372" s="934" t="s">
        <v>144</v>
      </c>
      <c r="D372" s="934" t="s">
        <v>119</v>
      </c>
      <c r="E372" s="981" t="s">
        <v>1913</v>
      </c>
      <c r="F372" s="981"/>
      <c r="G372" s="981" t="str">
        <f>+VLOOKUP(Data_Validation!$A375,BV_Data_An_Cour!$L:$Q,6,0)</f>
        <v>7-Dépenses</v>
      </c>
      <c r="H372" s="159"/>
    </row>
    <row r="373" spans="1:8" ht="15" customHeight="1">
      <c r="A373" s="1101">
        <v>6232</v>
      </c>
      <c r="B373" s="160" t="s">
        <v>1280</v>
      </c>
      <c r="C373" s="934" t="s">
        <v>144</v>
      </c>
      <c r="D373" s="934" t="s">
        <v>117</v>
      </c>
      <c r="E373" s="981" t="s">
        <v>1913</v>
      </c>
      <c r="F373" s="981"/>
      <c r="G373" s="981" t="e">
        <f>+VLOOKUP(Data_Validation!$A376,BV_Data_An_Cour!$L:$Q,6,0)</f>
        <v>#N/A</v>
      </c>
      <c r="H373" s="159"/>
    </row>
    <row r="374" spans="1:8" ht="15" customHeight="1">
      <c r="A374" s="1101">
        <v>6239</v>
      </c>
      <c r="B374" s="160" t="s">
        <v>1302</v>
      </c>
      <c r="C374" s="934" t="s">
        <v>144</v>
      </c>
      <c r="D374" s="934" t="s">
        <v>118</v>
      </c>
      <c r="E374" s="981" t="s">
        <v>1913</v>
      </c>
      <c r="F374" s="981"/>
      <c r="G374" s="981" t="str">
        <f>+VLOOKUP(Data_Validation!$A377,BV_Data_An_Cour!$L:$Q,6,0)</f>
        <v>7-Dépenses</v>
      </c>
      <c r="H374" s="159"/>
    </row>
    <row r="375" spans="1:8" ht="15" customHeight="1">
      <c r="A375" s="1101">
        <v>6242</v>
      </c>
      <c r="B375" s="160" t="s">
        <v>1154</v>
      </c>
      <c r="C375" s="934" t="s">
        <v>144</v>
      </c>
      <c r="D375" s="934" t="s">
        <v>127</v>
      </c>
      <c r="E375" s="981" t="s">
        <v>1913</v>
      </c>
      <c r="F375" s="981"/>
      <c r="G375" s="981" t="str">
        <f>+VLOOKUP(Data_Validation!$A378,BV_Data_An_Cour!$L:$Q,6,0)</f>
        <v>7-Dépenses</v>
      </c>
      <c r="H375" s="159"/>
    </row>
    <row r="376" spans="1:8" ht="15" customHeight="1">
      <c r="A376" s="1101">
        <v>6243</v>
      </c>
      <c r="B376" s="160" t="s">
        <v>929</v>
      </c>
      <c r="C376" s="934" t="s">
        <v>144</v>
      </c>
      <c r="D376" s="934" t="s">
        <v>128</v>
      </c>
      <c r="E376" s="981" t="s">
        <v>1913</v>
      </c>
      <c r="F376" s="981"/>
      <c r="G376" s="981" t="str">
        <f>+VLOOKUP(Data_Validation!$A379,BV_Data_An_Cour!$L:$Q,6,0)</f>
        <v>7-Dépenses</v>
      </c>
      <c r="H376" s="159"/>
    </row>
    <row r="377" spans="1:8" ht="15" customHeight="1">
      <c r="A377" s="1108">
        <v>6244</v>
      </c>
      <c r="B377" s="163" t="s">
        <v>931</v>
      </c>
      <c r="C377" s="934" t="s">
        <v>144</v>
      </c>
      <c r="D377" s="934" t="s">
        <v>133</v>
      </c>
      <c r="E377" s="981" t="s">
        <v>1913</v>
      </c>
      <c r="F377" s="981"/>
      <c r="G377" s="981" t="str">
        <f>+VLOOKUP(Data_Validation!$A380,BV_Data_An_Cour!$L:$Q,6,0)</f>
        <v>7-Dépenses</v>
      </c>
      <c r="H377" s="159"/>
    </row>
    <row r="378" spans="1:8" ht="15" customHeight="1">
      <c r="A378" s="1101">
        <v>6245</v>
      </c>
      <c r="B378" s="160" t="s">
        <v>1183</v>
      </c>
      <c r="C378" s="934" t="s">
        <v>144</v>
      </c>
      <c r="D378" s="934" t="s">
        <v>123</v>
      </c>
      <c r="E378" s="981" t="s">
        <v>1913</v>
      </c>
      <c r="F378" s="981"/>
      <c r="G378" s="981" t="str">
        <f>+VLOOKUP(Data_Validation!$A381,BV_Data_An_Cour!$L:$Q,6,0)</f>
        <v>7-Dépenses</v>
      </c>
      <c r="H378" s="159"/>
    </row>
    <row r="379" spans="1:8" ht="15" customHeight="1">
      <c r="A379" s="1108">
        <v>6247</v>
      </c>
      <c r="B379" s="163" t="s">
        <v>1177</v>
      </c>
      <c r="C379" s="934" t="s">
        <v>144</v>
      </c>
      <c r="D379" s="934" t="s">
        <v>131</v>
      </c>
      <c r="E379" s="981" t="s">
        <v>1913</v>
      </c>
      <c r="F379" s="984"/>
      <c r="G379" s="984" t="str">
        <f>+VLOOKUP(Data_Validation!$A382,BV_Data_An_Cour!$L:$Q,6,0)</f>
        <v>7-Dépenses</v>
      </c>
      <c r="H379" s="159"/>
    </row>
    <row r="380" spans="1:8" ht="15" customHeight="1">
      <c r="A380" s="1101">
        <v>6251</v>
      </c>
      <c r="B380" s="160" t="s">
        <v>1283</v>
      </c>
      <c r="C380" s="934" t="s">
        <v>144</v>
      </c>
      <c r="D380" s="934" t="s">
        <v>124</v>
      </c>
      <c r="E380" s="981" t="s">
        <v>1913</v>
      </c>
      <c r="F380" s="981"/>
      <c r="G380" s="981" t="str">
        <f>+VLOOKUP(Data_Validation!$A383,BV_Data_An_Cour!$L:$Q,6,0)</f>
        <v>7-Dépenses</v>
      </c>
      <c r="H380" s="159"/>
    </row>
    <row r="381" spans="1:8" ht="15" customHeight="1">
      <c r="A381" s="1108">
        <v>6252</v>
      </c>
      <c r="B381" s="163" t="s">
        <v>1203</v>
      </c>
      <c r="C381" s="934" t="s">
        <v>144</v>
      </c>
      <c r="D381" s="934" t="s">
        <v>129</v>
      </c>
      <c r="E381" s="981" t="s">
        <v>1913</v>
      </c>
      <c r="F381" s="981"/>
      <c r="G381" s="981" t="str">
        <f>+VLOOKUP(Data_Validation!$A384,BV_Data_An_Cour!$L:$Q,6,0)</f>
        <v>7-Dépenses</v>
      </c>
      <c r="H381" s="159"/>
    </row>
    <row r="382" spans="1:8" ht="15" customHeight="1">
      <c r="A382" s="1101">
        <v>6253</v>
      </c>
      <c r="B382" s="160" t="s">
        <v>1151</v>
      </c>
      <c r="C382" s="934" t="s">
        <v>144</v>
      </c>
      <c r="D382" s="934" t="s">
        <v>130</v>
      </c>
      <c r="E382" s="981" t="s">
        <v>1913</v>
      </c>
      <c r="F382" s="981"/>
      <c r="G382" s="981" t="str">
        <f>+VLOOKUP(Data_Validation!$A385,BV_Data_An_Cour!$L:$Q,6,0)</f>
        <v>7-Dépenses</v>
      </c>
      <c r="H382" s="159"/>
    </row>
    <row r="383" spans="1:8" ht="15" customHeight="1">
      <c r="A383" s="1101">
        <v>6255</v>
      </c>
      <c r="B383" s="163" t="s">
        <v>1234</v>
      </c>
      <c r="C383" s="934" t="s">
        <v>144</v>
      </c>
      <c r="D383" s="934" t="s">
        <v>132</v>
      </c>
      <c r="E383" s="981" t="s">
        <v>1913</v>
      </c>
      <c r="F383" s="981"/>
      <c r="G383" s="981" t="str">
        <f>+VLOOKUP(Data_Validation!$A386,BV_Data_An_Cour!$L:$Q,6,0)</f>
        <v>7-Dépenses</v>
      </c>
      <c r="H383" s="159"/>
    </row>
    <row r="384" spans="1:8" ht="15" customHeight="1">
      <c r="A384" s="1101">
        <v>6256</v>
      </c>
      <c r="B384" s="160" t="s">
        <v>1244</v>
      </c>
      <c r="C384" s="934" t="s">
        <v>144</v>
      </c>
      <c r="D384" s="934" t="s">
        <v>125</v>
      </c>
      <c r="E384" s="981" t="s">
        <v>1913</v>
      </c>
      <c r="F384" s="981"/>
      <c r="G384" s="981" t="e">
        <f>+VLOOKUP(Data_Validation!$A387,BV_Data_An_Cour!$L:$Q,6,0)</f>
        <v>#N/A</v>
      </c>
      <c r="H384" s="159"/>
    </row>
    <row r="385" spans="1:12" ht="15" customHeight="1">
      <c r="A385" s="1101">
        <v>6259</v>
      </c>
      <c r="B385" s="163" t="s">
        <v>1305</v>
      </c>
      <c r="C385" s="934" t="s">
        <v>144</v>
      </c>
      <c r="D385" s="934" t="s">
        <v>126</v>
      </c>
      <c r="E385" s="981" t="s">
        <v>1913</v>
      </c>
      <c r="F385" s="984"/>
      <c r="G385" s="984" t="str">
        <f>+VLOOKUP(Data_Validation!$A388,BV_Data_An_Cour!$L:$Q,6,0)</f>
        <v>7-Dépenses</v>
      </c>
      <c r="H385" s="159"/>
    </row>
    <row r="386" spans="1:12" ht="15" customHeight="1">
      <c r="A386" s="1101">
        <v>6261</v>
      </c>
      <c r="B386" s="160" t="s">
        <v>1330</v>
      </c>
      <c r="C386" s="934" t="s">
        <v>144</v>
      </c>
      <c r="D386" s="934" t="s">
        <v>260</v>
      </c>
      <c r="E386" s="981" t="s">
        <v>1913</v>
      </c>
      <c r="F386" s="981"/>
      <c r="G386" s="981" t="str">
        <f>+VLOOKUP(Data_Validation!$A389,BV_Data_An_Cour!$L:$Q,6,0)</f>
        <v>7-Dépenses</v>
      </c>
      <c r="H386" s="159"/>
    </row>
    <row r="387" spans="1:12" ht="15" customHeight="1">
      <c r="A387" s="1101">
        <v>6262</v>
      </c>
      <c r="B387" s="160" t="s">
        <v>933</v>
      </c>
      <c r="C387" s="934" t="s">
        <v>144</v>
      </c>
      <c r="D387" s="934" t="s">
        <v>250</v>
      </c>
      <c r="E387" s="981" t="s">
        <v>1913</v>
      </c>
      <c r="F387" s="981"/>
      <c r="G387" s="981" t="str">
        <f>+VLOOKUP(Data_Validation!$A390,BV_Data_An_Cour!$L:$Q,6,0)</f>
        <v>7-Dépenses</v>
      </c>
      <c r="H387" s="159"/>
    </row>
    <row r="388" spans="1:12" ht="15" customHeight="1">
      <c r="A388" s="1101">
        <v>6281</v>
      </c>
      <c r="B388" s="163" t="s">
        <v>1377</v>
      </c>
      <c r="C388" s="934" t="s">
        <v>144</v>
      </c>
      <c r="D388" s="934" t="s">
        <v>244</v>
      </c>
      <c r="E388" s="981" t="s">
        <v>1913</v>
      </c>
      <c r="F388" s="981"/>
      <c r="G388" s="981" t="str">
        <f>+VLOOKUP(Data_Validation!$A391,BV_Data_An_Cour!$L:$Q,6,0)</f>
        <v>7-Dépenses</v>
      </c>
      <c r="H388" s="159"/>
    </row>
    <row r="389" spans="1:12" ht="15" customHeight="1">
      <c r="A389" s="1101">
        <v>6282</v>
      </c>
      <c r="B389" s="160" t="s">
        <v>1459</v>
      </c>
      <c r="C389" s="934" t="s">
        <v>144</v>
      </c>
      <c r="D389" s="934" t="s">
        <v>235</v>
      </c>
      <c r="E389" s="981" t="s">
        <v>1913</v>
      </c>
      <c r="F389" s="981"/>
      <c r="G389" s="981" t="str">
        <f>+VLOOKUP(Data_Validation!$A392,BV_Data_An_Cour!$L:$Q,6,0)</f>
        <v>7-Dépenses</v>
      </c>
      <c r="H389" s="159"/>
    </row>
    <row r="390" spans="1:12" ht="15" customHeight="1">
      <c r="A390" s="1101">
        <v>6286</v>
      </c>
      <c r="B390" s="160" t="s">
        <v>1287</v>
      </c>
      <c r="C390" s="934" t="s">
        <v>144</v>
      </c>
      <c r="D390" s="934" t="s">
        <v>242</v>
      </c>
      <c r="E390" s="981" t="s">
        <v>1913</v>
      </c>
      <c r="F390" s="981"/>
      <c r="G390" s="981" t="str">
        <f>+VLOOKUP(Data_Validation!$A393,BV_Data_An_Cour!$L:$Q,6,0)</f>
        <v>7-Dépenses</v>
      </c>
      <c r="H390" s="159"/>
    </row>
    <row r="391" spans="1:12" ht="15" customHeight="1">
      <c r="A391" s="1101">
        <v>6287</v>
      </c>
      <c r="B391" s="163" t="s">
        <v>1200</v>
      </c>
      <c r="C391" s="934" t="s">
        <v>144</v>
      </c>
      <c r="D391" s="934" t="s">
        <v>237</v>
      </c>
      <c r="E391" s="981" t="s">
        <v>1913</v>
      </c>
      <c r="F391" s="981"/>
      <c r="G391" s="981" t="e">
        <f>+VLOOKUP(Data_Validation!$A394,BV_Data_An_Cour!$L:$Q,6,0)</f>
        <v>#N/A</v>
      </c>
      <c r="H391" s="159"/>
    </row>
    <row r="392" spans="1:12" ht="15" customHeight="1">
      <c r="A392" s="1101">
        <v>6293</v>
      </c>
      <c r="B392" s="160" t="s">
        <v>1390</v>
      </c>
      <c r="C392" s="934" t="s">
        <v>144</v>
      </c>
      <c r="D392" s="934" t="s">
        <v>239</v>
      </c>
      <c r="E392" s="981" t="s">
        <v>1913</v>
      </c>
      <c r="F392" s="981"/>
      <c r="G392" s="981" t="str">
        <f>+VLOOKUP(Data_Validation!$A395,BV_Data_An_Cour!$L:$Q,6,0)</f>
        <v>7-Dépenses</v>
      </c>
      <c r="H392" s="159"/>
    </row>
    <row r="393" spans="1:12" ht="15" customHeight="1">
      <c r="A393" s="1101">
        <v>6294</v>
      </c>
      <c r="B393" s="163" t="s">
        <v>1315</v>
      </c>
      <c r="C393" s="934" t="s">
        <v>144</v>
      </c>
      <c r="D393" s="934" t="s">
        <v>246</v>
      </c>
      <c r="E393" s="981" t="s">
        <v>1913</v>
      </c>
      <c r="F393" s="981"/>
      <c r="G393" s="981" t="str">
        <f>+VLOOKUP(Data_Validation!$A396,BV_Data_An_Cour!$L:$Q,6,0)</f>
        <v>7-Dépenses</v>
      </c>
      <c r="H393" s="159"/>
    </row>
    <row r="394" spans="1:12" ht="15" customHeight="1">
      <c r="A394" s="1108">
        <v>6295</v>
      </c>
      <c r="B394" s="163" t="s">
        <v>1896</v>
      </c>
      <c r="C394" s="934" t="s">
        <v>144</v>
      </c>
      <c r="D394" s="934" t="s">
        <v>252</v>
      </c>
      <c r="E394" s="981" t="s">
        <v>1913</v>
      </c>
      <c r="F394" s="981"/>
      <c r="G394" s="981" t="e">
        <f>+VLOOKUP(Data_Validation!$A358,BV_Data_An_Cour!$L:$Q,6,0)</f>
        <v>#N/A</v>
      </c>
      <c r="H394" s="159"/>
      <c r="L394" s="2"/>
    </row>
    <row r="395" spans="1:12" ht="15" customHeight="1">
      <c r="A395" s="1101">
        <v>6403</v>
      </c>
      <c r="B395" s="160" t="s">
        <v>1400</v>
      </c>
      <c r="C395" s="934" t="s">
        <v>155</v>
      </c>
      <c r="D395" s="934" t="s">
        <v>122</v>
      </c>
      <c r="E395" s="981" t="s">
        <v>1913</v>
      </c>
      <c r="F395" s="981"/>
      <c r="G395" s="981" t="str">
        <f>+VLOOKUP(Data_Validation!$A397,BV_Data_An_Cour!$L:$Q,6,0)</f>
        <v>7-Dépenses</v>
      </c>
      <c r="H395" s="159"/>
    </row>
    <row r="396" spans="1:12" ht="15" customHeight="1">
      <c r="A396" s="1108">
        <v>6412</v>
      </c>
      <c r="B396" s="163" t="s">
        <v>1447</v>
      </c>
      <c r="C396" s="934" t="s">
        <v>155</v>
      </c>
      <c r="D396" s="934" t="s">
        <v>122</v>
      </c>
      <c r="E396" s="981" t="s">
        <v>1913</v>
      </c>
      <c r="F396" s="981"/>
      <c r="G396" s="981" t="str">
        <f>+VLOOKUP(Data_Validation!$A398,BV_Data_An_Cour!$L:$Q,6,0)</f>
        <v>7-Dépenses</v>
      </c>
      <c r="H396" s="159"/>
    </row>
    <row r="397" spans="1:12" ht="15" customHeight="1">
      <c r="A397" s="1101">
        <v>6414</v>
      </c>
      <c r="B397" s="160" t="s">
        <v>1371</v>
      </c>
      <c r="C397" s="934" t="s">
        <v>155</v>
      </c>
      <c r="D397" s="934" t="s">
        <v>121</v>
      </c>
      <c r="E397" s="981" t="s">
        <v>1913</v>
      </c>
      <c r="F397" s="981"/>
      <c r="G397" s="981" t="str">
        <f>+VLOOKUP(Data_Validation!$A399,BV_Data_An_Cour!$L:$Q,6,0)</f>
        <v>7-Dépenses</v>
      </c>
      <c r="H397" s="159"/>
    </row>
    <row r="398" spans="1:12" ht="15" customHeight="1">
      <c r="A398" s="1108">
        <v>6421</v>
      </c>
      <c r="B398" s="163" t="s">
        <v>1256</v>
      </c>
      <c r="C398" s="934" t="s">
        <v>155</v>
      </c>
      <c r="D398" s="934" t="s">
        <v>213</v>
      </c>
      <c r="E398" s="981" t="s">
        <v>1913</v>
      </c>
      <c r="F398" s="981"/>
      <c r="G398" s="981" t="str">
        <f>+VLOOKUP(Data_Validation!$A400,BV_Data_An_Cour!$L:$Q,6,0)</f>
        <v>7-Dépenses</v>
      </c>
      <c r="H398" s="159"/>
    </row>
    <row r="399" spans="1:12" ht="15" customHeight="1">
      <c r="A399" s="1101">
        <v>6422</v>
      </c>
      <c r="B399" s="160" t="s">
        <v>2615</v>
      </c>
      <c r="C399" s="934" t="s">
        <v>155</v>
      </c>
      <c r="D399" s="934" t="s">
        <v>112</v>
      </c>
      <c r="E399" s="981" t="s">
        <v>1913</v>
      </c>
      <c r="F399" s="981"/>
      <c r="G399" s="981" t="str">
        <f>+VLOOKUP(Data_Validation!$A401,BV_Data_An_Cour!$L:$Q,6,0)</f>
        <v>7-Dépenses</v>
      </c>
      <c r="H399" s="159"/>
    </row>
    <row r="400" spans="1:12" ht="15" customHeight="1">
      <c r="A400" s="1108">
        <v>6423</v>
      </c>
      <c r="B400" s="163" t="s">
        <v>1263</v>
      </c>
      <c r="C400" s="934" t="s">
        <v>155</v>
      </c>
      <c r="D400" s="934" t="s">
        <v>113</v>
      </c>
      <c r="E400" s="981" t="s">
        <v>1913</v>
      </c>
      <c r="F400" s="981"/>
      <c r="G400" s="981" t="str">
        <f>+VLOOKUP(Data_Validation!$A402,BV_Data_An_Cour!$L:$Q,6,0)</f>
        <v>7-Dépenses</v>
      </c>
      <c r="H400" s="159"/>
    </row>
    <row r="401" spans="1:8" ht="15" customHeight="1">
      <c r="A401" s="1101">
        <v>6424</v>
      </c>
      <c r="B401" s="160" t="s">
        <v>1246</v>
      </c>
      <c r="C401" s="934" t="s">
        <v>155</v>
      </c>
      <c r="D401" s="934" t="s">
        <v>114</v>
      </c>
      <c r="E401" s="981" t="s">
        <v>1913</v>
      </c>
      <c r="F401" s="981"/>
      <c r="G401" s="981" t="str">
        <f>+VLOOKUP(Data_Validation!$A403,BV_Data_An_Cour!$L:$Q,6,0)</f>
        <v>7-Dépenses</v>
      </c>
      <c r="H401" s="159"/>
    </row>
    <row r="402" spans="1:8" ht="15" customHeight="1">
      <c r="A402" s="1108">
        <v>6425</v>
      </c>
      <c r="B402" s="163" t="s">
        <v>1327</v>
      </c>
      <c r="C402" s="934" t="s">
        <v>155</v>
      </c>
      <c r="D402" s="934" t="s">
        <v>115</v>
      </c>
      <c r="E402" s="981" t="s">
        <v>1913</v>
      </c>
      <c r="F402" s="981"/>
      <c r="G402" s="981" t="str">
        <f>+VLOOKUP(Data_Validation!$A404,BV_Data_An_Cour!$L:$Q,6,0)</f>
        <v>7-Dépenses</v>
      </c>
      <c r="H402" s="159"/>
    </row>
    <row r="403" spans="1:8" ht="15" customHeight="1">
      <c r="A403" s="1101">
        <v>6429</v>
      </c>
      <c r="B403" s="160" t="s">
        <v>1445</v>
      </c>
      <c r="C403" s="934" t="s">
        <v>155</v>
      </c>
      <c r="D403" s="934" t="s">
        <v>116</v>
      </c>
      <c r="E403" s="981" t="s">
        <v>1913</v>
      </c>
      <c r="F403" s="981"/>
      <c r="G403" s="981" t="str">
        <f>+VLOOKUP(Data_Validation!$A405,BV_Data_An_Cour!$L:$Q,6,0)</f>
        <v>7-Dépenses</v>
      </c>
      <c r="H403" s="159"/>
    </row>
    <row r="404" spans="1:8" ht="15" customHeight="1">
      <c r="A404" s="1108">
        <v>6431</v>
      </c>
      <c r="B404" s="163" t="s">
        <v>1249</v>
      </c>
      <c r="C404" s="934" t="s">
        <v>155</v>
      </c>
      <c r="D404" s="934" t="s">
        <v>119</v>
      </c>
      <c r="E404" s="981" t="s">
        <v>1913</v>
      </c>
      <c r="F404" s="981"/>
      <c r="G404" s="981" t="str">
        <f>+VLOOKUP(Data_Validation!$A406,BV_Data_An_Cour!$L:$Q,6,0)</f>
        <v>7-Dépenses</v>
      </c>
      <c r="H404" s="159"/>
    </row>
    <row r="405" spans="1:8" ht="15" customHeight="1">
      <c r="A405" s="1101">
        <v>6432</v>
      </c>
      <c r="B405" s="160" t="s">
        <v>1280</v>
      </c>
      <c r="C405" s="934" t="s">
        <v>155</v>
      </c>
      <c r="D405" s="934" t="s">
        <v>117</v>
      </c>
      <c r="E405" s="981" t="s">
        <v>1913</v>
      </c>
      <c r="F405" s="981"/>
      <c r="G405" s="981" t="str">
        <f>+VLOOKUP(Data_Validation!$A407,BV_Data_An_Cour!$L:$Q,6,0)</f>
        <v>7-Dépenses</v>
      </c>
      <c r="H405" s="159"/>
    </row>
    <row r="406" spans="1:8" ht="15" customHeight="1">
      <c r="A406" s="1108">
        <v>6433</v>
      </c>
      <c r="B406" s="163" t="s">
        <v>1217</v>
      </c>
      <c r="C406" s="934" t="s">
        <v>155</v>
      </c>
      <c r="D406" s="934" t="s">
        <v>118</v>
      </c>
      <c r="E406" s="981" t="s">
        <v>1913</v>
      </c>
      <c r="F406" s="981"/>
      <c r="G406" s="981" t="str">
        <f>+VLOOKUP(Data_Validation!$A408,BV_Data_An_Cour!$L:$Q,6,0)</f>
        <v>7-Dépenses</v>
      </c>
      <c r="H406" s="159"/>
    </row>
    <row r="407" spans="1:8" ht="15" customHeight="1">
      <c r="A407" s="1101">
        <v>6439</v>
      </c>
      <c r="B407" s="160" t="s">
        <v>1302</v>
      </c>
      <c r="C407" s="934" t="s">
        <v>155</v>
      </c>
      <c r="D407" s="934" t="s">
        <v>118</v>
      </c>
      <c r="E407" s="981" t="s">
        <v>1913</v>
      </c>
      <c r="F407" s="981"/>
      <c r="G407" s="981" t="str">
        <f>+VLOOKUP(Data_Validation!$A409,BV_Data_An_Cour!$L:$Q,6,0)</f>
        <v>7-Dépenses</v>
      </c>
      <c r="H407" s="159"/>
    </row>
    <row r="408" spans="1:8" ht="15" customHeight="1">
      <c r="A408" s="1101">
        <v>6441</v>
      </c>
      <c r="B408" s="160" t="s">
        <v>1175</v>
      </c>
      <c r="C408" s="934" t="s">
        <v>155</v>
      </c>
      <c r="D408" s="934" t="s">
        <v>122</v>
      </c>
      <c r="E408" s="981" t="s">
        <v>1913</v>
      </c>
      <c r="F408" s="981"/>
      <c r="G408" s="981" t="str">
        <f>+VLOOKUP(Data_Validation!$A410,BV_Data_An_Cour!$L:$Q,6,0)</f>
        <v>7-Dépenses</v>
      </c>
      <c r="H408" s="159"/>
    </row>
    <row r="409" spans="1:8" ht="15" customHeight="1">
      <c r="A409" s="1101">
        <v>6442</v>
      </c>
      <c r="B409" s="160" t="s">
        <v>1154</v>
      </c>
      <c r="C409" s="934" t="s">
        <v>155</v>
      </c>
      <c r="D409" s="934" t="s">
        <v>127</v>
      </c>
      <c r="E409" s="981" t="s">
        <v>1913</v>
      </c>
      <c r="F409" s="981"/>
      <c r="G409" s="981" t="str">
        <f>+VLOOKUP(Data_Validation!$A411,BV_Data_An_Cour!$L:$Q,6,0)</f>
        <v>7-Dépenses</v>
      </c>
      <c r="H409" s="159"/>
    </row>
    <row r="410" spans="1:8" ht="15" customHeight="1">
      <c r="A410" s="1108">
        <v>6443</v>
      </c>
      <c r="B410" s="163" t="s">
        <v>929</v>
      </c>
      <c r="C410" s="934" t="s">
        <v>155</v>
      </c>
      <c r="D410" s="934" t="s">
        <v>128</v>
      </c>
      <c r="E410" s="981" t="s">
        <v>1913</v>
      </c>
      <c r="F410" s="981"/>
      <c r="G410" s="981" t="str">
        <f>+VLOOKUP(Data_Validation!$A412,BV_Data_An_Cour!$L:$Q,6,0)</f>
        <v>7-Dépenses</v>
      </c>
      <c r="H410" s="159"/>
    </row>
    <row r="411" spans="1:8" ht="15" customHeight="1">
      <c r="A411" s="1101">
        <v>6444</v>
      </c>
      <c r="B411" s="160" t="s">
        <v>931</v>
      </c>
      <c r="C411" s="934" t="s">
        <v>155</v>
      </c>
      <c r="D411" s="934" t="s">
        <v>133</v>
      </c>
      <c r="E411" s="981" t="s">
        <v>1913</v>
      </c>
      <c r="F411" s="981"/>
      <c r="G411" s="981" t="str">
        <f>+VLOOKUP(Data_Validation!$A413,BV_Data_An_Cour!$L:$Q,6,0)</f>
        <v>7-Dépenses</v>
      </c>
      <c r="H411" s="159"/>
    </row>
    <row r="412" spans="1:8" ht="15" customHeight="1">
      <c r="A412" s="1108">
        <v>6445</v>
      </c>
      <c r="B412" s="163" t="s">
        <v>1524</v>
      </c>
      <c r="C412" s="934" t="s">
        <v>155</v>
      </c>
      <c r="D412" s="934" t="s">
        <v>123</v>
      </c>
      <c r="E412" s="981" t="s">
        <v>1913</v>
      </c>
      <c r="F412" s="981"/>
      <c r="G412" s="981" t="str">
        <f>+VLOOKUP(Data_Validation!$A414,BV_Data_An_Cour!$L:$Q,6,0)</f>
        <v>7-Dépenses</v>
      </c>
      <c r="H412" s="159"/>
    </row>
    <row r="413" spans="1:8" ht="15" customHeight="1">
      <c r="A413" s="1101">
        <v>6447</v>
      </c>
      <c r="B413" s="160" t="s">
        <v>1177</v>
      </c>
      <c r="C413" s="934" t="s">
        <v>155</v>
      </c>
      <c r="D413" s="934" t="s">
        <v>131</v>
      </c>
      <c r="E413" s="981" t="s">
        <v>1913</v>
      </c>
      <c r="F413" s="981"/>
      <c r="G413" s="981" t="str">
        <f>+VLOOKUP(Data_Validation!$A415,BV_Data_An_Cour!$L:$Q,6,0)</f>
        <v>7-Dépenses</v>
      </c>
      <c r="H413" s="159"/>
    </row>
    <row r="414" spans="1:8" ht="15" customHeight="1">
      <c r="A414" s="1108">
        <v>6451</v>
      </c>
      <c r="B414" s="163" t="s">
        <v>1283</v>
      </c>
      <c r="C414" s="934" t="s">
        <v>155</v>
      </c>
      <c r="D414" s="934" t="s">
        <v>124</v>
      </c>
      <c r="E414" s="981" t="s">
        <v>1913</v>
      </c>
      <c r="F414" s="981"/>
      <c r="G414" s="981" t="str">
        <f>+VLOOKUP(Data_Validation!$A416,BV_Data_An_Cour!$L:$Q,6,0)</f>
        <v>7-Dépenses</v>
      </c>
      <c r="H414" s="159"/>
    </row>
    <row r="415" spans="1:8" ht="15" customHeight="1">
      <c r="A415" s="1101">
        <v>6452</v>
      </c>
      <c r="B415" s="160" t="s">
        <v>1203</v>
      </c>
      <c r="C415" s="934" t="s">
        <v>155</v>
      </c>
      <c r="D415" s="934" t="s">
        <v>129</v>
      </c>
      <c r="E415" s="981" t="s">
        <v>1913</v>
      </c>
      <c r="F415" s="981"/>
      <c r="G415" s="981" t="str">
        <f>+VLOOKUP(Data_Validation!$A417,BV_Data_An_Cour!$L:$Q,6,0)</f>
        <v>7-Dépenses</v>
      </c>
      <c r="H415" s="159"/>
    </row>
    <row r="416" spans="1:8" ht="15" customHeight="1">
      <c r="A416" s="1108">
        <v>6453</v>
      </c>
      <c r="B416" s="163" t="s">
        <v>1151</v>
      </c>
      <c r="C416" s="934" t="s">
        <v>155</v>
      </c>
      <c r="D416" s="934" t="s">
        <v>130</v>
      </c>
      <c r="E416" s="981" t="s">
        <v>1913</v>
      </c>
      <c r="F416" s="981"/>
      <c r="G416" s="981" t="str">
        <f>+VLOOKUP(Data_Validation!$A418,BV_Data_An_Cour!$L:$Q,6,0)</f>
        <v>7-Dépenses</v>
      </c>
      <c r="H416" s="159"/>
    </row>
    <row r="417" spans="1:8" ht="15" customHeight="1">
      <c r="A417" s="1101">
        <v>6455</v>
      </c>
      <c r="B417" s="160" t="s">
        <v>1234</v>
      </c>
      <c r="C417" s="934" t="s">
        <v>155</v>
      </c>
      <c r="D417" s="934" t="s">
        <v>132</v>
      </c>
      <c r="E417" s="981" t="s">
        <v>1913</v>
      </c>
      <c r="F417" s="981"/>
      <c r="G417" s="981" t="str">
        <f>+VLOOKUP(Data_Validation!$A419,BV_Data_An_Cour!$L:$Q,6,0)</f>
        <v>7-Dépenses</v>
      </c>
      <c r="H417" s="159"/>
    </row>
    <row r="418" spans="1:8" ht="15" customHeight="1">
      <c r="A418" s="1101">
        <v>6456</v>
      </c>
      <c r="B418" s="160" t="s">
        <v>1289</v>
      </c>
      <c r="C418" s="934" t="s">
        <v>155</v>
      </c>
      <c r="D418" s="934" t="s">
        <v>125</v>
      </c>
      <c r="E418" s="981" t="s">
        <v>1913</v>
      </c>
      <c r="F418" s="981"/>
      <c r="G418" s="981" t="str">
        <f>+VLOOKUP(Data_Validation!$A420,BV_Data_An_Cour!$L:$Q,6,0)</f>
        <v>7-Dépenses</v>
      </c>
      <c r="H418" s="159"/>
    </row>
    <row r="419" spans="1:8" ht="15" customHeight="1">
      <c r="A419" s="1108">
        <v>6459</v>
      </c>
      <c r="B419" s="163" t="s">
        <v>1305</v>
      </c>
      <c r="C419" s="934" t="s">
        <v>155</v>
      </c>
      <c r="D419" s="934" t="s">
        <v>126</v>
      </c>
      <c r="E419" s="981" t="s">
        <v>1913</v>
      </c>
      <c r="F419" s="981"/>
      <c r="G419" s="981" t="e">
        <f>+VLOOKUP(Data_Validation!$A421,BV_Data_An_Cour!$L:$Q,6,0)</f>
        <v>#N/A</v>
      </c>
      <c r="H419" s="159"/>
    </row>
    <row r="420" spans="1:8" ht="15" customHeight="1">
      <c r="A420" s="1101">
        <v>6461</v>
      </c>
      <c r="B420" s="160" t="s">
        <v>1330</v>
      </c>
      <c r="C420" s="934" t="s">
        <v>155</v>
      </c>
      <c r="D420" s="934" t="s">
        <v>260</v>
      </c>
      <c r="E420" s="981" t="s">
        <v>1913</v>
      </c>
      <c r="F420" s="981"/>
      <c r="G420" s="981" t="str">
        <f>+VLOOKUP(Data_Validation!$A422,BV_Data_An_Cour!$L:$Q,6,0)</f>
        <v>7-Dépenses</v>
      </c>
      <c r="H420" s="159"/>
    </row>
    <row r="421" spans="1:8" ht="15" customHeight="1">
      <c r="A421" s="1108">
        <v>6462</v>
      </c>
      <c r="B421" s="163" t="s">
        <v>933</v>
      </c>
      <c r="C421" s="934" t="s">
        <v>155</v>
      </c>
      <c r="D421" s="934" t="s">
        <v>250</v>
      </c>
      <c r="E421" s="981" t="s">
        <v>1913</v>
      </c>
      <c r="F421" s="981"/>
      <c r="G421" s="981" t="str">
        <f>+VLOOKUP(Data_Validation!$A423,BV_Data_An_Cour!$L:$Q,6,0)</f>
        <v>7-Dépenses</v>
      </c>
      <c r="H421" s="159"/>
    </row>
    <row r="422" spans="1:8" ht="15" customHeight="1">
      <c r="A422" s="1101">
        <v>6463</v>
      </c>
      <c r="B422" s="160" t="s">
        <v>1165</v>
      </c>
      <c r="C422" s="934" t="s">
        <v>155</v>
      </c>
      <c r="D422" s="934" t="s">
        <v>248</v>
      </c>
      <c r="E422" s="981" t="s">
        <v>1913</v>
      </c>
      <c r="F422" s="981"/>
      <c r="G422" s="981" t="str">
        <f>+VLOOKUP(Data_Validation!$A424,BV_Data_An_Cour!$L:$Q,6,0)</f>
        <v>7-Dépenses</v>
      </c>
      <c r="H422" s="159"/>
    </row>
    <row r="423" spans="1:8" ht="15" customHeight="1">
      <c r="A423" s="1101">
        <v>6481</v>
      </c>
      <c r="B423" s="160" t="s">
        <v>1308</v>
      </c>
      <c r="C423" s="934" t="s">
        <v>155</v>
      </c>
      <c r="D423" s="934" t="s">
        <v>244</v>
      </c>
      <c r="E423" s="981" t="s">
        <v>1913</v>
      </c>
      <c r="F423" s="981"/>
      <c r="G423" s="981" t="str">
        <f>+VLOOKUP(Data_Validation!$A425,BV_Data_An_Cour!$L:$Q,6,0)</f>
        <v>7-Dépenses</v>
      </c>
      <c r="H423" s="159"/>
    </row>
    <row r="424" spans="1:8" ht="15" customHeight="1">
      <c r="A424" s="1101">
        <v>6482</v>
      </c>
      <c r="B424" s="160" t="s">
        <v>1449</v>
      </c>
      <c r="C424" s="934" t="s">
        <v>155</v>
      </c>
      <c r="D424" s="934" t="s">
        <v>235</v>
      </c>
      <c r="E424" s="981" t="s">
        <v>1913</v>
      </c>
      <c r="F424" s="981"/>
      <c r="G424" s="981" t="str">
        <f>+VLOOKUP(Data_Validation!$A426,BV_Data_An_Cour!$L:$Q,6,0)</f>
        <v>7-Dépenses</v>
      </c>
      <c r="H424" s="159"/>
    </row>
    <row r="425" spans="1:8" ht="15" customHeight="1">
      <c r="A425" s="1108">
        <v>6486</v>
      </c>
      <c r="B425" s="163" t="s">
        <v>1344</v>
      </c>
      <c r="C425" s="934" t="s">
        <v>155</v>
      </c>
      <c r="D425" s="934" t="s">
        <v>242</v>
      </c>
      <c r="E425" s="981" t="s">
        <v>1913</v>
      </c>
      <c r="F425" s="981"/>
      <c r="G425" s="981" t="str">
        <f>+VLOOKUP(Data_Validation!$A427,BV_Data_An_Cour!$L:$Q,6,0)</f>
        <v>7-Dépenses</v>
      </c>
      <c r="H425" s="159"/>
    </row>
    <row r="426" spans="1:8" ht="15" customHeight="1">
      <c r="A426" s="1101">
        <v>6487</v>
      </c>
      <c r="B426" s="160" t="s">
        <v>1337</v>
      </c>
      <c r="C426" s="934" t="s">
        <v>155</v>
      </c>
      <c r="D426" s="934" t="s">
        <v>237</v>
      </c>
      <c r="E426" s="981" t="s">
        <v>1913</v>
      </c>
      <c r="F426" s="981"/>
      <c r="G426" s="981" t="str">
        <f>+VLOOKUP(Data_Validation!$A428,BV_Data_An_Cour!$L:$Q,6,0)</f>
        <v>7-Dépenses</v>
      </c>
      <c r="H426" s="159"/>
    </row>
    <row r="427" spans="1:8" ht="15" customHeight="1">
      <c r="A427" s="1101">
        <v>6493</v>
      </c>
      <c r="B427" s="160" t="s">
        <v>1271</v>
      </c>
      <c r="C427" s="934" t="s">
        <v>155</v>
      </c>
      <c r="D427" s="934" t="s">
        <v>239</v>
      </c>
      <c r="E427" s="981" t="s">
        <v>1913</v>
      </c>
      <c r="F427" s="981"/>
      <c r="G427" s="981" t="e">
        <f>+VLOOKUP(Data_Validation!$A429,BV_Data_An_Cour!$L:$Q,6,0)</f>
        <v>#N/A</v>
      </c>
      <c r="H427" s="159"/>
    </row>
    <row r="428" spans="1:8" ht="15" customHeight="1">
      <c r="A428" s="1101">
        <v>6494</v>
      </c>
      <c r="B428" s="160" t="s">
        <v>1364</v>
      </c>
      <c r="C428" s="934" t="s">
        <v>155</v>
      </c>
      <c r="D428" s="934" t="s">
        <v>246</v>
      </c>
      <c r="E428" s="981" t="s">
        <v>1913</v>
      </c>
      <c r="F428" s="981"/>
      <c r="G428" s="981" t="str">
        <f>+VLOOKUP(Data_Validation!$A430,BV_Data_An_Cour!$L:$Q,6,0)</f>
        <v>7-Dépenses</v>
      </c>
      <c r="H428" s="159"/>
    </row>
    <row r="429" spans="1:8" ht="15" customHeight="1">
      <c r="A429" s="1108">
        <v>6495</v>
      </c>
      <c r="B429" s="163" t="s">
        <v>1898</v>
      </c>
      <c r="C429" s="934" t="s">
        <v>155</v>
      </c>
      <c r="D429" s="934" t="s">
        <v>252</v>
      </c>
      <c r="E429" s="981" t="s">
        <v>1913</v>
      </c>
      <c r="F429" s="981"/>
      <c r="G429" s="981" t="str">
        <f>+VLOOKUP(Data_Validation!$A359,BV_Data_An_Cour!$L:$Q,6,0)</f>
        <v>7-Dépenses</v>
      </c>
      <c r="H429" s="159"/>
    </row>
    <row r="430" spans="1:8" ht="15" customHeight="1">
      <c r="A430" s="1108">
        <v>6503</v>
      </c>
      <c r="B430" s="163" t="s">
        <v>396</v>
      </c>
      <c r="C430" s="934" t="s">
        <v>171</v>
      </c>
      <c r="D430" s="934" t="s">
        <v>122</v>
      </c>
      <c r="E430" s="981" t="s">
        <v>1913</v>
      </c>
      <c r="F430" s="981"/>
      <c r="G430" s="981" t="str">
        <f>+VLOOKUP(Data_Validation!$A431,BV_Data_An_Cour!$L:$Q,6,0)</f>
        <v>7-Dépenses</v>
      </c>
      <c r="H430" s="159"/>
    </row>
    <row r="431" spans="1:8" ht="15" customHeight="1">
      <c r="A431" s="1101">
        <v>6514</v>
      </c>
      <c r="B431" s="160" t="s">
        <v>1371</v>
      </c>
      <c r="C431" s="934" t="s">
        <v>171</v>
      </c>
      <c r="D431" s="934" t="s">
        <v>121</v>
      </c>
      <c r="E431" s="981" t="s">
        <v>1913</v>
      </c>
      <c r="F431" s="981"/>
      <c r="G431" s="981" t="str">
        <f>+VLOOKUP(Data_Validation!$A432,BV_Data_An_Cour!$L:$Q,6,0)</f>
        <v>7-Dépenses</v>
      </c>
      <c r="H431" s="159"/>
    </row>
    <row r="432" spans="1:8" ht="15" customHeight="1">
      <c r="A432" s="1101">
        <v>6521</v>
      </c>
      <c r="B432" s="160" t="s">
        <v>1256</v>
      </c>
      <c r="C432" s="934" t="s">
        <v>171</v>
      </c>
      <c r="D432" s="934" t="s">
        <v>213</v>
      </c>
      <c r="E432" s="981" t="s">
        <v>1913</v>
      </c>
      <c r="F432" s="981"/>
      <c r="G432" s="981" t="str">
        <f>+VLOOKUP(Data_Validation!$A433,BV_Data_An_Cour!$L:$Q,6,0)</f>
        <v>7-Dépenses</v>
      </c>
      <c r="H432" s="159"/>
    </row>
    <row r="433" spans="1:8" ht="15" customHeight="1">
      <c r="A433" s="1101">
        <v>6522</v>
      </c>
      <c r="B433" s="160" t="s">
        <v>2615</v>
      </c>
      <c r="C433" s="934" t="s">
        <v>171</v>
      </c>
      <c r="D433" s="934" t="s">
        <v>112</v>
      </c>
      <c r="E433" s="981" t="s">
        <v>1913</v>
      </c>
      <c r="F433" s="981"/>
      <c r="G433" s="981" t="str">
        <f>+VLOOKUP(Data_Validation!$A434,BV_Data_An_Cour!$L:$Q,6,0)</f>
        <v>7-Dépenses</v>
      </c>
      <c r="H433" s="159"/>
    </row>
    <row r="434" spans="1:8" ht="15" customHeight="1">
      <c r="A434" s="1101">
        <v>6523</v>
      </c>
      <c r="B434" s="160" t="s">
        <v>1263</v>
      </c>
      <c r="C434" s="934" t="s">
        <v>171</v>
      </c>
      <c r="D434" s="934" t="s">
        <v>113</v>
      </c>
      <c r="E434" s="981" t="s">
        <v>1913</v>
      </c>
      <c r="F434" s="981"/>
      <c r="G434" s="981" t="str">
        <f>+VLOOKUP(Data_Validation!$A435,BV_Data_An_Cour!$L:$Q,6,0)</f>
        <v>7-Dépenses</v>
      </c>
      <c r="H434" s="159"/>
    </row>
    <row r="435" spans="1:8" ht="15" customHeight="1">
      <c r="A435" s="1101">
        <v>6524</v>
      </c>
      <c r="B435" s="160" t="s">
        <v>1246</v>
      </c>
      <c r="C435" s="934" t="s">
        <v>171</v>
      </c>
      <c r="D435" s="934" t="s">
        <v>114</v>
      </c>
      <c r="E435" s="981" t="s">
        <v>1913</v>
      </c>
      <c r="F435" s="981"/>
      <c r="G435" s="981" t="str">
        <f>+VLOOKUP(Data_Validation!$A436,BV_Data_An_Cour!$L:$Q,6,0)</f>
        <v>7-Dépenses</v>
      </c>
      <c r="H435" s="159"/>
    </row>
    <row r="436" spans="1:8" ht="15" customHeight="1">
      <c r="A436" s="1101">
        <v>6525</v>
      </c>
      <c r="B436" s="160" t="s">
        <v>1327</v>
      </c>
      <c r="C436" s="934" t="s">
        <v>171</v>
      </c>
      <c r="D436" s="934" t="s">
        <v>115</v>
      </c>
      <c r="E436" s="981" t="s">
        <v>1913</v>
      </c>
      <c r="F436" s="981"/>
      <c r="G436" s="981" t="str">
        <f>+VLOOKUP(Data_Validation!$A437,BV_Data_An_Cour!$L:$Q,6,0)</f>
        <v>7-Dépenses</v>
      </c>
      <c r="H436" s="159"/>
    </row>
    <row r="437" spans="1:8" ht="15" customHeight="1">
      <c r="A437" s="1101">
        <v>6529</v>
      </c>
      <c r="B437" s="163" t="s">
        <v>1208</v>
      </c>
      <c r="C437" s="934" t="s">
        <v>171</v>
      </c>
      <c r="D437" s="934" t="s">
        <v>116</v>
      </c>
      <c r="E437" s="981" t="s">
        <v>1913</v>
      </c>
      <c r="F437" s="981"/>
      <c r="G437" s="981" t="str">
        <f>+VLOOKUP(Data_Validation!$A438,BV_Data_An_Cour!$L:$Q,6,0)</f>
        <v>7-Dépenses</v>
      </c>
      <c r="H437" s="159"/>
    </row>
    <row r="438" spans="1:8" ht="15" customHeight="1">
      <c r="A438" s="1101">
        <v>6531</v>
      </c>
      <c r="B438" s="160" t="s">
        <v>1249</v>
      </c>
      <c r="C438" s="934" t="s">
        <v>171</v>
      </c>
      <c r="D438" s="934" t="s">
        <v>119</v>
      </c>
      <c r="E438" s="981" t="s">
        <v>1913</v>
      </c>
      <c r="F438" s="981"/>
      <c r="G438" s="981" t="str">
        <f>+VLOOKUP(Data_Validation!$A439,BV_Data_An_Cour!$L:$Q,6,0)</f>
        <v>7-Dépenses</v>
      </c>
      <c r="H438" s="159"/>
    </row>
    <row r="439" spans="1:8" ht="15" customHeight="1">
      <c r="A439" s="1101">
        <v>6532</v>
      </c>
      <c r="B439" s="160" t="s">
        <v>1280</v>
      </c>
      <c r="C439" s="934" t="s">
        <v>171</v>
      </c>
      <c r="D439" s="934" t="s">
        <v>117</v>
      </c>
      <c r="E439" s="981" t="s">
        <v>1913</v>
      </c>
      <c r="F439" s="981"/>
      <c r="G439" s="981" t="str">
        <f>+VLOOKUP(Data_Validation!$A440,BV_Data_An_Cour!$L:$Q,6,0)</f>
        <v>7-Dépenses</v>
      </c>
      <c r="H439" s="159"/>
    </row>
    <row r="440" spans="1:8" ht="15" customHeight="1">
      <c r="A440" s="1101">
        <v>6539</v>
      </c>
      <c r="B440" s="160" t="s">
        <v>1302</v>
      </c>
      <c r="C440" s="934" t="s">
        <v>171</v>
      </c>
      <c r="D440" s="934" t="s">
        <v>118</v>
      </c>
      <c r="E440" s="981" t="s">
        <v>1913</v>
      </c>
      <c r="F440" s="981"/>
      <c r="G440" s="981" t="str">
        <f>+VLOOKUP(Data_Validation!$A441,BV_Data_An_Cour!$L:$Q,6,0)</f>
        <v>7-Dépenses</v>
      </c>
      <c r="H440" s="159"/>
    </row>
    <row r="441" spans="1:8" ht="15" customHeight="1">
      <c r="A441" s="1101">
        <v>6542</v>
      </c>
      <c r="B441" s="160" t="s">
        <v>1154</v>
      </c>
      <c r="C441" s="934" t="s">
        <v>171</v>
      </c>
      <c r="D441" s="934" t="s">
        <v>127</v>
      </c>
      <c r="E441" s="981" t="s">
        <v>1913</v>
      </c>
      <c r="F441" s="981"/>
      <c r="G441" s="981" t="e">
        <f>+VLOOKUP(Data_Validation!$A442,BV_Data_An_Cour!$L:$Q,6,0)</f>
        <v>#N/A</v>
      </c>
      <c r="H441" s="159"/>
    </row>
    <row r="442" spans="1:8" ht="15" customHeight="1">
      <c r="A442" s="1101">
        <v>6543</v>
      </c>
      <c r="B442" s="163" t="s">
        <v>1193</v>
      </c>
      <c r="C442" s="934" t="s">
        <v>171</v>
      </c>
      <c r="D442" s="934" t="s">
        <v>128</v>
      </c>
      <c r="E442" s="981" t="s">
        <v>1913</v>
      </c>
      <c r="F442" s="981"/>
      <c r="G442" s="981" t="str">
        <f>+VLOOKUP(Data_Validation!$A443,BV_Data_An_Cour!$L:$Q,6,0)</f>
        <v>7-Dépenses</v>
      </c>
      <c r="H442" s="159"/>
    </row>
    <row r="443" spans="1:8" ht="15" customHeight="1">
      <c r="A443" s="1101">
        <v>6544</v>
      </c>
      <c r="B443" s="160" t="s">
        <v>931</v>
      </c>
      <c r="C443" s="934" t="s">
        <v>171</v>
      </c>
      <c r="D443" s="934" t="s">
        <v>133</v>
      </c>
      <c r="E443" s="981" t="s">
        <v>1913</v>
      </c>
      <c r="F443" s="981"/>
      <c r="G443" s="981" t="str">
        <f>+VLOOKUP(Data_Validation!$A444,BV_Data_An_Cour!$L:$Q,6,0)</f>
        <v>7-Dépenses</v>
      </c>
      <c r="H443" s="159"/>
    </row>
    <row r="444" spans="1:8" ht="15" customHeight="1">
      <c r="A444" s="1101">
        <v>6545</v>
      </c>
      <c r="B444" s="160" t="s">
        <v>1183</v>
      </c>
      <c r="C444" s="934" t="s">
        <v>171</v>
      </c>
      <c r="D444" s="934" t="s">
        <v>123</v>
      </c>
      <c r="E444" s="981" t="s">
        <v>1913</v>
      </c>
      <c r="F444" s="981"/>
      <c r="G444" s="981" t="str">
        <f>+VLOOKUP(Data_Validation!$A445,BV_Data_An_Cour!$L:$Q,6,0)</f>
        <v>7-Dépenses</v>
      </c>
      <c r="H444" s="159"/>
    </row>
    <row r="445" spans="1:8" ht="15" customHeight="1">
      <c r="A445" s="1101">
        <v>6547</v>
      </c>
      <c r="B445" s="163" t="s">
        <v>1177</v>
      </c>
      <c r="C445" s="934" t="s">
        <v>171</v>
      </c>
      <c r="D445" s="934" t="s">
        <v>131</v>
      </c>
      <c r="E445" s="981" t="s">
        <v>1913</v>
      </c>
      <c r="F445" s="981"/>
      <c r="G445" s="981" t="str">
        <f>+VLOOKUP(Data_Validation!$A446,BV_Data_An_Cour!$L:$Q,6,0)</f>
        <v>7-Dépenses</v>
      </c>
      <c r="H445" s="159"/>
    </row>
    <row r="446" spans="1:8" ht="15" customHeight="1">
      <c r="A446" s="1101">
        <v>6551</v>
      </c>
      <c r="B446" s="160" t="s">
        <v>1283</v>
      </c>
      <c r="C446" s="934" t="s">
        <v>171</v>
      </c>
      <c r="D446" s="934" t="s">
        <v>124</v>
      </c>
      <c r="E446" s="981" t="s">
        <v>1913</v>
      </c>
      <c r="F446" s="981"/>
      <c r="G446" s="981" t="str">
        <f>+VLOOKUP(Data_Validation!$A447,BV_Data_An_Cour!$L:$Q,6,0)</f>
        <v>7-Dépenses</v>
      </c>
      <c r="H446" s="159"/>
    </row>
    <row r="447" spans="1:8" ht="15" customHeight="1">
      <c r="A447" s="1101">
        <v>6552</v>
      </c>
      <c r="B447" s="163" t="s">
        <v>1203</v>
      </c>
      <c r="C447" s="934" t="s">
        <v>171</v>
      </c>
      <c r="D447" s="934" t="s">
        <v>129</v>
      </c>
      <c r="E447" s="981" t="s">
        <v>1913</v>
      </c>
      <c r="F447" s="984"/>
      <c r="G447" s="984" t="str">
        <f>+VLOOKUP(Data_Validation!$A448,BV_Data_An_Cour!$L:$Q,6,0)</f>
        <v>7-Dépenses</v>
      </c>
      <c r="H447" s="159"/>
    </row>
    <row r="448" spans="1:8" ht="15" customHeight="1">
      <c r="A448" s="1101">
        <v>6553</v>
      </c>
      <c r="B448" s="160" t="s">
        <v>1151</v>
      </c>
      <c r="C448" s="934" t="s">
        <v>171</v>
      </c>
      <c r="D448" s="934" t="s">
        <v>130</v>
      </c>
      <c r="E448" s="981" t="s">
        <v>1913</v>
      </c>
      <c r="F448" s="981"/>
      <c r="G448" s="981" t="str">
        <f>+VLOOKUP(Data_Validation!$A449,BV_Data_An_Cour!$L:$Q,6,0)</f>
        <v>7-Dépenses</v>
      </c>
      <c r="H448" s="159"/>
    </row>
    <row r="449" spans="1:8" ht="15" customHeight="1">
      <c r="A449" s="1101">
        <v>6555</v>
      </c>
      <c r="B449" s="163" t="s">
        <v>1234</v>
      </c>
      <c r="C449" s="934" t="s">
        <v>171</v>
      </c>
      <c r="D449" s="934" t="s">
        <v>132</v>
      </c>
      <c r="E449" s="981" t="s">
        <v>1913</v>
      </c>
      <c r="F449" s="984"/>
      <c r="G449" s="984" t="str">
        <f>+VLOOKUP(Data_Validation!$A450,BV_Data_An_Cour!$L:$Q,6,0)</f>
        <v>7-Dépenses</v>
      </c>
      <c r="H449" s="159"/>
    </row>
    <row r="450" spans="1:8" ht="15" customHeight="1">
      <c r="A450" s="1101">
        <v>6556</v>
      </c>
      <c r="B450" s="163" t="s">
        <v>1214</v>
      </c>
      <c r="C450" s="934" t="s">
        <v>171</v>
      </c>
      <c r="D450" s="934" t="s">
        <v>125</v>
      </c>
      <c r="E450" s="981" t="s">
        <v>1913</v>
      </c>
      <c r="F450" s="981"/>
      <c r="G450" s="981" t="str">
        <f>+VLOOKUP(Data_Validation!$A451,BV_Data_An_Cour!$L:$Q,6,0)</f>
        <v>7-Dépenses</v>
      </c>
      <c r="H450" s="159"/>
    </row>
    <row r="451" spans="1:8" ht="15" customHeight="1">
      <c r="A451" s="1101">
        <v>6559</v>
      </c>
      <c r="B451" s="163" t="s">
        <v>1305</v>
      </c>
      <c r="C451" s="934" t="s">
        <v>171</v>
      </c>
      <c r="D451" s="934" t="s">
        <v>126</v>
      </c>
      <c r="E451" s="981" t="s">
        <v>1913</v>
      </c>
      <c r="F451" s="984"/>
      <c r="G451" s="984" t="str">
        <f>+VLOOKUP(Data_Validation!$A452,BV_Data_An_Cour!$L:$Q,6,0)</f>
        <v>7-Dépenses</v>
      </c>
      <c r="H451" s="159"/>
    </row>
    <row r="452" spans="1:8" ht="15" customHeight="1">
      <c r="A452" s="1101">
        <v>6561</v>
      </c>
      <c r="B452" s="160" t="s">
        <v>1330</v>
      </c>
      <c r="C452" s="934" t="s">
        <v>171</v>
      </c>
      <c r="D452" s="934" t="s">
        <v>260</v>
      </c>
      <c r="E452" s="981" t="s">
        <v>1913</v>
      </c>
      <c r="F452" s="981"/>
      <c r="G452" s="981" t="e">
        <f>+VLOOKUP(Data_Validation!$A453,BV_Data_An_Cour!$L:$Q,6,0)</f>
        <v>#N/A</v>
      </c>
      <c r="H452" s="159"/>
    </row>
    <row r="453" spans="1:8" ht="15" customHeight="1">
      <c r="A453" s="1101">
        <v>6562</v>
      </c>
      <c r="B453" s="163" t="s">
        <v>933</v>
      </c>
      <c r="C453" s="934" t="s">
        <v>171</v>
      </c>
      <c r="D453" s="934" t="s">
        <v>250</v>
      </c>
      <c r="E453" s="981" t="s">
        <v>1913</v>
      </c>
      <c r="F453" s="981"/>
      <c r="G453" s="981" t="str">
        <f>+VLOOKUP(Data_Validation!$A454,BV_Data_An_Cour!$L:$Q,6,0)</f>
        <v>7-Dépenses</v>
      </c>
      <c r="H453" s="159"/>
    </row>
    <row r="454" spans="1:8" ht="15" customHeight="1">
      <c r="A454" s="1101">
        <v>6581</v>
      </c>
      <c r="B454" s="160" t="s">
        <v>1241</v>
      </c>
      <c r="C454" s="934" t="s">
        <v>171</v>
      </c>
      <c r="D454" s="934" t="s">
        <v>244</v>
      </c>
      <c r="E454" s="981" t="s">
        <v>1913</v>
      </c>
      <c r="F454" s="981"/>
      <c r="G454" s="981" t="str">
        <f>+VLOOKUP(Data_Validation!$A455,BV_Data_An_Cour!$L:$Q,6,0)</f>
        <v>7-Dépenses</v>
      </c>
      <c r="H454" s="159"/>
    </row>
    <row r="455" spans="1:8" ht="15" customHeight="1">
      <c r="A455" s="1101">
        <v>6582</v>
      </c>
      <c r="B455" s="163" t="s">
        <v>1395</v>
      </c>
      <c r="C455" s="934" t="s">
        <v>171</v>
      </c>
      <c r="D455" s="934" t="s">
        <v>235</v>
      </c>
      <c r="E455" s="981" t="s">
        <v>1913</v>
      </c>
      <c r="F455" s="981"/>
      <c r="G455" s="981" t="str">
        <f>+VLOOKUP(Data_Validation!$A456,BV_Data_An_Cour!$L:$Q,6,0)</f>
        <v>7-Dépenses</v>
      </c>
      <c r="H455" s="159"/>
    </row>
    <row r="456" spans="1:8" ht="15" customHeight="1">
      <c r="A456" s="1108">
        <v>6586</v>
      </c>
      <c r="B456" s="160" t="s">
        <v>1252</v>
      </c>
      <c r="C456" s="934" t="s">
        <v>171</v>
      </c>
      <c r="D456" s="934" t="s">
        <v>242</v>
      </c>
      <c r="E456" s="981" t="s">
        <v>1913</v>
      </c>
      <c r="F456" s="981"/>
      <c r="G456" s="981" t="str">
        <f>+VLOOKUP(Data_Validation!$A457,BV_Data_An_Cour!$L:$Q,6,0)</f>
        <v>7-Dépenses</v>
      </c>
      <c r="H456" s="159"/>
    </row>
    <row r="457" spans="1:8" ht="15" customHeight="1">
      <c r="A457" s="1108">
        <v>6587</v>
      </c>
      <c r="B457" s="160" t="s">
        <v>1261</v>
      </c>
      <c r="C457" s="934" t="s">
        <v>171</v>
      </c>
      <c r="D457" s="934" t="s">
        <v>237</v>
      </c>
      <c r="E457" s="981" t="s">
        <v>1913</v>
      </c>
      <c r="F457" s="981"/>
      <c r="G457" s="981" t="str">
        <f>+VLOOKUP(Data_Validation!$A458,BV_Data_An_Cour!$L:$Q,6,0)</f>
        <v>7-Dépenses</v>
      </c>
      <c r="H457" s="159"/>
    </row>
    <row r="458" spans="1:8" ht="15" customHeight="1">
      <c r="A458" s="1101">
        <v>6593</v>
      </c>
      <c r="B458" s="163" t="s">
        <v>1222</v>
      </c>
      <c r="C458" s="934" t="s">
        <v>171</v>
      </c>
      <c r="D458" s="934" t="s">
        <v>239</v>
      </c>
      <c r="E458" s="981" t="s">
        <v>1913</v>
      </c>
      <c r="F458" s="981"/>
      <c r="G458" s="981" t="str">
        <f>+VLOOKUP(Data_Validation!$A459,BV_Data_An_Cour!$L:$Q,6,0)</f>
        <v>7-Dépenses</v>
      </c>
      <c r="H458" s="159"/>
    </row>
    <row r="459" spans="1:8" ht="15" customHeight="1">
      <c r="A459" s="1101">
        <v>6594</v>
      </c>
      <c r="B459" s="163" t="s">
        <v>1268</v>
      </c>
      <c r="C459" s="934" t="s">
        <v>171</v>
      </c>
      <c r="D459" s="934" t="s">
        <v>246</v>
      </c>
      <c r="E459" s="981" t="s">
        <v>1913</v>
      </c>
      <c r="F459" s="981"/>
      <c r="G459" s="981" t="e">
        <f>+VLOOKUP(Data_Validation!$A460,BV_Data_An_Cour!$L:$Q,6,0)</f>
        <v>#N/A</v>
      </c>
      <c r="H459" s="159"/>
    </row>
    <row r="460" spans="1:8" ht="15" customHeight="1">
      <c r="A460" s="1108">
        <v>6595</v>
      </c>
      <c r="B460" s="163" t="s">
        <v>1900</v>
      </c>
      <c r="C460" s="934" t="s">
        <v>171</v>
      </c>
      <c r="D460" s="934" t="s">
        <v>252</v>
      </c>
      <c r="E460" s="981" t="s">
        <v>1913</v>
      </c>
      <c r="F460" s="981"/>
      <c r="G460" s="981" t="str">
        <f>+VLOOKUP(Data_Validation!$A360,BV_Data_An_Cour!$L:$Q,6,0)</f>
        <v>7-Dépenses</v>
      </c>
      <c r="H460" s="159"/>
    </row>
    <row r="461" spans="1:8" ht="15" customHeight="1">
      <c r="A461" s="1101">
        <v>6703</v>
      </c>
      <c r="B461" s="163" t="s">
        <v>396</v>
      </c>
      <c r="C461" s="934" t="s">
        <v>175</v>
      </c>
      <c r="D461" s="934" t="s">
        <v>122</v>
      </c>
      <c r="E461" s="981" t="s">
        <v>1913</v>
      </c>
      <c r="F461" s="981"/>
      <c r="G461" s="981" t="str">
        <f>+VLOOKUP(Data_Validation!$A461,BV_Data_An_Cour!$L:$Q,6,0)</f>
        <v>7-Dépenses</v>
      </c>
      <c r="H461" s="159"/>
    </row>
    <row r="462" spans="1:8" ht="15" customHeight="1">
      <c r="A462" s="1101">
        <v>6712</v>
      </c>
      <c r="B462" s="160" t="s">
        <v>1388</v>
      </c>
      <c r="C462" s="934" t="s">
        <v>175</v>
      </c>
      <c r="D462" s="934" t="s">
        <v>122</v>
      </c>
      <c r="E462" s="981" t="s">
        <v>1913</v>
      </c>
      <c r="F462" s="981"/>
      <c r="G462" s="981" t="e">
        <f>+VLOOKUP(Data_Validation!$A462,BV_Data_An_Cour!$L:$Q,6,0)</f>
        <v>#N/A</v>
      </c>
      <c r="H462" s="159"/>
    </row>
    <row r="463" spans="1:8" ht="15" customHeight="1">
      <c r="A463" s="1108">
        <v>6714</v>
      </c>
      <c r="B463" s="160" t="s">
        <v>1371</v>
      </c>
      <c r="C463" s="934" t="s">
        <v>175</v>
      </c>
      <c r="D463" s="934" t="s">
        <v>121</v>
      </c>
      <c r="E463" s="981" t="s">
        <v>1913</v>
      </c>
      <c r="F463" s="981"/>
      <c r="G463" s="981" t="str">
        <f>+VLOOKUP(Data_Validation!$A463,BV_Data_An_Cour!$L:$Q,6,0)</f>
        <v>7-Dépenses</v>
      </c>
      <c r="H463" s="159"/>
    </row>
    <row r="464" spans="1:8" ht="15" customHeight="1">
      <c r="A464" s="1101">
        <v>6721</v>
      </c>
      <c r="B464" s="163" t="s">
        <v>1354</v>
      </c>
      <c r="C464" s="934" t="s">
        <v>175</v>
      </c>
      <c r="D464" s="934" t="s">
        <v>213</v>
      </c>
      <c r="E464" s="981" t="s">
        <v>1913</v>
      </c>
      <c r="F464" s="981"/>
      <c r="G464" s="981" t="str">
        <f>+VLOOKUP(Data_Validation!$A464,BV_Data_An_Cour!$L:$Q,6,0)</f>
        <v>7-Dépenses</v>
      </c>
      <c r="H464" s="159"/>
    </row>
    <row r="465" spans="1:8" ht="15" customHeight="1">
      <c r="A465" s="1108">
        <v>6722</v>
      </c>
      <c r="B465" s="160" t="s">
        <v>2615</v>
      </c>
      <c r="C465" s="934" t="s">
        <v>175</v>
      </c>
      <c r="D465" s="934" t="s">
        <v>112</v>
      </c>
      <c r="E465" s="981" t="s">
        <v>1913</v>
      </c>
      <c r="F465" s="981"/>
      <c r="G465" s="981" t="str">
        <f>+VLOOKUP(Data_Validation!$A465,BV_Data_An_Cour!$L:$Q,6,0)</f>
        <v>7-Dépenses</v>
      </c>
      <c r="H465" s="159"/>
    </row>
    <row r="466" spans="1:8" ht="15" customHeight="1">
      <c r="A466" s="1101">
        <v>6723</v>
      </c>
      <c r="B466" s="163" t="s">
        <v>1339</v>
      </c>
      <c r="C466" s="934" t="s">
        <v>175</v>
      </c>
      <c r="D466" s="934" t="s">
        <v>113</v>
      </c>
      <c r="E466" s="981" t="s">
        <v>1913</v>
      </c>
      <c r="F466" s="981"/>
      <c r="G466" s="981" t="str">
        <f>+VLOOKUP(Data_Validation!$A466,BV_Data_An_Cour!$L:$Q,6,0)</f>
        <v>7-Dépenses</v>
      </c>
      <c r="H466" s="159"/>
    </row>
    <row r="467" spans="1:8" ht="15" customHeight="1">
      <c r="A467" s="1101">
        <v>6724</v>
      </c>
      <c r="B467" s="160" t="s">
        <v>1246</v>
      </c>
      <c r="C467" s="934" t="s">
        <v>175</v>
      </c>
      <c r="D467" s="934" t="s">
        <v>114</v>
      </c>
      <c r="E467" s="981" t="s">
        <v>1913</v>
      </c>
      <c r="F467" s="981"/>
      <c r="G467" s="981" t="str">
        <f>+VLOOKUP(Data_Validation!$A467,BV_Data_An_Cour!$L:$Q,6,0)</f>
        <v>7-Dépenses</v>
      </c>
      <c r="H467" s="159"/>
    </row>
    <row r="468" spans="1:8" ht="15" customHeight="1">
      <c r="A468" s="1101">
        <v>6729</v>
      </c>
      <c r="B468" s="163" t="s">
        <v>1325</v>
      </c>
      <c r="C468" s="934" t="s">
        <v>175</v>
      </c>
      <c r="D468" s="934" t="s">
        <v>116</v>
      </c>
      <c r="E468" s="981" t="s">
        <v>1913</v>
      </c>
      <c r="F468" s="981"/>
      <c r="G468" s="981" t="str">
        <f>+VLOOKUP(Data_Validation!$A468,BV_Data_An_Cour!$L:$Q,6,0)</f>
        <v>7-Dépenses</v>
      </c>
      <c r="H468" s="159"/>
    </row>
    <row r="469" spans="1:8" ht="15" customHeight="1">
      <c r="A469" s="1101">
        <v>6731</v>
      </c>
      <c r="B469" s="160" t="s">
        <v>1249</v>
      </c>
      <c r="C469" s="934" t="s">
        <v>175</v>
      </c>
      <c r="D469" s="934" t="s">
        <v>119</v>
      </c>
      <c r="E469" s="981" t="s">
        <v>1913</v>
      </c>
      <c r="F469" s="981"/>
      <c r="G469" s="981" t="str">
        <f>+VLOOKUP(Data_Validation!$A469,BV_Data_An_Cour!$L:$Q,6,0)</f>
        <v>7-Dépenses</v>
      </c>
      <c r="H469" s="159"/>
    </row>
    <row r="470" spans="1:8" ht="15" customHeight="1">
      <c r="A470" s="1101">
        <v>6732</v>
      </c>
      <c r="B470" s="163" t="s">
        <v>1280</v>
      </c>
      <c r="C470" s="934" t="s">
        <v>175</v>
      </c>
      <c r="D470" s="934" t="s">
        <v>119</v>
      </c>
      <c r="E470" s="981" t="s">
        <v>1913</v>
      </c>
      <c r="F470" s="981"/>
      <c r="G470" s="981" t="str">
        <f>+VLOOKUP(Data_Validation!$A470,BV_Data_An_Cour!$L:$Q,6,0)</f>
        <v>7-Dépenses</v>
      </c>
      <c r="H470" s="159"/>
    </row>
    <row r="471" spans="1:8" ht="15" customHeight="1">
      <c r="A471" s="1101">
        <v>6733</v>
      </c>
      <c r="B471" s="160" t="s">
        <v>1161</v>
      </c>
      <c r="C471" s="934" t="s">
        <v>175</v>
      </c>
      <c r="D471" s="934" t="s">
        <v>117</v>
      </c>
      <c r="E471" s="981" t="s">
        <v>1913</v>
      </c>
      <c r="F471" s="981"/>
      <c r="G471" s="981" t="str">
        <f>+VLOOKUP(Data_Validation!$A471,BV_Data_An_Cour!$L:$Q,6,0)</f>
        <v>7-Dépenses</v>
      </c>
      <c r="H471" s="159"/>
    </row>
    <row r="472" spans="1:8" ht="15" customHeight="1">
      <c r="A472" s="1101">
        <v>6739</v>
      </c>
      <c r="B472" s="163" t="s">
        <v>1302</v>
      </c>
      <c r="C472" s="934" t="s">
        <v>175</v>
      </c>
      <c r="D472" s="934" t="s">
        <v>118</v>
      </c>
      <c r="E472" s="981" t="s">
        <v>1913</v>
      </c>
      <c r="F472" s="981"/>
      <c r="G472" s="981" t="str">
        <f>+VLOOKUP(Data_Validation!$A472,BV_Data_An_Cour!$L:$Q,6,0)</f>
        <v>7-Dépenses</v>
      </c>
      <c r="H472" s="159"/>
    </row>
    <row r="473" spans="1:8" ht="15" customHeight="1">
      <c r="A473" s="1101">
        <v>6742</v>
      </c>
      <c r="B473" s="160" t="s">
        <v>1154</v>
      </c>
      <c r="C473" s="934" t="s">
        <v>175</v>
      </c>
      <c r="D473" s="934" t="s">
        <v>127</v>
      </c>
      <c r="E473" s="981" t="s">
        <v>1913</v>
      </c>
      <c r="F473" s="981"/>
      <c r="G473" s="981" t="str">
        <f>+VLOOKUP(Data_Validation!$A473,BV_Data_An_Cour!$L:$Q,6,0)</f>
        <v>7-Dépenses</v>
      </c>
      <c r="H473" s="159"/>
    </row>
    <row r="474" spans="1:8" ht="15" customHeight="1">
      <c r="A474" s="1101">
        <v>6743</v>
      </c>
      <c r="B474" s="163" t="s">
        <v>929</v>
      </c>
      <c r="C474" s="934" t="s">
        <v>175</v>
      </c>
      <c r="D474" s="934" t="s">
        <v>128</v>
      </c>
      <c r="E474" s="981" t="s">
        <v>1913</v>
      </c>
      <c r="F474" s="981"/>
      <c r="G474" s="981" t="e">
        <f>+VLOOKUP(Data_Validation!$A474,BV_Data_An_Cour!$L:$Q,6,0)</f>
        <v>#N/A</v>
      </c>
      <c r="H474" s="159"/>
    </row>
    <row r="475" spans="1:8" ht="15" customHeight="1">
      <c r="A475" s="1101">
        <v>6744</v>
      </c>
      <c r="B475" s="160" t="s">
        <v>931</v>
      </c>
      <c r="C475" s="934" t="s">
        <v>175</v>
      </c>
      <c r="D475" s="934" t="s">
        <v>133</v>
      </c>
      <c r="E475" s="981" t="s">
        <v>1913</v>
      </c>
      <c r="F475" s="981"/>
      <c r="G475" s="981" t="str">
        <f>+VLOOKUP(Data_Validation!$A475,BV_Data_An_Cour!$L:$Q,6,0)</f>
        <v>7-Dépenses</v>
      </c>
      <c r="H475" s="159"/>
    </row>
    <row r="476" spans="1:8" ht="15" customHeight="1">
      <c r="A476" s="1101">
        <v>6745</v>
      </c>
      <c r="B476" s="163" t="s">
        <v>1183</v>
      </c>
      <c r="C476" s="934" t="s">
        <v>175</v>
      </c>
      <c r="D476" s="934" t="s">
        <v>123</v>
      </c>
      <c r="E476" s="981" t="s">
        <v>1913</v>
      </c>
      <c r="F476" s="981"/>
      <c r="G476" s="981" t="str">
        <f>+VLOOKUP(Data_Validation!$A476,BV_Data_An_Cour!$L:$Q,6,0)</f>
        <v>7-Dépenses</v>
      </c>
      <c r="H476" s="159"/>
    </row>
    <row r="477" spans="1:8" ht="15" customHeight="1">
      <c r="A477" s="1108">
        <v>6747</v>
      </c>
      <c r="B477" s="165" t="s">
        <v>1177</v>
      </c>
      <c r="C477" s="934" t="s">
        <v>175</v>
      </c>
      <c r="D477" s="934" t="s">
        <v>131</v>
      </c>
      <c r="E477" s="981" t="s">
        <v>1913</v>
      </c>
      <c r="F477" s="982"/>
      <c r="G477" s="981" t="str">
        <f>+VLOOKUP(Data_Validation!$A477,BV_Data_An_Cour!$L:$Q,6,0)</f>
        <v>7-Dépenses</v>
      </c>
      <c r="H477" s="159"/>
    </row>
    <row r="478" spans="1:8" ht="15" customHeight="1">
      <c r="A478" s="1101">
        <v>6751</v>
      </c>
      <c r="B478" s="165" t="s">
        <v>1283</v>
      </c>
      <c r="C478" s="934" t="s">
        <v>175</v>
      </c>
      <c r="D478" s="934" t="s">
        <v>124</v>
      </c>
      <c r="E478" s="981" t="s">
        <v>1913</v>
      </c>
      <c r="F478" s="982"/>
      <c r="G478" s="981" t="str">
        <f>+VLOOKUP(Data_Validation!$A478,BV_Data_An_Cour!$L:$Q,6,0)</f>
        <v>7-Dépenses</v>
      </c>
      <c r="H478" s="159"/>
    </row>
    <row r="479" spans="1:8" ht="15" customHeight="1">
      <c r="A479" s="1101">
        <v>6752</v>
      </c>
      <c r="B479" s="165" t="s">
        <v>1203</v>
      </c>
      <c r="C479" s="934" t="s">
        <v>175</v>
      </c>
      <c r="D479" s="934" t="s">
        <v>129</v>
      </c>
      <c r="E479" s="981" t="s">
        <v>1913</v>
      </c>
      <c r="F479" s="982"/>
      <c r="G479" s="981" t="str">
        <f>+VLOOKUP(Data_Validation!$A479,BV_Data_An_Cour!$L:$Q,6,0)</f>
        <v>7-Dépenses</v>
      </c>
      <c r="H479" s="159"/>
    </row>
    <row r="480" spans="1:8" ht="15" customHeight="1">
      <c r="A480" s="1101">
        <v>6753</v>
      </c>
      <c r="B480" s="165" t="s">
        <v>1151</v>
      </c>
      <c r="C480" s="934" t="s">
        <v>175</v>
      </c>
      <c r="D480" s="934" t="s">
        <v>130</v>
      </c>
      <c r="E480" s="981" t="s">
        <v>1913</v>
      </c>
      <c r="F480" s="982"/>
      <c r="G480" s="981" t="str">
        <f>+VLOOKUP(Data_Validation!$A480,BV_Data_An_Cour!$L:$Q,6,0)</f>
        <v>7-Dépenses</v>
      </c>
      <c r="H480" s="159"/>
    </row>
    <row r="481" spans="1:29" ht="15" customHeight="1">
      <c r="A481" s="1101">
        <v>6755</v>
      </c>
      <c r="B481" s="165" t="s">
        <v>1234</v>
      </c>
      <c r="C481" s="934" t="s">
        <v>175</v>
      </c>
      <c r="D481" s="934" t="s">
        <v>132</v>
      </c>
      <c r="E481" s="981" t="s">
        <v>1913</v>
      </c>
      <c r="F481" s="982"/>
      <c r="G481" s="981" t="str">
        <f>+VLOOKUP(Data_Validation!$A481,BV_Data_An_Cour!$L:$Q,6,0)</f>
        <v>7-Dépenses</v>
      </c>
      <c r="H481" s="159"/>
    </row>
    <row r="482" spans="1:29" ht="15" customHeight="1">
      <c r="A482" s="1101">
        <v>6756</v>
      </c>
      <c r="B482" s="165" t="s">
        <v>1291</v>
      </c>
      <c r="C482" s="934" t="s">
        <v>175</v>
      </c>
      <c r="D482" s="934" t="s">
        <v>125</v>
      </c>
      <c r="E482" s="981" t="s">
        <v>1913</v>
      </c>
      <c r="F482" s="982"/>
      <c r="G482" s="981" t="str">
        <f>+VLOOKUP(Data_Validation!$A482,BV_Data_An_Cour!$L:$Q,6,0)</f>
        <v>7-Dépenses</v>
      </c>
      <c r="H482" s="159"/>
    </row>
    <row r="483" spans="1:29" ht="15" customHeight="1">
      <c r="A483" s="1101">
        <v>6759</v>
      </c>
      <c r="B483" s="165" t="s">
        <v>1305</v>
      </c>
      <c r="C483" s="934" t="s">
        <v>175</v>
      </c>
      <c r="D483" s="934" t="s">
        <v>126</v>
      </c>
      <c r="E483" s="981" t="s">
        <v>1913</v>
      </c>
      <c r="F483" s="982"/>
      <c r="G483" s="981" t="str">
        <f>+VLOOKUP(Data_Validation!$A483,BV_Data_An_Cour!$L:$Q,6,0)</f>
        <v>7-Dépenses</v>
      </c>
      <c r="H483" s="159"/>
      <c r="I483" s="2"/>
      <c r="J483" s="2"/>
      <c r="L483" s="2"/>
      <c r="M483" s="2"/>
      <c r="N483" s="2"/>
      <c r="O483" s="2"/>
      <c r="P483" s="2"/>
      <c r="Q483" s="2"/>
      <c r="R483" s="2"/>
      <c r="S483" s="2"/>
      <c r="T483" s="2"/>
      <c r="U483" s="2"/>
      <c r="V483" s="2"/>
      <c r="W483" s="2"/>
      <c r="X483" s="2"/>
      <c r="Y483" s="2"/>
      <c r="Z483" s="2"/>
      <c r="AA483" s="2"/>
      <c r="AB483" s="2"/>
      <c r="AC483" s="2"/>
    </row>
    <row r="484" spans="1:29" ht="15" customHeight="1">
      <c r="A484" s="1101">
        <v>6761</v>
      </c>
      <c r="B484" s="160" t="s">
        <v>1330</v>
      </c>
      <c r="C484" s="934" t="s">
        <v>175</v>
      </c>
      <c r="D484" s="934" t="s">
        <v>260</v>
      </c>
      <c r="E484" s="981" t="s">
        <v>1913</v>
      </c>
      <c r="F484" s="982"/>
      <c r="G484" s="981" t="str">
        <f>+VLOOKUP(Data_Validation!$A484,BV_Data_An_Cour!$L:$Q,6,0)</f>
        <v>7-Dépenses</v>
      </c>
      <c r="H484" s="159"/>
      <c r="I484" s="2"/>
      <c r="J484" s="2"/>
      <c r="L484" s="2"/>
      <c r="M484" s="2"/>
      <c r="N484" s="2"/>
      <c r="O484" s="2"/>
      <c r="P484" s="2"/>
      <c r="Q484" s="2"/>
      <c r="R484" s="2"/>
      <c r="S484" s="2"/>
      <c r="T484" s="2"/>
      <c r="U484" s="2"/>
      <c r="V484" s="2"/>
      <c r="W484" s="2"/>
      <c r="X484" s="2"/>
      <c r="Y484" s="2"/>
      <c r="Z484" s="2"/>
      <c r="AA484" s="2"/>
      <c r="AB484" s="2"/>
      <c r="AC484" s="2"/>
    </row>
    <row r="485" spans="1:29" ht="13.5" customHeight="1">
      <c r="A485" s="1101">
        <v>6762</v>
      </c>
      <c r="B485" s="165" t="s">
        <v>933</v>
      </c>
      <c r="C485" s="934" t="s">
        <v>175</v>
      </c>
      <c r="D485" s="934" t="s">
        <v>250</v>
      </c>
      <c r="E485" s="981" t="s">
        <v>1913</v>
      </c>
      <c r="F485" s="982"/>
      <c r="G485" s="981" t="e">
        <f>+VLOOKUP(Data_Validation!$A485,BV_Data_An_Cour!$L:$Q,6,0)</f>
        <v>#N/A</v>
      </c>
      <c r="H485" s="159"/>
    </row>
    <row r="486" spans="1:29" ht="15" customHeight="1">
      <c r="A486" s="1101">
        <v>6781</v>
      </c>
      <c r="B486" s="165" t="s">
        <v>1313</v>
      </c>
      <c r="C486" s="934" t="s">
        <v>175</v>
      </c>
      <c r="D486" s="934" t="s">
        <v>244</v>
      </c>
      <c r="E486" s="981" t="s">
        <v>1913</v>
      </c>
      <c r="F486" s="982"/>
      <c r="G486" s="981" t="str">
        <f>+VLOOKUP(Data_Validation!$A486,BV_Data_An_Cour!$L:$Q,6,0)</f>
        <v>7-Dépenses</v>
      </c>
      <c r="H486" s="159"/>
    </row>
    <row r="487" spans="1:29" ht="15" customHeight="1">
      <c r="A487" s="1101">
        <v>6782</v>
      </c>
      <c r="B487" s="165" t="s">
        <v>1454</v>
      </c>
      <c r="C487" s="934" t="s">
        <v>175</v>
      </c>
      <c r="D487" s="934" t="s">
        <v>235</v>
      </c>
      <c r="E487" s="981" t="s">
        <v>1913</v>
      </c>
      <c r="F487" s="982"/>
      <c r="G487" s="981" t="str">
        <f>+VLOOKUP(Data_Validation!$A487,BV_Data_An_Cour!$L:$Q,6,0)</f>
        <v>7-Dépenses</v>
      </c>
      <c r="H487" s="159"/>
    </row>
    <row r="488" spans="1:29" ht="15" customHeight="1">
      <c r="A488" s="1101">
        <v>6786</v>
      </c>
      <c r="B488" s="165" t="s">
        <v>1349</v>
      </c>
      <c r="C488" s="934" t="s">
        <v>175</v>
      </c>
      <c r="D488" s="934" t="s">
        <v>242</v>
      </c>
      <c r="E488" s="981" t="s">
        <v>1913</v>
      </c>
      <c r="F488" s="982"/>
      <c r="G488" s="981" t="str">
        <f>+VLOOKUP(Data_Validation!$A488,BV_Data_An_Cour!$L:$Q,6,0)</f>
        <v>7-Dépenses</v>
      </c>
      <c r="H488" s="159"/>
    </row>
    <row r="489" spans="1:29" ht="15" customHeight="1">
      <c r="A489" s="1101">
        <v>6787</v>
      </c>
      <c r="B489" s="165" t="s">
        <v>1341</v>
      </c>
      <c r="C489" s="934" t="s">
        <v>175</v>
      </c>
      <c r="D489" s="934" t="s">
        <v>237</v>
      </c>
      <c r="E489" s="981" t="s">
        <v>1913</v>
      </c>
      <c r="F489" s="982"/>
      <c r="G489" s="981" t="str">
        <f>+VLOOKUP(Data_Validation!$A489,BV_Data_An_Cour!$L:$Q,6,0)</f>
        <v>7-Dépenses</v>
      </c>
      <c r="H489" s="159"/>
    </row>
    <row r="490" spans="1:29" ht="15" customHeight="1">
      <c r="A490" s="1101">
        <v>6793</v>
      </c>
      <c r="B490" s="165" t="s">
        <v>1275</v>
      </c>
      <c r="C490" s="934" t="s">
        <v>175</v>
      </c>
      <c r="D490" s="934" t="s">
        <v>239</v>
      </c>
      <c r="E490" s="981" t="s">
        <v>1913</v>
      </c>
      <c r="F490" s="982"/>
      <c r="G490" s="981" t="str">
        <f>+VLOOKUP(Data_Validation!$A490,BV_Data_An_Cour!$L:$Q,6,0)</f>
        <v>7-Dépenses</v>
      </c>
      <c r="H490" s="159"/>
      <c r="K490" s="2"/>
    </row>
    <row r="491" spans="1:29" ht="15" customHeight="1">
      <c r="A491" s="1101">
        <v>6794</v>
      </c>
      <c r="B491" s="165" t="s">
        <v>1368</v>
      </c>
      <c r="C491" s="934" t="s">
        <v>175</v>
      </c>
      <c r="D491" s="934" t="s">
        <v>246</v>
      </c>
      <c r="E491" s="981" t="s">
        <v>1913</v>
      </c>
      <c r="F491" s="982"/>
      <c r="G491" s="981" t="str">
        <f>+VLOOKUP(Data_Validation!$A491,BV_Data_An_Cour!$L:$Q,6,0)</f>
        <v>7-Dépenses</v>
      </c>
      <c r="H491" s="159"/>
      <c r="I491" s="2"/>
      <c r="J491" s="2"/>
      <c r="K491" s="2"/>
      <c r="L491" s="2"/>
      <c r="M491" s="2"/>
      <c r="N491" s="2"/>
      <c r="O491" s="2"/>
      <c r="P491" s="2"/>
      <c r="Q491" s="2"/>
      <c r="R491" s="2"/>
      <c r="S491" s="2"/>
      <c r="T491" s="2"/>
      <c r="U491" s="2"/>
      <c r="V491" s="2"/>
      <c r="W491" s="2"/>
      <c r="X491" s="2"/>
      <c r="Y491" s="2"/>
      <c r="Z491" s="2"/>
      <c r="AA491" s="2"/>
      <c r="AB491" s="2"/>
      <c r="AC491" s="2"/>
    </row>
    <row r="492" spans="1:29" ht="15" customHeight="1">
      <c r="A492" s="1108">
        <v>6795</v>
      </c>
      <c r="B492" s="163" t="s">
        <v>1902</v>
      </c>
      <c r="C492" s="934" t="s">
        <v>175</v>
      </c>
      <c r="D492" s="934" t="s">
        <v>252</v>
      </c>
      <c r="E492" s="981" t="s">
        <v>1913</v>
      </c>
      <c r="F492" s="981"/>
      <c r="G492" s="981" t="str">
        <f>+VLOOKUP(Data_Validation!$A361,BV_Data_An_Cour!$L:$Q,6,0)</f>
        <v>7-Dépenses</v>
      </c>
      <c r="H492" s="159"/>
    </row>
    <row r="493" spans="1:29" ht="15" customHeight="1">
      <c r="A493" s="1101">
        <v>9149</v>
      </c>
      <c r="B493" s="165" t="s">
        <v>2046</v>
      </c>
      <c r="C493" s="934" t="s">
        <v>75</v>
      </c>
      <c r="D493" s="934" t="s">
        <v>140</v>
      </c>
      <c r="E493" s="981" t="s">
        <v>1913</v>
      </c>
      <c r="F493" s="982"/>
      <c r="G493" s="981" t="e">
        <f>+VLOOKUP(Data_Validation!$A492,BV_Data_An_Cour!$L:$Q,6,0)</f>
        <v>#N/A</v>
      </c>
      <c r="H493" s="159"/>
    </row>
    <row r="494" spans="1:29" ht="15" customHeight="1">
      <c r="A494" s="1101">
        <v>9152</v>
      </c>
      <c r="B494" s="165" t="s">
        <v>2131</v>
      </c>
      <c r="C494" s="934" t="s">
        <v>175</v>
      </c>
      <c r="D494" s="934" t="s">
        <v>183</v>
      </c>
      <c r="E494" s="981" t="s">
        <v>1913</v>
      </c>
      <c r="F494" s="982"/>
      <c r="G494" s="981" t="str">
        <f>+VLOOKUP(Data_Validation!$A493,BV_Data_An_Cour!$L:$Q,6,0)</f>
        <v>8-Autres revenus</v>
      </c>
      <c r="H494" s="159"/>
    </row>
    <row r="495" spans="1:29" ht="15" customHeight="1">
      <c r="A495" s="1101">
        <v>9157</v>
      </c>
      <c r="B495" s="165" t="s">
        <v>2070</v>
      </c>
      <c r="C495" s="934" t="s">
        <v>75</v>
      </c>
      <c r="D495" s="934" t="s">
        <v>137</v>
      </c>
      <c r="E495" s="981" t="s">
        <v>1913</v>
      </c>
      <c r="F495" s="982"/>
      <c r="G495" s="981" t="str">
        <f>+VLOOKUP(Data_Validation!$A494,BV_Data_An_Cour!$L:$Q,6,0)</f>
        <v>8-Autres revenus</v>
      </c>
      <c r="H495" s="159"/>
    </row>
    <row r="496" spans="1:29" ht="15" customHeight="1">
      <c r="A496" s="1101">
        <v>9161</v>
      </c>
      <c r="B496" s="165" t="s">
        <v>2163</v>
      </c>
      <c r="C496" s="934" t="s">
        <v>75</v>
      </c>
      <c r="D496" s="934" t="s">
        <v>97</v>
      </c>
      <c r="E496" s="981" t="s">
        <v>1913</v>
      </c>
      <c r="F496" s="982" t="s">
        <v>1916</v>
      </c>
      <c r="G496" s="981" t="e">
        <f>+VLOOKUP(Data_Validation!$A495,BV_Data_An_Cour!$L:$Q,6,0)</f>
        <v>#N/A</v>
      </c>
      <c r="H496" s="159"/>
    </row>
    <row r="497" spans="1:29" ht="15" customHeight="1">
      <c r="A497" s="1101">
        <v>9163</v>
      </c>
      <c r="B497" s="165" t="s">
        <v>2077</v>
      </c>
      <c r="C497" s="934" t="s">
        <v>144</v>
      </c>
      <c r="D497" s="934" t="s">
        <v>97</v>
      </c>
      <c r="E497" s="981" t="s">
        <v>1913</v>
      </c>
      <c r="F497" s="982" t="s">
        <v>1916</v>
      </c>
      <c r="G497" s="981" t="str">
        <f>+VLOOKUP(Data_Validation!$A496,BV_Data_An_Cour!$L:$Q,6,0)</f>
        <v>8-Autres revenus</v>
      </c>
      <c r="H497" s="159"/>
      <c r="I497" s="2"/>
      <c r="J497" s="2"/>
      <c r="L497" s="2"/>
      <c r="M497" s="2"/>
      <c r="N497" s="2"/>
      <c r="O497" s="2"/>
      <c r="P497" s="2"/>
      <c r="Q497" s="2"/>
      <c r="R497" s="2"/>
      <c r="S497" s="2"/>
      <c r="T497" s="2"/>
      <c r="U497" s="2"/>
      <c r="V497" s="2"/>
      <c r="W497" s="2"/>
      <c r="X497" s="2"/>
      <c r="Y497" s="2"/>
      <c r="Z497" s="2"/>
      <c r="AA497" s="2"/>
      <c r="AB497" s="2"/>
      <c r="AC497" s="2"/>
    </row>
    <row r="498" spans="1:29" ht="15" customHeight="1">
      <c r="A498" s="1101">
        <v>9165</v>
      </c>
      <c r="B498" s="165" t="s">
        <v>2164</v>
      </c>
      <c r="C498" s="934" t="s">
        <v>75</v>
      </c>
      <c r="D498" s="934" t="s">
        <v>99</v>
      </c>
      <c r="E498" s="981" t="s">
        <v>1913</v>
      </c>
      <c r="F498" s="982" t="s">
        <v>1916</v>
      </c>
      <c r="G498" s="981" t="str">
        <f>+VLOOKUP(Data_Validation!$A497,BV_Data_An_Cour!$L:$Q,6,0)</f>
        <v>8-Autres revenus</v>
      </c>
      <c r="H498" s="159"/>
      <c r="K498" s="2"/>
    </row>
    <row r="499" spans="1:29" s="564" customFormat="1" ht="15" customHeight="1">
      <c r="A499" s="1101">
        <v>9167</v>
      </c>
      <c r="B499" s="165" t="s">
        <v>2172</v>
      </c>
      <c r="C499" s="934" t="s">
        <v>144</v>
      </c>
      <c r="D499" s="934" t="s">
        <v>99</v>
      </c>
      <c r="E499" s="981" t="s">
        <v>1913</v>
      </c>
      <c r="F499" s="982" t="s">
        <v>1916</v>
      </c>
      <c r="G499" s="981" t="str">
        <f>+VLOOKUP(Data_Validation!$A498,BV_Data_An_Cour!$L:$Q,6,0)</f>
        <v>8-Autres revenus</v>
      </c>
      <c r="H499" s="159"/>
      <c r="K499" s="159"/>
    </row>
    <row r="500" spans="1:29" ht="15" customHeight="1">
      <c r="A500" s="1101">
        <v>9169</v>
      </c>
      <c r="B500" s="165" t="s">
        <v>2085</v>
      </c>
      <c r="C500" s="934" t="s">
        <v>75</v>
      </c>
      <c r="D500" s="934" t="s">
        <v>98</v>
      </c>
      <c r="E500" s="981" t="s">
        <v>1913</v>
      </c>
      <c r="F500" s="982" t="s">
        <v>1916</v>
      </c>
      <c r="G500" s="981" t="str">
        <f>+VLOOKUP(Data_Validation!$A499,BV_Data_An_Cour!$L:$Q,6,0)</f>
        <v>8-Autres revenus</v>
      </c>
      <c r="H500" s="159"/>
    </row>
    <row r="501" spans="1:29" ht="15" customHeight="1">
      <c r="A501" s="1101">
        <v>9170</v>
      </c>
      <c r="B501" s="165" t="s">
        <v>2067</v>
      </c>
      <c r="C501" s="934" t="s">
        <v>75</v>
      </c>
      <c r="D501" s="934" t="s">
        <v>98</v>
      </c>
      <c r="E501" s="981" t="s">
        <v>1913</v>
      </c>
      <c r="F501" s="982" t="s">
        <v>1916</v>
      </c>
      <c r="G501" s="981" t="str">
        <f>+VLOOKUP(Data_Validation!$A500,BV_Data_An_Cour!$L:$Q,6,0)</f>
        <v>8-Autres revenus</v>
      </c>
      <c r="H501" s="159"/>
    </row>
    <row r="502" spans="1:29" ht="15" customHeight="1">
      <c r="A502" s="1101">
        <v>9171</v>
      </c>
      <c r="B502" s="165" t="s">
        <v>2081</v>
      </c>
      <c r="C502" s="934" t="s">
        <v>144</v>
      </c>
      <c r="D502" s="934" t="s">
        <v>98</v>
      </c>
      <c r="E502" s="981" t="s">
        <v>1913</v>
      </c>
      <c r="F502" s="982" t="s">
        <v>1916</v>
      </c>
      <c r="G502" s="981" t="str">
        <f>+VLOOKUP(Data_Validation!$A501,BV_Data_An_Cour!$L:$Q,6,0)</f>
        <v>8-Autres revenus</v>
      </c>
      <c r="H502" s="159"/>
    </row>
    <row r="503" spans="1:29" ht="15" customHeight="1">
      <c r="A503" s="1101">
        <v>9172</v>
      </c>
      <c r="B503" s="165" t="s">
        <v>2089</v>
      </c>
      <c r="C503" s="934" t="s">
        <v>144</v>
      </c>
      <c r="D503" s="934" t="s">
        <v>98</v>
      </c>
      <c r="E503" s="981" t="s">
        <v>1913</v>
      </c>
      <c r="F503" s="982" t="s">
        <v>1916</v>
      </c>
      <c r="G503" s="981" t="str">
        <f>+VLOOKUP(Data_Validation!$A502,BV_Data_An_Cour!$L:$Q,6,0)</f>
        <v>8-Autres revenus</v>
      </c>
      <c r="H503" s="159"/>
    </row>
    <row r="504" spans="1:29" ht="15" customHeight="1">
      <c r="A504" s="1101">
        <v>9173</v>
      </c>
      <c r="B504" s="165" t="s">
        <v>2073</v>
      </c>
      <c r="C504" s="934" t="s">
        <v>75</v>
      </c>
      <c r="D504" s="934" t="s">
        <v>141</v>
      </c>
      <c r="E504" s="981" t="s">
        <v>1913</v>
      </c>
      <c r="F504" s="982"/>
      <c r="G504" s="981" t="str">
        <f>+VLOOKUP(Data_Validation!$A503,BV_Data_An_Cour!$L:$Q,6,0)</f>
        <v>8-Autres revenus</v>
      </c>
      <c r="H504" s="157"/>
    </row>
    <row r="505" spans="1:29" ht="15" customHeight="1">
      <c r="A505" s="1101">
        <v>9191</v>
      </c>
      <c r="B505" s="165" t="s">
        <v>2055</v>
      </c>
      <c r="C505" s="934" t="s">
        <v>193</v>
      </c>
      <c r="D505" s="934" t="s">
        <v>255</v>
      </c>
      <c r="E505" s="981" t="s">
        <v>1913</v>
      </c>
      <c r="F505" s="982"/>
      <c r="G505" s="981" t="str">
        <f>+VLOOKUP(Data_Validation!$A504,BV_Data_An_Cour!$L:$Q,6,0)</f>
        <v>8-Autres revenus</v>
      </c>
      <c r="H505" s="159"/>
    </row>
    <row r="506" spans="1:29" ht="15" customHeight="1">
      <c r="A506" s="1101">
        <v>9192</v>
      </c>
      <c r="B506" s="165" t="s">
        <v>2954</v>
      </c>
      <c r="C506" s="934" t="s">
        <v>193</v>
      </c>
      <c r="D506" s="934" t="s">
        <v>255</v>
      </c>
      <c r="E506" s="981" t="s">
        <v>1913</v>
      </c>
      <c r="F506" s="982"/>
      <c r="G506" s="981" t="str">
        <f>+VLOOKUP(Data_Validation!$A505,BV_Data_An_Cour!$L:$Q,6,0)</f>
        <v>8-Autres revenus</v>
      </c>
      <c r="H506" s="159"/>
    </row>
    <row r="507" spans="1:29" ht="15" customHeight="1">
      <c r="A507" s="1101">
        <v>9402</v>
      </c>
      <c r="B507" s="165" t="s">
        <v>2641</v>
      </c>
      <c r="C507" s="934" t="s">
        <v>193</v>
      </c>
      <c r="D507" s="934" t="s">
        <v>262</v>
      </c>
      <c r="E507" s="981" t="s">
        <v>1913</v>
      </c>
      <c r="F507" s="982"/>
      <c r="G507" s="981" t="e">
        <f>+VLOOKUP(Data_Validation!$A506,BV_Data_An_Cour!$L:$Q,6,0)</f>
        <v>#N/A</v>
      </c>
      <c r="H507" s="159"/>
    </row>
    <row r="508" spans="1:29" ht="15" customHeight="1">
      <c r="A508" s="1101">
        <v>9403</v>
      </c>
      <c r="B508" s="165" t="s">
        <v>2167</v>
      </c>
      <c r="C508" s="934" t="s">
        <v>193</v>
      </c>
      <c r="D508" s="934" t="s">
        <v>261</v>
      </c>
      <c r="E508" s="981" t="s">
        <v>1913</v>
      </c>
      <c r="F508" s="982"/>
      <c r="G508" s="981" t="str">
        <f>+VLOOKUP(Data_Validation!$A507,BV_Data_An_Cour!$L:$Q,6,0)</f>
        <v>9-Autres déductions</v>
      </c>
      <c r="H508" s="159"/>
    </row>
    <row r="509" spans="1:29" ht="15" customHeight="1">
      <c r="A509" s="1101">
        <v>9404</v>
      </c>
      <c r="B509" s="165" t="s">
        <v>1386</v>
      </c>
      <c r="C509" s="934" t="s">
        <v>193</v>
      </c>
      <c r="D509" s="934" t="s">
        <v>262</v>
      </c>
      <c r="E509" s="981" t="s">
        <v>1913</v>
      </c>
      <c r="F509" s="982"/>
      <c r="G509" s="981" t="e">
        <f>+VLOOKUP(Data_Validation!$A508,BV_Data_An_Cour!$L:$Q,6,0)</f>
        <v>#N/A</v>
      </c>
      <c r="H509" s="159"/>
    </row>
    <row r="510" spans="1:29" ht="15" customHeight="1">
      <c r="A510" s="1101">
        <v>9406</v>
      </c>
      <c r="B510" s="165" t="s">
        <v>1382</v>
      </c>
      <c r="C510" s="934" t="s">
        <v>75</v>
      </c>
      <c r="D510" s="934" t="s">
        <v>134</v>
      </c>
      <c r="E510" s="981" t="s">
        <v>1913</v>
      </c>
      <c r="F510" s="982"/>
      <c r="G510" s="981" t="str">
        <f>+VLOOKUP(Data_Validation!$A509,BV_Data_An_Cour!$L:$Q,6,0)</f>
        <v>9-Autres déductions</v>
      </c>
      <c r="H510" s="159"/>
    </row>
    <row r="511" spans="1:29" ht="15" customHeight="1">
      <c r="A511" s="162" t="s">
        <v>2469</v>
      </c>
      <c r="B511" s="163" t="s">
        <v>2468</v>
      </c>
      <c r="C511" s="934" t="s">
        <v>1638</v>
      </c>
      <c r="D511" s="934"/>
      <c r="E511" s="984" t="s">
        <v>1911</v>
      </c>
      <c r="F511" s="982"/>
      <c r="G511" s="981" t="str">
        <f>+VLOOKUP(Data_Validation!$A510,BV_Data_An_Cour!$L:$Q,6,0)</f>
        <v>9-Autres déductions</v>
      </c>
      <c r="H511" s="159"/>
    </row>
    <row r="512" spans="1:29" ht="15" customHeight="1">
      <c r="A512" s="162" t="s">
        <v>2471</v>
      </c>
      <c r="B512" s="163" t="s">
        <v>2470</v>
      </c>
      <c r="C512" s="934" t="s">
        <v>1638</v>
      </c>
      <c r="D512" s="934"/>
      <c r="E512" s="984" t="s">
        <v>1911</v>
      </c>
      <c r="F512" s="982"/>
      <c r="G512" s="981" t="str">
        <f>+VLOOKUP(Data_Validation!$A511,BV_Data_An_Cour!$L:$Q,6,0)</f>
        <v>10-Compte compteur</v>
      </c>
      <c r="H512" s="159"/>
    </row>
    <row r="513" spans="1:29" ht="15" customHeight="1">
      <c r="A513" s="1101" t="s">
        <v>2887</v>
      </c>
      <c r="B513" s="163" t="s">
        <v>2886</v>
      </c>
      <c r="C513" s="934"/>
      <c r="D513" s="934"/>
      <c r="E513" s="981"/>
      <c r="F513" s="982"/>
      <c r="G513" s="981" t="s">
        <v>1</v>
      </c>
      <c r="H513" s="159"/>
    </row>
    <row r="514" spans="1:29" s="564" customFormat="1" ht="15" customHeight="1">
      <c r="A514" s="162" t="s">
        <v>2474</v>
      </c>
      <c r="B514" s="163" t="s">
        <v>2473</v>
      </c>
      <c r="C514" s="934" t="s">
        <v>75</v>
      </c>
      <c r="D514" s="934" t="s">
        <v>96</v>
      </c>
      <c r="E514" s="984" t="s">
        <v>1911</v>
      </c>
      <c r="F514" s="984"/>
      <c r="G514" s="981" t="str">
        <f>+VLOOKUP(Data_Validation!$A512,BV_Data_An_Cour!$L:$Q,6,0)</f>
        <v>10-Compte compteur</v>
      </c>
      <c r="H514" s="159"/>
    </row>
    <row r="515" spans="1:29" ht="15" customHeight="1">
      <c r="A515" s="162" t="s">
        <v>2476</v>
      </c>
      <c r="B515" s="163" t="s">
        <v>2475</v>
      </c>
      <c r="C515" s="934" t="s">
        <v>75</v>
      </c>
      <c r="D515" s="934" t="s">
        <v>89</v>
      </c>
      <c r="E515" s="984" t="s">
        <v>1911</v>
      </c>
      <c r="F515" s="984"/>
      <c r="G515" s="981" t="e">
        <f>+VLOOKUP(Data_Validation!$A513,BV_Data_An_Cour!$L:$Q,6,0)</f>
        <v>#N/A</v>
      </c>
      <c r="H515" s="159"/>
    </row>
    <row r="516" spans="1:29" ht="15" customHeight="1">
      <c r="A516" s="994" t="s">
        <v>2478</v>
      </c>
      <c r="B516" s="997" t="s">
        <v>2477</v>
      </c>
      <c r="C516" s="993" t="s">
        <v>75</v>
      </c>
      <c r="D516" s="934" t="s">
        <v>89</v>
      </c>
      <c r="E516" s="984" t="s">
        <v>1911</v>
      </c>
      <c r="F516" s="984"/>
      <c r="G516" s="981" t="str">
        <f>+VLOOKUP(Data_Validation!$A514,BV_Data_An_Cour!$L:$Q,6,0)</f>
        <v>10-Compte compteur</v>
      </c>
      <c r="H516" s="159"/>
      <c r="I516" s="2"/>
      <c r="J516" s="2"/>
      <c r="L516" s="2"/>
      <c r="M516" s="2"/>
      <c r="N516" s="2"/>
      <c r="O516" s="2"/>
      <c r="P516" s="2"/>
      <c r="Q516" s="2"/>
      <c r="R516" s="2"/>
      <c r="S516" s="2"/>
      <c r="T516" s="2"/>
      <c r="U516" s="2"/>
      <c r="V516" s="2"/>
      <c r="W516" s="2"/>
      <c r="X516" s="2"/>
      <c r="Y516" s="2"/>
      <c r="Z516" s="2"/>
      <c r="AA516" s="2"/>
      <c r="AB516" s="2"/>
      <c r="AC516" s="2"/>
    </row>
    <row r="517" spans="1:29" ht="15" customHeight="1">
      <c r="A517" s="162" t="s">
        <v>2480</v>
      </c>
      <c r="B517" s="163" t="s">
        <v>2479</v>
      </c>
      <c r="C517" s="934" t="s">
        <v>75</v>
      </c>
      <c r="D517" s="934" t="s">
        <v>89</v>
      </c>
      <c r="E517" s="984" t="s">
        <v>1911</v>
      </c>
      <c r="F517" s="984"/>
      <c r="G517" s="981" t="e">
        <f>+VLOOKUP(Data_Validation!$A515,BV_Data_An_Cour!$L:$Q,6,0)</f>
        <v>#N/A</v>
      </c>
      <c r="H517" s="159"/>
    </row>
    <row r="518" spans="1:29" ht="15" customHeight="1">
      <c r="A518" s="162" t="s">
        <v>2482</v>
      </c>
      <c r="B518" s="163" t="s">
        <v>2481</v>
      </c>
      <c r="C518" s="1381" t="s">
        <v>75</v>
      </c>
      <c r="D518" s="934" t="s">
        <v>89</v>
      </c>
      <c r="E518" s="984" t="s">
        <v>1911</v>
      </c>
      <c r="F518" s="984"/>
      <c r="G518" s="981" t="e">
        <f>+VLOOKUP(Data_Validation!$A516,BV_Data_An_Cour!$L:$Q,6,0)</f>
        <v>#N/A</v>
      </c>
      <c r="H518" s="159"/>
    </row>
    <row r="519" spans="1:29" ht="15" customHeight="1">
      <c r="A519" s="162" t="s">
        <v>2484</v>
      </c>
      <c r="B519" s="163" t="s">
        <v>2483</v>
      </c>
      <c r="C519" s="934" t="s">
        <v>75</v>
      </c>
      <c r="D519" s="934" t="s">
        <v>89</v>
      </c>
      <c r="E519" s="984" t="s">
        <v>1911</v>
      </c>
      <c r="F519" s="984"/>
      <c r="G519" s="981" t="e">
        <f>+VLOOKUP(Data_Validation!$A517,BV_Data_An_Cour!$L:$Q,6,0)</f>
        <v>#N/A</v>
      </c>
      <c r="H519" s="159"/>
    </row>
    <row r="520" spans="1:29" ht="15" customHeight="1">
      <c r="A520" s="162" t="s">
        <v>2486</v>
      </c>
      <c r="B520" s="163" t="s">
        <v>2485</v>
      </c>
      <c r="C520" s="934" t="s">
        <v>75</v>
      </c>
      <c r="D520" s="934" t="s">
        <v>89</v>
      </c>
      <c r="E520" s="984" t="s">
        <v>1911</v>
      </c>
      <c r="F520" s="984"/>
      <c r="G520" s="981" t="str">
        <f>+VLOOKUP(Data_Validation!$A518,BV_Data_An_Cour!$L:$Q,6,0)</f>
        <v>10-Compte compteur</v>
      </c>
      <c r="H520" s="159"/>
    </row>
    <row r="521" spans="1:29" ht="15" customHeight="1">
      <c r="A521" s="162" t="s">
        <v>2488</v>
      </c>
      <c r="B521" s="163" t="s">
        <v>2487</v>
      </c>
      <c r="C521" s="934" t="s">
        <v>75</v>
      </c>
      <c r="D521" s="934" t="s">
        <v>89</v>
      </c>
      <c r="E521" s="984" t="s">
        <v>1911</v>
      </c>
      <c r="F521" s="984"/>
      <c r="G521" s="981" t="str">
        <f>+VLOOKUP(Data_Validation!$A519,BV_Data_An_Cour!$L:$Q,6,0)</f>
        <v>10-Compte compteur</v>
      </c>
      <c r="H521" s="159"/>
    </row>
    <row r="522" spans="1:29" ht="15" customHeight="1">
      <c r="A522" s="162" t="s">
        <v>2897</v>
      </c>
      <c r="B522" s="163" t="s">
        <v>2900</v>
      </c>
      <c r="C522" s="934" t="s">
        <v>75</v>
      </c>
      <c r="D522" s="934" t="s">
        <v>90</v>
      </c>
      <c r="E522" s="984" t="s">
        <v>1911</v>
      </c>
      <c r="F522" s="984"/>
      <c r="G522" s="981" t="e">
        <f>+VLOOKUP(Data_Validation!$A520,BV_Data_An_Cour!$L:$Q,6,0)</f>
        <v>#N/A</v>
      </c>
      <c r="H522" s="159"/>
    </row>
    <row r="523" spans="1:29" ht="15" customHeight="1">
      <c r="A523" s="162" t="s">
        <v>2490</v>
      </c>
      <c r="B523" s="163" t="s">
        <v>2489</v>
      </c>
      <c r="C523" s="934" t="s">
        <v>75</v>
      </c>
      <c r="D523" s="934" t="s">
        <v>90</v>
      </c>
      <c r="E523" s="984" t="s">
        <v>1911</v>
      </c>
      <c r="F523" s="984"/>
      <c r="G523" s="981" t="e">
        <f>+VLOOKUP(Data_Validation!$A521,BV_Data_An_Cour!$L:$Q,6,0)</f>
        <v>#N/A</v>
      </c>
      <c r="H523" s="159"/>
    </row>
    <row r="524" spans="1:29" ht="15" customHeight="1">
      <c r="A524" s="929" t="s">
        <v>2884</v>
      </c>
      <c r="B524" s="165" t="s">
        <v>2883</v>
      </c>
      <c r="C524" s="934" t="s">
        <v>75</v>
      </c>
      <c r="D524" s="934" t="s">
        <v>90</v>
      </c>
      <c r="E524" s="984" t="s">
        <v>1911</v>
      </c>
      <c r="F524" s="982"/>
      <c r="G524" s="981" t="str">
        <f>+VLOOKUP(Data_Validation!$A558,BV_Data_An_Cour!$L:$Q,6,0)</f>
        <v>10-Compte compteur</v>
      </c>
      <c r="H524" s="159"/>
    </row>
    <row r="525" spans="1:29" ht="15" customHeight="1">
      <c r="A525" s="162" t="s">
        <v>2492</v>
      </c>
      <c r="B525" s="163" t="s">
        <v>2491</v>
      </c>
      <c r="C525" s="934" t="s">
        <v>75</v>
      </c>
      <c r="D525" s="934" t="s">
        <v>89</v>
      </c>
      <c r="E525" s="984" t="s">
        <v>1911</v>
      </c>
      <c r="F525" s="984"/>
      <c r="G525" s="981" t="str">
        <f>+VLOOKUP(Data_Validation!$A522,BV_Data_An_Cour!$L:$Q,6,0)</f>
        <v>10-Compte compteur</v>
      </c>
      <c r="H525" s="159"/>
    </row>
    <row r="526" spans="1:29" ht="15" customHeight="1">
      <c r="A526" s="163" t="s">
        <v>2494</v>
      </c>
      <c r="B526" s="163" t="s">
        <v>2493</v>
      </c>
      <c r="C526" s="934" t="s">
        <v>75</v>
      </c>
      <c r="D526" s="934" t="s">
        <v>90</v>
      </c>
      <c r="E526" s="984" t="s">
        <v>1911</v>
      </c>
      <c r="F526" s="984"/>
      <c r="G526" s="981" t="str">
        <f>+VLOOKUP(Data_Validation!$A523,BV_Data_An_Cour!$L:$Q,6,0)</f>
        <v>10-Compte compteur</v>
      </c>
      <c r="H526" s="159"/>
    </row>
    <row r="527" spans="1:29" ht="15" customHeight="1">
      <c r="A527" s="162" t="s">
        <v>2496</v>
      </c>
      <c r="B527" s="163" t="s">
        <v>2495</v>
      </c>
      <c r="C527" s="934" t="s">
        <v>75</v>
      </c>
      <c r="D527" s="934" t="s">
        <v>89</v>
      </c>
      <c r="E527" s="984" t="s">
        <v>1911</v>
      </c>
      <c r="F527" s="984"/>
      <c r="G527" s="981" t="str">
        <f>+VLOOKUP(Data_Validation!$A524,BV_Data_An_Cour!$L:$Q,6,0)</f>
        <v>10-Compte compteur</v>
      </c>
      <c r="H527" s="159"/>
    </row>
    <row r="528" spans="1:29" ht="15" customHeight="1">
      <c r="A528" s="162" t="s">
        <v>2499</v>
      </c>
      <c r="B528" s="163" t="s">
        <v>2498</v>
      </c>
      <c r="C528" s="934" t="s">
        <v>75</v>
      </c>
      <c r="D528" s="934" t="s">
        <v>95</v>
      </c>
      <c r="E528" s="984" t="s">
        <v>1911</v>
      </c>
      <c r="F528" s="984"/>
      <c r="G528" s="981" t="str">
        <f>+VLOOKUP(Data_Validation!$A525,BV_Data_An_Cour!$L:$Q,6,0)</f>
        <v>10-Compte compteur</v>
      </c>
      <c r="H528" s="159"/>
    </row>
    <row r="529" spans="1:11" ht="15" customHeight="1">
      <c r="A529" s="163" t="s">
        <v>2501</v>
      </c>
      <c r="B529" s="163" t="s">
        <v>2500</v>
      </c>
      <c r="C529" s="934" t="s">
        <v>75</v>
      </c>
      <c r="D529" s="934" t="s">
        <v>94</v>
      </c>
      <c r="E529" s="984" t="s">
        <v>1911</v>
      </c>
      <c r="F529" s="984"/>
      <c r="G529" s="981" t="str">
        <f>+VLOOKUP(Data_Validation!$A526,BV_Data_An_Cour!$L:$Q,6,0)</f>
        <v>10-Compte compteur</v>
      </c>
      <c r="H529" s="159"/>
    </row>
    <row r="530" spans="1:11" ht="15" customHeight="1">
      <c r="A530" s="162" t="s">
        <v>3359</v>
      </c>
      <c r="B530" s="163" t="s">
        <v>3362</v>
      </c>
      <c r="C530" s="934" t="s">
        <v>75</v>
      </c>
      <c r="D530" s="934" t="s">
        <v>89</v>
      </c>
      <c r="E530" s="984" t="s">
        <v>1911</v>
      </c>
      <c r="F530" s="984"/>
      <c r="G530" s="981" t="e">
        <f>+VLOOKUP(Data_Validation!$A527,BV_Data_An_Cour!$L:$Q,6,0)</f>
        <v>#N/A</v>
      </c>
      <c r="H530" s="159"/>
    </row>
    <row r="531" spans="1:11" ht="15" customHeight="1">
      <c r="A531" s="162" t="s">
        <v>2503</v>
      </c>
      <c r="B531" s="163" t="s">
        <v>2502</v>
      </c>
      <c r="C531" s="934" t="s">
        <v>144</v>
      </c>
      <c r="D531" s="934" t="s">
        <v>146</v>
      </c>
      <c r="E531" s="984" t="s">
        <v>1911</v>
      </c>
      <c r="F531" s="984"/>
      <c r="G531" s="981" t="str">
        <f>+VLOOKUP(Data_Validation!$A528,BV_Data_An_Cour!$L:$Q,6,0)</f>
        <v>10-Compte compteur</v>
      </c>
      <c r="H531" s="159"/>
    </row>
    <row r="532" spans="1:11" ht="15" customHeight="1">
      <c r="A532" s="162" t="s">
        <v>2505</v>
      </c>
      <c r="B532" s="163" t="s">
        <v>2504</v>
      </c>
      <c r="C532" s="934" t="s">
        <v>144</v>
      </c>
      <c r="D532" s="934" t="s">
        <v>147</v>
      </c>
      <c r="E532" s="984" t="s">
        <v>1911</v>
      </c>
      <c r="F532" s="984"/>
      <c r="G532" s="981" t="str">
        <f>+VLOOKUP(Data_Validation!$A529,BV_Data_An_Cour!$L:$Q,6,0)</f>
        <v>10-Compte compteur</v>
      </c>
      <c r="H532" s="159"/>
    </row>
    <row r="533" spans="1:11" ht="15" customHeight="1">
      <c r="A533" s="162" t="s">
        <v>2507</v>
      </c>
      <c r="B533" s="163" t="s">
        <v>2506</v>
      </c>
      <c r="C533" s="934" t="s">
        <v>144</v>
      </c>
      <c r="D533" s="934" t="s">
        <v>147</v>
      </c>
      <c r="E533" s="984" t="s">
        <v>1911</v>
      </c>
      <c r="F533" s="984"/>
      <c r="G533" s="981" t="str">
        <f>+VLOOKUP(Data_Validation!$A530,BV_Data_An_Cour!$L:$Q,6,0)</f>
        <v>10-Compte compteur</v>
      </c>
      <c r="H533" s="159"/>
    </row>
    <row r="534" spans="1:11" ht="15" customHeight="1">
      <c r="A534" s="162" t="s">
        <v>2509</v>
      </c>
      <c r="B534" s="163" t="s">
        <v>2508</v>
      </c>
      <c r="C534" s="934" t="s">
        <v>144</v>
      </c>
      <c r="D534" s="934" t="s">
        <v>150</v>
      </c>
      <c r="E534" s="984" t="s">
        <v>1911</v>
      </c>
      <c r="F534" s="984"/>
      <c r="G534" s="981" t="str">
        <f>+VLOOKUP(Data_Validation!$A531,BV_Data_An_Cour!$L:$Q,6,0)</f>
        <v>10-Compte compteur</v>
      </c>
      <c r="H534" s="159"/>
    </row>
    <row r="535" spans="1:11" s="564" customFormat="1" ht="15" customHeight="1">
      <c r="A535" s="162" t="s">
        <v>2510</v>
      </c>
      <c r="B535" s="163" t="s">
        <v>2004</v>
      </c>
      <c r="C535" s="934" t="s">
        <v>155</v>
      </c>
      <c r="D535" s="934" t="s">
        <v>159</v>
      </c>
      <c r="E535" s="984" t="s">
        <v>1911</v>
      </c>
      <c r="F535" s="984"/>
      <c r="G535" s="981" t="e">
        <f>+VLOOKUP(Data_Validation!$A532,BV_Data_An_Cour!$L:$Q,6,0)</f>
        <v>#N/A</v>
      </c>
      <c r="H535" s="159"/>
    </row>
    <row r="536" spans="1:11" ht="15" customHeight="1">
      <c r="A536" s="990" t="s">
        <v>2512</v>
      </c>
      <c r="B536" s="991" t="s">
        <v>2511</v>
      </c>
      <c r="C536" s="934" t="s">
        <v>155</v>
      </c>
      <c r="D536" s="934" t="s">
        <v>163</v>
      </c>
      <c r="E536" s="984" t="s">
        <v>1911</v>
      </c>
      <c r="F536" s="984"/>
      <c r="G536" s="981" t="str">
        <f>+VLOOKUP(Data_Validation!$A533,BV_Data_An_Cour!$L:$Q,6,0)</f>
        <v>10-Compte compteur</v>
      </c>
      <c r="H536" s="159"/>
    </row>
    <row r="537" spans="1:11" ht="15" customHeight="1">
      <c r="A537" s="162" t="s">
        <v>2513</v>
      </c>
      <c r="B537" s="163" t="s">
        <v>2034</v>
      </c>
      <c r="C537" s="934" t="s">
        <v>155</v>
      </c>
      <c r="D537" s="934" t="s">
        <v>161</v>
      </c>
      <c r="E537" s="984" t="s">
        <v>1911</v>
      </c>
      <c r="F537" s="984"/>
      <c r="G537" s="981" t="str">
        <f>+VLOOKUP(Data_Validation!$A534,BV_Data_An_Cour!$L:$Q,6,0)</f>
        <v>10-Compte compteur</v>
      </c>
      <c r="H537" s="159"/>
    </row>
    <row r="538" spans="1:11" ht="15" customHeight="1">
      <c r="A538" s="162" t="s">
        <v>2514</v>
      </c>
      <c r="B538" s="163" t="s">
        <v>2044</v>
      </c>
      <c r="C538" s="934" t="s">
        <v>155</v>
      </c>
      <c r="D538" s="934" t="s">
        <v>162</v>
      </c>
      <c r="E538" s="984" t="s">
        <v>1911</v>
      </c>
      <c r="F538" s="984"/>
      <c r="G538" s="981" t="str">
        <f>+VLOOKUP(Data_Validation!$A535,BV_Data_An_Cour!$L:$Q,6,0)</f>
        <v>10-Compte compteur</v>
      </c>
      <c r="H538" s="159"/>
    </row>
    <row r="539" spans="1:11" ht="15" customHeight="1">
      <c r="A539" s="162" t="s">
        <v>2516</v>
      </c>
      <c r="B539" s="163" t="s">
        <v>2515</v>
      </c>
      <c r="C539" s="934" t="s">
        <v>155</v>
      </c>
      <c r="D539" s="934" t="s">
        <v>159</v>
      </c>
      <c r="E539" s="984" t="s">
        <v>1911</v>
      </c>
      <c r="F539" s="984"/>
      <c r="G539" s="981" t="e">
        <f>+VLOOKUP(Data_Validation!$A536,BV_Data_An_Cour!$L:$Q,6,0)</f>
        <v>#N/A</v>
      </c>
      <c r="H539" s="159"/>
    </row>
    <row r="540" spans="1:11" ht="15" customHeight="1">
      <c r="A540" s="162" t="s">
        <v>2517</v>
      </c>
      <c r="B540" s="163" t="s">
        <v>2064</v>
      </c>
      <c r="C540" s="934" t="s">
        <v>175</v>
      </c>
      <c r="D540" s="934" t="s">
        <v>187</v>
      </c>
      <c r="E540" s="984" t="s">
        <v>1911</v>
      </c>
      <c r="F540" s="984"/>
      <c r="G540" s="981" t="str">
        <f>+VLOOKUP(Data_Validation!$A537,BV_Data_An_Cour!$L:$Q,6,0)</f>
        <v>10-Compte compteur</v>
      </c>
      <c r="H540" s="159"/>
    </row>
    <row r="541" spans="1:11" ht="15" customHeight="1">
      <c r="A541" s="990" t="s">
        <v>2518</v>
      </c>
      <c r="B541" s="997" t="s">
        <v>2137</v>
      </c>
      <c r="C541" s="993" t="s">
        <v>155</v>
      </c>
      <c r="D541" s="934" t="s">
        <v>167</v>
      </c>
      <c r="E541" s="984" t="s">
        <v>1911</v>
      </c>
      <c r="F541" s="984"/>
      <c r="G541" s="981" t="str">
        <f>+VLOOKUP(Data_Validation!$A538,BV_Data_An_Cour!$L:$Q,6,0)</f>
        <v>10-Compte compteur</v>
      </c>
      <c r="H541" s="159"/>
    </row>
    <row r="542" spans="1:11" s="564" customFormat="1" ht="15" customHeight="1">
      <c r="A542" s="990" t="s">
        <v>2520</v>
      </c>
      <c r="B542" s="997" t="s">
        <v>2519</v>
      </c>
      <c r="C542" s="993" t="s">
        <v>155</v>
      </c>
      <c r="D542" s="934" t="s">
        <v>167</v>
      </c>
      <c r="E542" s="984" t="s">
        <v>1911</v>
      </c>
      <c r="F542" s="984"/>
      <c r="G542" s="981" t="e">
        <f>+VLOOKUP(Data_Validation!$A539,BV_Data_An_Cour!$L:$Q,6,0)</f>
        <v>#N/A</v>
      </c>
      <c r="H542" s="159"/>
    </row>
    <row r="543" spans="1:11" ht="15" customHeight="1">
      <c r="A543" s="162" t="s">
        <v>2522</v>
      </c>
      <c r="B543" s="163" t="s">
        <v>2521</v>
      </c>
      <c r="C543" s="934" t="s">
        <v>155</v>
      </c>
      <c r="D543" s="934" t="s">
        <v>167</v>
      </c>
      <c r="E543" s="984" t="s">
        <v>1911</v>
      </c>
      <c r="F543" s="984"/>
      <c r="G543" s="981" t="str">
        <f>+VLOOKUP(Data_Validation!$A540,BV_Data_An_Cour!$L:$Q,6,0)</f>
        <v>10-Compte compteur</v>
      </c>
      <c r="H543" s="159"/>
    </row>
    <row r="544" spans="1:11" ht="15" customHeight="1">
      <c r="A544" s="990" t="s">
        <v>3257</v>
      </c>
      <c r="B544" s="998" t="s">
        <v>3256</v>
      </c>
      <c r="C544" s="1381" t="s">
        <v>171</v>
      </c>
      <c r="D544" s="934" t="s">
        <v>172</v>
      </c>
      <c r="E544" s="984" t="s">
        <v>1911</v>
      </c>
      <c r="F544" s="984"/>
      <c r="G544" s="981" t="str">
        <f>+VLOOKUP(Data_Validation!$A542,BV_Data_An_Cour!$L:$Q,6,0)</f>
        <v>10-Compte compteur</v>
      </c>
      <c r="H544" s="159"/>
      <c r="K544" s="2"/>
    </row>
    <row r="545" spans="1:11" ht="15" customHeight="1">
      <c r="A545" s="990" t="s">
        <v>2524</v>
      </c>
      <c r="B545" s="997" t="s">
        <v>2523</v>
      </c>
      <c r="C545" s="993" t="s">
        <v>171</v>
      </c>
      <c r="D545" s="934" t="s">
        <v>172</v>
      </c>
      <c r="E545" s="984" t="s">
        <v>1911</v>
      </c>
      <c r="F545" s="984"/>
      <c r="G545" s="981" t="str">
        <f>+VLOOKUP(Data_Validation!$A541,BV_Data_An_Cour!$L:$Q,6,0)</f>
        <v>10-Compte compteur</v>
      </c>
      <c r="H545" s="159"/>
    </row>
    <row r="546" spans="1:11" ht="15" customHeight="1">
      <c r="A546" s="162" t="s">
        <v>2526</v>
      </c>
      <c r="B546" s="997" t="s">
        <v>2525</v>
      </c>
      <c r="C546" s="993" t="s">
        <v>171</v>
      </c>
      <c r="D546" s="934" t="s">
        <v>172</v>
      </c>
      <c r="E546" s="984" t="s">
        <v>1911</v>
      </c>
      <c r="F546" s="984"/>
      <c r="G546" s="981" t="str">
        <f>+VLOOKUP(Data_Validation!$A543,BV_Data_An_Cour!$L:$Q,6,0)</f>
        <v>10-Compte compteur</v>
      </c>
      <c r="H546" s="159"/>
    </row>
    <row r="547" spans="1:11" ht="15" customHeight="1">
      <c r="A547" s="163" t="s">
        <v>2528</v>
      </c>
      <c r="B547" s="163" t="s">
        <v>2527</v>
      </c>
      <c r="C547" s="934" t="s">
        <v>171</v>
      </c>
      <c r="D547" s="934" t="s">
        <v>172</v>
      </c>
      <c r="E547" s="984" t="s">
        <v>1911</v>
      </c>
      <c r="F547" s="984"/>
      <c r="G547" s="981" t="str">
        <f>+VLOOKUP(Data_Validation!$A544,BV_Data_An_Cour!$L:$Q,6,0)</f>
        <v>10-Compte compteur</v>
      </c>
      <c r="H547" s="159"/>
    </row>
    <row r="548" spans="1:11" ht="15" customHeight="1">
      <c r="A548" s="162" t="s">
        <v>2530</v>
      </c>
      <c r="B548" s="163" t="s">
        <v>2529</v>
      </c>
      <c r="C548" s="1381" t="s">
        <v>175</v>
      </c>
      <c r="D548" s="934" t="s">
        <v>177</v>
      </c>
      <c r="E548" s="984" t="s">
        <v>1911</v>
      </c>
      <c r="F548" s="984"/>
      <c r="G548" s="981" t="str">
        <f>+VLOOKUP(Data_Validation!$A545,BV_Data_An_Cour!$L:$Q,6,0)</f>
        <v>10-Compte compteur</v>
      </c>
      <c r="H548" s="159"/>
    </row>
    <row r="549" spans="1:11" ht="15" customHeight="1">
      <c r="A549" s="162" t="s">
        <v>2532</v>
      </c>
      <c r="B549" s="163" t="s">
        <v>2531</v>
      </c>
      <c r="C549" s="1381" t="s">
        <v>175</v>
      </c>
      <c r="D549" s="934" t="s">
        <v>179</v>
      </c>
      <c r="E549" s="984" t="s">
        <v>1911</v>
      </c>
      <c r="F549" s="982"/>
      <c r="G549" s="981" t="str">
        <f>+VLOOKUP(Data_Validation!$A546,BV_Data_An_Cour!$L:$Q,6,0)</f>
        <v>10-Compte compteur</v>
      </c>
      <c r="H549" s="159"/>
    </row>
    <row r="550" spans="1:11" ht="15" customHeight="1">
      <c r="A550" s="162" t="s">
        <v>2534</v>
      </c>
      <c r="B550" s="163" t="s">
        <v>2533</v>
      </c>
      <c r="C550" s="934" t="s">
        <v>175</v>
      </c>
      <c r="D550" s="934" t="s">
        <v>180</v>
      </c>
      <c r="E550" s="984" t="s">
        <v>1911</v>
      </c>
      <c r="F550" s="982"/>
      <c r="G550" s="981" t="str">
        <f>+VLOOKUP(Data_Validation!$A547,BV_Data_An_Cour!$L:$Q,6,0)</f>
        <v>10-Compte compteur</v>
      </c>
      <c r="H550" s="159"/>
    </row>
    <row r="551" spans="1:11" ht="15" customHeight="1">
      <c r="A551" s="163" t="s">
        <v>2536</v>
      </c>
      <c r="B551" s="163" t="s">
        <v>2535</v>
      </c>
      <c r="C551" s="934" t="s">
        <v>175</v>
      </c>
      <c r="D551" s="934" t="s">
        <v>177</v>
      </c>
      <c r="E551" s="984" t="s">
        <v>1911</v>
      </c>
      <c r="F551" s="982"/>
      <c r="G551" s="981" t="str">
        <f>+VLOOKUP(Data_Validation!$A548,BV_Data_An_Cour!$L:$Q,6,0)</f>
        <v>10-Compte compteur</v>
      </c>
      <c r="H551" s="159"/>
    </row>
    <row r="552" spans="1:11" ht="15" customHeight="1">
      <c r="A552" s="991" t="s">
        <v>2917</v>
      </c>
      <c r="B552" s="991" t="s">
        <v>2916</v>
      </c>
      <c r="C552" s="934" t="s">
        <v>175</v>
      </c>
      <c r="D552" s="934" t="s">
        <v>180</v>
      </c>
      <c r="E552" s="984" t="s">
        <v>1911</v>
      </c>
      <c r="F552" s="982"/>
      <c r="G552" s="981" t="str">
        <f>+VLOOKUP(Data_Validation!$A549,BV_Data_An_Cour!$L:$Q,6,0)</f>
        <v>10-Compte compteur</v>
      </c>
      <c r="H552" s="159"/>
    </row>
    <row r="553" spans="1:11" ht="15" customHeight="1">
      <c r="A553" s="990" t="s">
        <v>2538</v>
      </c>
      <c r="B553" s="991" t="s">
        <v>2537</v>
      </c>
      <c r="C553" s="934" t="s">
        <v>175</v>
      </c>
      <c r="D553" s="934" t="s">
        <v>177</v>
      </c>
      <c r="E553" s="984" t="s">
        <v>1911</v>
      </c>
      <c r="F553" s="982"/>
      <c r="G553" s="981" t="str">
        <f>+VLOOKUP(Data_Validation!$A550,BV_Data_An_Cour!$L:$Q,6,0)</f>
        <v>10-Compte compteur</v>
      </c>
      <c r="H553" s="159"/>
    </row>
    <row r="554" spans="1:11" ht="15" customHeight="1">
      <c r="A554" s="990" t="s">
        <v>2540</v>
      </c>
      <c r="B554" s="991" t="s">
        <v>2539</v>
      </c>
      <c r="C554" s="934" t="s">
        <v>175</v>
      </c>
      <c r="D554" s="934" t="s">
        <v>178</v>
      </c>
      <c r="E554" s="984" t="s">
        <v>1911</v>
      </c>
      <c r="F554" s="982"/>
      <c r="G554" s="981" t="str">
        <f>+VLOOKUP(Data_Validation!$A551,BV_Data_An_Cour!$L:$Q,6,0)</f>
        <v>10-Compte compteur</v>
      </c>
      <c r="H554" s="159"/>
    </row>
    <row r="555" spans="1:11" ht="15" customHeight="1">
      <c r="A555" s="932" t="s">
        <v>2542</v>
      </c>
      <c r="B555" s="937" t="s">
        <v>2541</v>
      </c>
      <c r="C555" s="934" t="s">
        <v>175</v>
      </c>
      <c r="D555" s="934" t="s">
        <v>178</v>
      </c>
      <c r="E555" s="984" t="s">
        <v>1911</v>
      </c>
      <c r="F555" s="982"/>
      <c r="G555" s="981" t="e">
        <f>+VLOOKUP(Data_Validation!$A552,BV_Data_An_Cour!$L:$Q,6,0)</f>
        <v>#N/A</v>
      </c>
      <c r="H555" s="159"/>
    </row>
    <row r="556" spans="1:11" ht="15" customHeight="1">
      <c r="A556" s="932" t="s">
        <v>2544</v>
      </c>
      <c r="B556" s="937" t="s">
        <v>2543</v>
      </c>
      <c r="C556" s="934" t="s">
        <v>175</v>
      </c>
      <c r="D556" s="934" t="s">
        <v>178</v>
      </c>
      <c r="E556" s="984" t="s">
        <v>1911</v>
      </c>
      <c r="F556" s="982"/>
      <c r="G556" s="981" t="e">
        <f>+VLOOKUP(Data_Validation!$A553,BV_Data_An_Cour!$L:$Q,6,0)</f>
        <v>#N/A</v>
      </c>
      <c r="H556" s="159"/>
    </row>
    <row r="557" spans="1:11" ht="15" customHeight="1">
      <c r="A557" s="932" t="s">
        <v>2546</v>
      </c>
      <c r="B557" s="937" t="s">
        <v>2545</v>
      </c>
      <c r="C557" s="934" t="s">
        <v>175</v>
      </c>
      <c r="D557" s="934" t="s">
        <v>181</v>
      </c>
      <c r="E557" s="984" t="s">
        <v>1911</v>
      </c>
      <c r="F557" s="982"/>
      <c r="G557" s="981" t="str">
        <f>+VLOOKUP(Data_Validation!$A554,BV_Data_An_Cour!$L:$Q,6,0)</f>
        <v>10-Compte compteur</v>
      </c>
      <c r="H557" s="159"/>
      <c r="K557" s="2"/>
    </row>
    <row r="558" spans="1:11" ht="15" customHeight="1">
      <c r="A558" s="932" t="s">
        <v>2548</v>
      </c>
      <c r="B558" s="937" t="s">
        <v>2547</v>
      </c>
      <c r="C558" s="934" t="s">
        <v>175</v>
      </c>
      <c r="D558" s="934" t="s">
        <v>182</v>
      </c>
      <c r="E558" s="984" t="s">
        <v>1911</v>
      </c>
      <c r="F558" s="982"/>
      <c r="G558" s="981" t="str">
        <f>+VLOOKUP(Data_Validation!$A555,BV_Data_An_Cour!$L:$Q,6,0)</f>
        <v>10-Compte compteur</v>
      </c>
      <c r="H558" s="159"/>
    </row>
    <row r="559" spans="1:11" ht="15" customHeight="1">
      <c r="A559" s="932" t="s">
        <v>2549</v>
      </c>
      <c r="B559" s="937" t="s">
        <v>2027</v>
      </c>
      <c r="C559" s="934" t="s">
        <v>175</v>
      </c>
      <c r="D559" s="934" t="s">
        <v>186</v>
      </c>
      <c r="E559" s="984" t="s">
        <v>1911</v>
      </c>
      <c r="F559" s="982"/>
      <c r="G559" s="981" t="str">
        <f>+VLOOKUP(Data_Validation!$A556,BV_Data_An_Cour!$L:$Q,6,0)</f>
        <v>10-Compte compteur</v>
      </c>
      <c r="H559" s="159"/>
    </row>
    <row r="560" spans="1:11" ht="15" customHeight="1">
      <c r="A560" s="1379" t="s">
        <v>3435</v>
      </c>
      <c r="B560" s="1380" t="s">
        <v>3434</v>
      </c>
      <c r="C560" s="934" t="s">
        <v>75</v>
      </c>
      <c r="D560" s="934"/>
      <c r="E560" s="984" t="s">
        <v>1911</v>
      </c>
      <c r="F560" s="982"/>
      <c r="G560" s="981" t="str">
        <f>+VLOOKUP(Data_Validation!$A560,BV_Data_An_Cour!$L:$Q,6,0)</f>
        <v>10-Compte compteur</v>
      </c>
      <c r="H560" s="159"/>
    </row>
    <row r="561" spans="1:8" ht="15" customHeight="1">
      <c r="A561" s="1379" t="s">
        <v>3436</v>
      </c>
      <c r="B561" s="1380" t="s">
        <v>2077</v>
      </c>
      <c r="C561" s="934" t="s">
        <v>144</v>
      </c>
      <c r="D561" s="934"/>
      <c r="E561" s="984" t="s">
        <v>1911</v>
      </c>
      <c r="F561" s="982"/>
      <c r="G561" s="981" t="str">
        <f>+VLOOKUP(Data_Validation!$A561,BV_Data_An_Cour!$L:$Q,6,0)</f>
        <v>10-Compte compteur</v>
      </c>
      <c r="H561" s="159"/>
    </row>
    <row r="562" spans="1:8" ht="15" customHeight="1">
      <c r="A562" s="1379" t="s">
        <v>3438</v>
      </c>
      <c r="B562" s="1380" t="s">
        <v>3437</v>
      </c>
      <c r="C562" s="934" t="s">
        <v>144</v>
      </c>
      <c r="D562" s="934"/>
      <c r="E562" s="984" t="s">
        <v>1911</v>
      </c>
      <c r="F562" s="982"/>
      <c r="G562" s="981" t="str">
        <f>+VLOOKUP(Data_Validation!$A562,BV_Data_An_Cour!$L:$Q,6,0)</f>
        <v>10-Compte compteur</v>
      </c>
      <c r="H562" s="159"/>
    </row>
    <row r="563" spans="1:8" ht="15" customHeight="1">
      <c r="A563" s="1379" t="s">
        <v>3440</v>
      </c>
      <c r="B563" s="1380" t="s">
        <v>3439</v>
      </c>
      <c r="C563" s="934" t="s">
        <v>144</v>
      </c>
      <c r="D563" s="934"/>
      <c r="E563" s="984" t="s">
        <v>1911</v>
      </c>
      <c r="F563" s="982"/>
      <c r="G563" s="981" t="str">
        <f>+VLOOKUP(Data_Validation!$A563,BV_Data_An_Cour!$L:$Q,6,0)</f>
        <v>10-Compte compteur</v>
      </c>
      <c r="H563" s="159"/>
    </row>
    <row r="564" spans="1:8" ht="15" customHeight="1">
      <c r="A564" s="1379" t="s">
        <v>3442</v>
      </c>
      <c r="B564" s="1380" t="s">
        <v>3441</v>
      </c>
      <c r="C564" s="934" t="s">
        <v>144</v>
      </c>
      <c r="D564" s="934"/>
      <c r="E564" s="984" t="s">
        <v>1911</v>
      </c>
      <c r="F564" s="982"/>
      <c r="G564" s="981" t="str">
        <f>+VLOOKUP(Data_Validation!$A564,BV_Data_An_Cour!$L:$Q,6,0)</f>
        <v>10-Compte compteur</v>
      </c>
      <c r="H564" s="159"/>
    </row>
    <row r="565" spans="1:8" ht="15" customHeight="1">
      <c r="A565" s="929"/>
      <c r="B565" s="165"/>
      <c r="C565" s="934"/>
      <c r="D565" s="934"/>
      <c r="E565" s="981"/>
      <c r="F565" s="982"/>
      <c r="G565" s="981">
        <f>+VLOOKUP(Data_Validation!$A565,BV_Data_An_Cour!$L:$Q,6,0)</f>
        <v>0</v>
      </c>
      <c r="H565" s="159"/>
    </row>
    <row r="566" spans="1:8" ht="15" customHeight="1">
      <c r="A566" s="161"/>
      <c r="B566" s="165"/>
      <c r="C566" s="934"/>
      <c r="D566" s="934"/>
      <c r="E566" s="981"/>
      <c r="F566" s="982"/>
      <c r="G566" s="981">
        <f>+VLOOKUP(Data_Validation!$A566,BV_Data_An_Cour!$L:$Q,6,0)</f>
        <v>0</v>
      </c>
      <c r="H566" s="159"/>
    </row>
    <row r="567" spans="1:8" ht="15" customHeight="1">
      <c r="A567" s="929"/>
      <c r="B567" s="165"/>
      <c r="C567" s="934"/>
      <c r="D567" s="934"/>
      <c r="E567" s="981"/>
      <c r="F567" s="982"/>
      <c r="G567" s="981">
        <f>+VLOOKUP(Data_Validation!$A567,BV_Data_An_Cour!$L:$Q,6,0)</f>
        <v>0</v>
      </c>
      <c r="H567" s="159"/>
    </row>
    <row r="568" spans="1:8" ht="15" customHeight="1">
      <c r="A568" s="165"/>
      <c r="B568" s="165"/>
      <c r="C568" s="934"/>
      <c r="D568" s="934"/>
      <c r="E568" s="981"/>
      <c r="F568" s="982"/>
      <c r="G568" s="981">
        <f>+VLOOKUP(Data_Validation!$A568,BV_Data_An_Cour!$L:$Q,6,0)</f>
        <v>0</v>
      </c>
      <c r="H568" s="159"/>
    </row>
    <row r="569" spans="1:8" ht="15" customHeight="1">
      <c r="A569" s="161"/>
      <c r="B569" s="160"/>
      <c r="C569" s="934"/>
      <c r="D569" s="934"/>
      <c r="E569" s="981"/>
      <c r="F569" s="982"/>
      <c r="G569" s="981">
        <f>+VLOOKUP(Data_Validation!$A569,BV_Data_An_Cour!$L:$Q,6,0)</f>
        <v>0</v>
      </c>
      <c r="H569" s="159"/>
    </row>
    <row r="570" spans="1:8" ht="15" customHeight="1">
      <c r="A570" s="165"/>
      <c r="B570" s="165"/>
      <c r="C570" s="934"/>
      <c r="D570" s="934"/>
      <c r="E570" s="981"/>
      <c r="F570" s="982"/>
      <c r="G570" s="981">
        <f>+VLOOKUP(Data_Validation!$A570,BV_Data_An_Cour!$L:$Q,6,0)</f>
        <v>0</v>
      </c>
      <c r="H570" s="159"/>
    </row>
    <row r="571" spans="1:8" ht="15" customHeight="1">
      <c r="A571" s="165"/>
      <c r="B571" s="165"/>
      <c r="C571" s="934"/>
      <c r="D571" s="934"/>
      <c r="E571" s="981"/>
      <c r="F571" s="982"/>
      <c r="G571" s="981">
        <f>+VLOOKUP(Data_Validation!$A571,BV_Data_An_Cour!$L:$Q,6,0)</f>
        <v>0</v>
      </c>
      <c r="H571" s="159"/>
    </row>
    <row r="572" spans="1:8" ht="15" customHeight="1">
      <c r="A572" s="929"/>
      <c r="B572" s="165"/>
      <c r="C572" s="934"/>
      <c r="D572" s="934"/>
      <c r="E572" s="981"/>
      <c r="F572" s="982"/>
      <c r="G572" s="981">
        <f>+VLOOKUP(Data_Validation!$A572,BV_Data_An_Cour!$L:$Q,6,0)</f>
        <v>0</v>
      </c>
      <c r="H572" s="159"/>
    </row>
    <row r="573" spans="1:8" ht="15" customHeight="1">
      <c r="A573" s="161"/>
      <c r="B573" s="160"/>
      <c r="C573" s="934"/>
      <c r="D573" s="934"/>
      <c r="E573" s="981"/>
      <c r="F573" s="982"/>
      <c r="G573" s="981">
        <f>+VLOOKUP(Data_Validation!$A573,BV_Data_An_Cour!$L:$Q,6,0)</f>
        <v>0</v>
      </c>
      <c r="H573" s="159"/>
    </row>
    <row r="574" spans="1:8" ht="15" customHeight="1">
      <c r="A574" s="162"/>
      <c r="B574" s="163"/>
      <c r="C574" s="934"/>
      <c r="D574" s="934"/>
      <c r="E574" s="981"/>
      <c r="F574" s="982"/>
      <c r="G574" s="981">
        <f>+VLOOKUP(Data_Validation!$A574,BV_Data_An_Cour!$L:$Q,6,0)</f>
        <v>0</v>
      </c>
      <c r="H574" s="159"/>
    </row>
    <row r="575" spans="1:8" ht="15" customHeight="1">
      <c r="A575" s="162"/>
      <c r="B575" s="163"/>
      <c r="C575" s="934"/>
      <c r="D575" s="934"/>
      <c r="E575" s="981"/>
      <c r="F575" s="982"/>
      <c r="G575" s="981">
        <f>+VLOOKUP(Data_Validation!$A575,BV_Data_An_Cour!$L:$Q,6,0)</f>
        <v>0</v>
      </c>
      <c r="H575" s="159"/>
    </row>
    <row r="576" spans="1:8" ht="15" customHeight="1">
      <c r="A576" s="161"/>
      <c r="B576" s="165"/>
      <c r="C576" s="934"/>
      <c r="D576" s="934"/>
      <c r="E576" s="981"/>
      <c r="F576" s="982"/>
      <c r="G576" s="981">
        <f>+VLOOKUP(Data_Validation!$A576,BV_Data_An_Cour!$L:$Q,6,0)</f>
        <v>0</v>
      </c>
      <c r="H576" s="159"/>
    </row>
    <row r="577" spans="1:29" ht="15" customHeight="1">
      <c r="A577" s="929"/>
      <c r="B577" s="165"/>
      <c r="C577" s="934"/>
      <c r="D577" s="934"/>
      <c r="E577" s="981"/>
      <c r="F577" s="982"/>
      <c r="G577" s="981">
        <f>+VLOOKUP(Data_Validation!$A577,BV_Data_An_Cour!$L:$Q,6,0)</f>
        <v>0</v>
      </c>
      <c r="H577" s="159"/>
    </row>
    <row r="578" spans="1:29" ht="15" customHeight="1">
      <c r="A578" s="929"/>
      <c r="B578" s="165"/>
      <c r="C578" s="934"/>
      <c r="D578" s="934"/>
      <c r="E578" s="981"/>
      <c r="F578" s="982"/>
      <c r="G578" s="981">
        <f>+VLOOKUP(Data_Validation!$A578,BV_Data_An_Cour!$L:$Q,6,0)</f>
        <v>0</v>
      </c>
      <c r="H578" s="159"/>
    </row>
    <row r="579" spans="1:29" ht="15" customHeight="1">
      <c r="A579" s="929"/>
      <c r="B579" s="165"/>
      <c r="C579" s="934"/>
      <c r="D579" s="934"/>
      <c r="E579" s="981"/>
      <c r="F579" s="982"/>
      <c r="G579" s="981">
        <f>+VLOOKUP(Data_Validation!$A579,BV_Data_An_Cour!$L:$Q,6,0)</f>
        <v>0</v>
      </c>
      <c r="H579" s="159"/>
    </row>
    <row r="580" spans="1:29" ht="15" customHeight="1">
      <c r="A580" s="929"/>
      <c r="B580" s="165"/>
      <c r="C580" s="934"/>
      <c r="D580" s="934"/>
      <c r="E580" s="981"/>
      <c r="F580" s="982"/>
      <c r="G580" s="981">
        <f>+VLOOKUP(Data_Validation!$A580,BV_Data_An_Cour!$L:$Q,6,0)</f>
        <v>0</v>
      </c>
      <c r="H580" s="159"/>
    </row>
    <row r="581" spans="1:29" ht="15" customHeight="1">
      <c r="A581" s="161"/>
      <c r="B581" s="160"/>
      <c r="C581" s="934"/>
      <c r="D581" s="934"/>
      <c r="E581" s="981"/>
      <c r="F581" s="982"/>
      <c r="G581" s="981">
        <f>+VLOOKUP(Data_Validation!$A581,BV_Data_An_Cour!$L:$Q,6,0)</f>
        <v>0</v>
      </c>
      <c r="H581" s="159"/>
    </row>
    <row r="582" spans="1:29" ht="15" customHeight="1">
      <c r="A582" s="161"/>
      <c r="B582" s="160"/>
      <c r="C582" s="934"/>
      <c r="D582" s="934"/>
      <c r="E582" s="981"/>
      <c r="F582" s="982"/>
      <c r="G582" s="981">
        <f>+VLOOKUP(Data_Validation!$A582,BV_Data_An_Cour!$L:$Q,6,0)</f>
        <v>0</v>
      </c>
      <c r="H582" s="159"/>
    </row>
    <row r="583" spans="1:29" ht="15" customHeight="1">
      <c r="A583" s="161"/>
      <c r="B583" s="160"/>
      <c r="C583" s="934"/>
      <c r="D583" s="934"/>
      <c r="E583" s="981"/>
      <c r="F583" s="982"/>
      <c r="G583" s="981">
        <f>+VLOOKUP(Data_Validation!$A583,BV_Data_An_Cour!$L:$Q,6,0)</f>
        <v>0</v>
      </c>
      <c r="H583" s="159"/>
    </row>
    <row r="584" spans="1:29" ht="15" customHeight="1">
      <c r="A584" s="999"/>
      <c r="B584" s="1000"/>
      <c r="C584" s="934"/>
      <c r="D584" s="934"/>
      <c r="E584" s="981"/>
      <c r="F584" s="982"/>
      <c r="G584" s="981">
        <f>+VLOOKUP(Data_Validation!$A584,BV_Data_An_Cour!$L:$Q,6,0)</f>
        <v>0</v>
      </c>
      <c r="H584" s="159"/>
    </row>
    <row r="585" spans="1:29" ht="15" customHeight="1">
      <c r="A585" s="161"/>
      <c r="B585" s="160"/>
      <c r="C585" s="934"/>
      <c r="D585" s="934"/>
      <c r="E585" s="981"/>
      <c r="F585" s="982"/>
      <c r="G585" s="981">
        <f>+VLOOKUP(Data_Validation!$A585,BV_Data_An_Cour!$L:$Q,6,0)</f>
        <v>0</v>
      </c>
      <c r="H585" s="159"/>
    </row>
    <row r="586" spans="1:29" ht="15" customHeight="1">
      <c r="A586" s="161"/>
      <c r="B586" s="160"/>
      <c r="C586" s="934"/>
      <c r="D586" s="934"/>
      <c r="E586" s="981"/>
      <c r="F586" s="982"/>
      <c r="G586" s="981">
        <f>+VLOOKUP(Data_Validation!$A586,BV_Data_An_Cour!$L:$Q,6,0)</f>
        <v>0</v>
      </c>
      <c r="H586" s="159"/>
    </row>
    <row r="587" spans="1:29" ht="15" customHeight="1">
      <c r="A587" s="161"/>
      <c r="B587" s="160"/>
      <c r="C587" s="934"/>
      <c r="D587" s="934"/>
      <c r="E587" s="981"/>
      <c r="F587" s="982"/>
      <c r="G587" s="981">
        <f>+VLOOKUP(Data_Validation!$A587,BV_Data_An_Cour!$L:$Q,6,0)</f>
        <v>0</v>
      </c>
      <c r="H587" s="159"/>
    </row>
    <row r="588" spans="1:29" ht="15" customHeight="1">
      <c r="A588" s="161"/>
      <c r="B588" s="160"/>
      <c r="C588" s="934"/>
      <c r="D588" s="934"/>
      <c r="E588" s="981"/>
      <c r="F588" s="982"/>
      <c r="G588" s="981">
        <f>+VLOOKUP(Data_Validation!$A588,BV_Data_An_Cour!$L:$Q,6,0)</f>
        <v>0</v>
      </c>
      <c r="H588" s="159"/>
    </row>
    <row r="589" spans="1:29" ht="15" customHeight="1">
      <c r="A589" s="160"/>
      <c r="B589" s="160"/>
      <c r="C589" s="934"/>
      <c r="D589" s="934"/>
      <c r="E589" s="981"/>
      <c r="F589" s="982"/>
      <c r="G589" s="981">
        <f>+VLOOKUP(Data_Validation!$A589,BV_Data_An_Cour!$L:$Q,6,0)</f>
        <v>0</v>
      </c>
      <c r="H589" s="159"/>
    </row>
    <row r="590" spans="1:29" ht="15" customHeight="1">
      <c r="A590" s="160"/>
      <c r="B590" s="160"/>
      <c r="C590" s="934"/>
      <c r="D590" s="934"/>
      <c r="E590" s="981"/>
      <c r="F590" s="982"/>
      <c r="G590" s="981">
        <f>+VLOOKUP(Data_Validation!$A590,BV_Data_An_Cour!$L:$Q,6,0)</f>
        <v>0</v>
      </c>
      <c r="H590" s="159"/>
      <c r="I590" s="2"/>
      <c r="J590" s="2"/>
      <c r="L590" s="2"/>
      <c r="M590" s="2"/>
      <c r="N590" s="2"/>
      <c r="O590" s="2"/>
      <c r="P590" s="2"/>
      <c r="Q590" s="2"/>
      <c r="R590" s="2"/>
      <c r="S590" s="2"/>
      <c r="T590" s="2"/>
      <c r="U590" s="2"/>
      <c r="V590" s="2"/>
      <c r="W590" s="2"/>
      <c r="X590" s="2"/>
      <c r="Y590" s="2"/>
      <c r="Z590" s="2"/>
      <c r="AA590" s="2"/>
      <c r="AB590" s="2"/>
      <c r="AC590" s="2"/>
    </row>
    <row r="591" spans="1:29" ht="15" customHeight="1">
      <c r="A591" s="161"/>
      <c r="B591" s="160"/>
      <c r="C591" s="934"/>
      <c r="D591" s="934"/>
      <c r="E591" s="981"/>
      <c r="F591" s="982"/>
      <c r="G591" s="981">
        <f>+VLOOKUP(Data_Validation!$A591,BV_Data_An_Cour!$L:$Q,6,0)</f>
        <v>0</v>
      </c>
      <c r="H591" s="159"/>
    </row>
    <row r="592" spans="1:29" ht="15" customHeight="1">
      <c r="A592" s="161"/>
      <c r="B592" s="160"/>
      <c r="C592" s="934"/>
      <c r="D592" s="934"/>
      <c r="E592" s="981"/>
      <c r="F592" s="982"/>
      <c r="G592" s="981">
        <f>+VLOOKUP(Data_Validation!$A592,BV_Data_An_Cour!$L:$Q,6,0)</f>
        <v>0</v>
      </c>
      <c r="H592" s="159"/>
    </row>
    <row r="593" spans="1:11" ht="15" customHeight="1">
      <c r="A593" s="161"/>
      <c r="B593" s="160"/>
      <c r="C593" s="934"/>
      <c r="D593" s="934"/>
      <c r="E593" s="981"/>
      <c r="F593" s="982"/>
      <c r="G593" s="981">
        <f>+VLOOKUP(Data_Validation!$A593,BV_Data_An_Cour!$L:$Q,6,0)</f>
        <v>0</v>
      </c>
      <c r="H593" s="159"/>
    </row>
    <row r="594" spans="1:11" ht="15" customHeight="1">
      <c r="A594" s="161"/>
      <c r="B594" s="160"/>
      <c r="C594" s="934"/>
      <c r="D594" s="934"/>
      <c r="E594" s="981"/>
      <c r="F594" s="982"/>
      <c r="G594" s="981">
        <f>+VLOOKUP(Data_Validation!$A594,BV_Data_An_Cour!$L:$Q,6,0)</f>
        <v>0</v>
      </c>
      <c r="H594" s="159"/>
    </row>
    <row r="595" spans="1:11" ht="15" customHeight="1">
      <c r="A595" s="161"/>
      <c r="B595" s="160"/>
      <c r="C595" s="934"/>
      <c r="D595" s="934"/>
      <c r="E595" s="981"/>
      <c r="F595" s="982"/>
      <c r="G595" s="981">
        <f>+VLOOKUP(Data_Validation!$A595,BV_Data_An_Cour!$L:$Q,6,0)</f>
        <v>0</v>
      </c>
      <c r="H595" s="159"/>
    </row>
    <row r="596" spans="1:11" ht="15" customHeight="1">
      <c r="A596" s="161"/>
      <c r="B596" s="160"/>
      <c r="C596" s="934"/>
      <c r="D596" s="934"/>
      <c r="E596" s="981"/>
      <c r="F596" s="982"/>
      <c r="G596" s="981">
        <f>+VLOOKUP(Data_Validation!$A596,BV_Data_An_Cour!$L:$Q,6,0)</f>
        <v>0</v>
      </c>
      <c r="H596" s="159"/>
    </row>
    <row r="597" spans="1:11" ht="15" customHeight="1">
      <c r="A597" s="161"/>
      <c r="B597" s="160"/>
      <c r="C597" s="934"/>
      <c r="D597" s="934"/>
      <c r="E597" s="981"/>
      <c r="F597" s="982"/>
      <c r="G597" s="981">
        <f>+VLOOKUP(Data_Validation!$A597,BV_Data_An_Cour!$L:$Q,6,0)</f>
        <v>0</v>
      </c>
      <c r="H597" s="159"/>
      <c r="K597" s="2"/>
    </row>
    <row r="598" spans="1:11" ht="15" customHeight="1">
      <c r="A598" s="161"/>
      <c r="B598" s="160"/>
      <c r="C598" s="934"/>
      <c r="D598" s="934"/>
      <c r="E598" s="981"/>
      <c r="F598" s="982"/>
      <c r="G598" s="981">
        <f>+VLOOKUP(Data_Validation!$A598,BV_Data_An_Cour!$L:$Q,6,0)</f>
        <v>0</v>
      </c>
      <c r="H598" s="159"/>
    </row>
    <row r="599" spans="1:11" ht="15" customHeight="1">
      <c r="A599" s="161"/>
      <c r="B599" s="160"/>
      <c r="C599" s="934"/>
      <c r="D599" s="934"/>
      <c r="E599" s="981"/>
      <c r="F599" s="982"/>
      <c r="G599" s="981">
        <f>+VLOOKUP(Data_Validation!$A599,BV_Data_An_Cour!$L:$Q,6,0)</f>
        <v>0</v>
      </c>
      <c r="H599" s="159"/>
    </row>
    <row r="600" spans="1:11" ht="15" customHeight="1">
      <c r="A600" s="161"/>
      <c r="B600" s="160"/>
      <c r="C600" s="934"/>
      <c r="D600" s="934"/>
      <c r="E600" s="981"/>
      <c r="F600" s="982"/>
      <c r="G600" s="981">
        <f>+VLOOKUP(Data_Validation!$A600,BV_Data_An_Cour!$L:$Q,6,0)</f>
        <v>0</v>
      </c>
      <c r="H600" s="159"/>
    </row>
    <row r="601" spans="1:11" ht="15" customHeight="1">
      <c r="A601" s="161"/>
      <c r="B601" s="160"/>
      <c r="C601" s="934"/>
      <c r="D601" s="934"/>
      <c r="E601" s="981"/>
      <c r="F601" s="982"/>
      <c r="G601" s="981">
        <f>+VLOOKUP(Data_Validation!$A601,BV_Data_An_Cour!$L:$Q,6,0)</f>
        <v>0</v>
      </c>
      <c r="H601" s="159"/>
    </row>
    <row r="602" spans="1:11" ht="15" customHeight="1">
      <c r="A602" s="161"/>
      <c r="B602" s="160"/>
      <c r="C602" s="934"/>
      <c r="D602" s="934"/>
      <c r="E602" s="981"/>
      <c r="F602" s="982"/>
      <c r="G602" s="981">
        <f>+VLOOKUP(Data_Validation!$A602,BV_Data_An_Cour!$L:$Q,6,0)</f>
        <v>0</v>
      </c>
      <c r="H602" s="159"/>
    </row>
    <row r="603" spans="1:11" ht="15" customHeight="1">
      <c r="A603" s="161"/>
      <c r="B603" s="160"/>
      <c r="C603" s="934"/>
      <c r="D603" s="934"/>
      <c r="E603" s="981"/>
      <c r="F603" s="982"/>
      <c r="G603" s="981">
        <f>+VLOOKUP(Data_Validation!$A603,BV_Data_An_Cour!$L:$Q,6,0)</f>
        <v>0</v>
      </c>
      <c r="H603" s="159"/>
    </row>
    <row r="604" spans="1:11" ht="15" customHeight="1">
      <c r="A604" s="161"/>
      <c r="B604" s="160"/>
      <c r="C604" s="934"/>
      <c r="D604" s="934"/>
      <c r="E604" s="981"/>
      <c r="F604" s="982"/>
      <c r="G604" s="981">
        <f>+VLOOKUP(Data_Validation!$A604,BV_Data_An_Cour!$L:$Q,6,0)</f>
        <v>0</v>
      </c>
      <c r="H604" s="159"/>
    </row>
    <row r="605" spans="1:11" ht="15" customHeight="1">
      <c r="A605" s="161"/>
      <c r="B605" s="160"/>
      <c r="C605" s="934"/>
      <c r="D605" s="934"/>
      <c r="E605" s="981"/>
      <c r="F605" s="982"/>
      <c r="G605" s="981">
        <f>+VLOOKUP(Data_Validation!$A605,BV_Data_An_Cour!$L:$Q,6,0)</f>
        <v>0</v>
      </c>
      <c r="H605" s="159"/>
    </row>
    <row r="606" spans="1:11" ht="15" customHeight="1">
      <c r="A606" s="161"/>
      <c r="B606" s="160"/>
      <c r="C606" s="934"/>
      <c r="D606" s="934"/>
      <c r="E606" s="981"/>
      <c r="F606" s="982"/>
      <c r="G606" s="981">
        <f>+VLOOKUP(Data_Validation!$A606,BV_Data_An_Cour!$L:$Q,6,0)</f>
        <v>0</v>
      </c>
      <c r="H606" s="159"/>
    </row>
    <row r="607" spans="1:11" ht="15" customHeight="1">
      <c r="A607" s="161"/>
      <c r="B607" s="160"/>
      <c r="C607" s="934"/>
      <c r="D607" s="934"/>
      <c r="E607" s="981"/>
      <c r="F607" s="982"/>
      <c r="G607" s="981">
        <f>+VLOOKUP(Data_Validation!$A607,BV_Data_An_Cour!$L:$Q,6,0)</f>
        <v>0</v>
      </c>
      <c r="H607" s="159"/>
    </row>
    <row r="608" spans="1:11" ht="15" customHeight="1">
      <c r="A608" s="161"/>
      <c r="B608" s="160"/>
      <c r="C608" s="934"/>
      <c r="D608" s="934"/>
      <c r="E608" s="981"/>
      <c r="F608" s="982"/>
      <c r="G608" s="981">
        <f>+VLOOKUP(Data_Validation!$A608,BV_Data_An_Cour!$L:$Q,6,0)</f>
        <v>0</v>
      </c>
      <c r="H608" s="159"/>
    </row>
    <row r="609" spans="1:29" ht="15" customHeight="1">
      <c r="A609" s="160"/>
      <c r="B609" s="160"/>
      <c r="C609" s="934"/>
      <c r="D609" s="934"/>
      <c r="E609" s="981"/>
      <c r="F609" s="982"/>
      <c r="G609" s="981">
        <f>+VLOOKUP(Data_Validation!$A609,BV_Data_An_Cour!$L:$Q,6,0)</f>
        <v>0</v>
      </c>
      <c r="H609" s="159"/>
    </row>
    <row r="610" spans="1:29" ht="15" customHeight="1">
      <c r="A610" s="160"/>
      <c r="B610" s="160"/>
      <c r="C610" s="934"/>
      <c r="D610" s="934"/>
      <c r="E610" s="981"/>
      <c r="F610" s="982"/>
      <c r="G610" s="981">
        <f>+VLOOKUP(Data_Validation!$A610,BV_Data_An_Cour!$L:$Q,6,0)</f>
        <v>0</v>
      </c>
      <c r="H610" s="159"/>
    </row>
    <row r="611" spans="1:29" ht="15" customHeight="1">
      <c r="A611" s="161"/>
      <c r="B611" s="160"/>
      <c r="C611" s="934"/>
      <c r="D611" s="934"/>
      <c r="E611" s="981"/>
      <c r="F611" s="982"/>
      <c r="G611" s="981">
        <f>+VLOOKUP(Data_Validation!$A611,BV_Data_An_Cour!$L:$Q,6,0)</f>
        <v>0</v>
      </c>
      <c r="H611" s="159"/>
    </row>
    <row r="612" spans="1:29" ht="15" customHeight="1">
      <c r="A612" s="161"/>
      <c r="B612" s="160"/>
      <c r="C612" s="934"/>
      <c r="D612" s="934"/>
      <c r="E612" s="981"/>
      <c r="F612" s="982"/>
      <c r="G612" s="981">
        <f>+VLOOKUP(Data_Validation!$A612,BV_Data_An_Cour!$L:$Q,6,0)</f>
        <v>0</v>
      </c>
      <c r="H612" s="159"/>
    </row>
    <row r="613" spans="1:29" ht="15" customHeight="1">
      <c r="A613" s="161"/>
      <c r="B613" s="160"/>
      <c r="C613" s="934"/>
      <c r="D613" s="934"/>
      <c r="E613" s="981"/>
      <c r="F613" s="982"/>
      <c r="G613" s="981">
        <f>+VLOOKUP(Data_Validation!$A613,BV_Data_An_Cour!$L:$Q,6,0)</f>
        <v>0</v>
      </c>
      <c r="H613" s="159"/>
    </row>
    <row r="614" spans="1:29" ht="15" customHeight="1">
      <c r="A614" s="161"/>
      <c r="B614" s="1001"/>
      <c r="C614" s="993"/>
      <c r="D614" s="934"/>
      <c r="E614" s="981"/>
      <c r="F614" s="982"/>
      <c r="G614" s="981">
        <f>+VLOOKUP(Data_Validation!$A614,BV_Data_An_Cour!$L:$Q,6,0)</f>
        <v>0</v>
      </c>
      <c r="H614" s="159"/>
    </row>
    <row r="615" spans="1:29" ht="15" customHeight="1">
      <c r="A615" s="161"/>
      <c r="B615" s="160"/>
      <c r="C615" s="934"/>
      <c r="D615" s="934"/>
      <c r="E615" s="981"/>
      <c r="F615" s="982"/>
      <c r="G615" s="981">
        <f>+VLOOKUP(Data_Validation!$A615,BV_Data_An_Cour!$L:$Q,6,0)</f>
        <v>0</v>
      </c>
      <c r="H615" s="159"/>
    </row>
    <row r="616" spans="1:29" ht="15" customHeight="1">
      <c r="A616" s="161"/>
      <c r="B616" s="160"/>
      <c r="C616" s="934"/>
      <c r="D616" s="934"/>
      <c r="E616" s="981"/>
      <c r="F616" s="982"/>
      <c r="G616" s="981">
        <f>+VLOOKUP(Data_Validation!$A616,BV_Data_An_Cour!$L:$Q,6,0)</f>
        <v>0</v>
      </c>
      <c r="H616" s="159"/>
    </row>
    <row r="617" spans="1:29" ht="15" customHeight="1">
      <c r="A617" s="161"/>
      <c r="B617" s="160"/>
      <c r="C617" s="934"/>
      <c r="D617" s="934"/>
      <c r="E617" s="981"/>
      <c r="F617" s="982"/>
      <c r="G617" s="981">
        <f>+VLOOKUP(Data_Validation!$A617,BV_Data_An_Cour!$L:$Q,6,0)</f>
        <v>0</v>
      </c>
      <c r="H617" s="159"/>
    </row>
    <row r="618" spans="1:29" ht="15" customHeight="1">
      <c r="A618" s="161"/>
      <c r="B618" s="160"/>
      <c r="C618" s="934"/>
      <c r="D618" s="934"/>
      <c r="E618" s="981"/>
      <c r="F618" s="982"/>
      <c r="G618" s="981">
        <f>+VLOOKUP(Data_Validation!$A618,BV_Data_An_Cour!$L:$Q,6,0)</f>
        <v>0</v>
      </c>
      <c r="H618" s="159"/>
    </row>
    <row r="619" spans="1:29" ht="15" customHeight="1">
      <c r="A619" s="161"/>
      <c r="B619" s="160"/>
      <c r="C619" s="934"/>
      <c r="D619" s="934"/>
      <c r="E619" s="981"/>
      <c r="F619" s="982"/>
      <c r="G619" s="981">
        <f>+VLOOKUP(Data_Validation!$A619,BV_Data_An_Cour!$L:$Q,6,0)</f>
        <v>0</v>
      </c>
      <c r="H619" s="159"/>
    </row>
    <row r="620" spans="1:29" ht="15" customHeight="1">
      <c r="A620" s="161"/>
      <c r="B620" s="160"/>
      <c r="C620" s="934"/>
      <c r="D620" s="934"/>
      <c r="E620" s="981"/>
      <c r="F620" s="982"/>
      <c r="G620" s="981">
        <f>+VLOOKUP(Data_Validation!$A620,BV_Data_An_Cour!$L:$Q,6,0)</f>
        <v>0</v>
      </c>
      <c r="H620" s="159"/>
    </row>
    <row r="621" spans="1:29" ht="15" customHeight="1">
      <c r="A621" s="161"/>
      <c r="B621" s="160"/>
      <c r="C621" s="934"/>
      <c r="D621" s="934"/>
      <c r="E621" s="981"/>
      <c r="F621" s="982"/>
      <c r="G621" s="981">
        <f>+VLOOKUP(Data_Validation!$A621,BV_Data_An_Cour!$L:$Q,6,0)</f>
        <v>0</v>
      </c>
      <c r="H621" s="159"/>
      <c r="I621" s="2"/>
      <c r="J621" s="2"/>
      <c r="L621" s="2"/>
      <c r="M621" s="2"/>
      <c r="N621" s="2"/>
      <c r="O621" s="2"/>
      <c r="P621" s="2"/>
      <c r="Q621" s="2"/>
      <c r="R621" s="2"/>
      <c r="S621" s="2"/>
      <c r="T621" s="2"/>
      <c r="U621" s="2"/>
      <c r="V621" s="2"/>
      <c r="W621" s="2"/>
      <c r="X621" s="2"/>
      <c r="Y621" s="2"/>
      <c r="Z621" s="2"/>
      <c r="AA621" s="2"/>
      <c r="AB621" s="2"/>
      <c r="AC621" s="2"/>
    </row>
    <row r="622" spans="1:29" ht="15" customHeight="1">
      <c r="A622" s="161"/>
      <c r="B622" s="160"/>
      <c r="C622" s="934"/>
      <c r="D622" s="934"/>
      <c r="E622" s="981"/>
      <c r="F622" s="982"/>
      <c r="G622" s="981">
        <f>+VLOOKUP(Data_Validation!$A622,BV_Data_An_Cour!$L:$Q,6,0)</f>
        <v>0</v>
      </c>
      <c r="H622" s="159"/>
    </row>
    <row r="623" spans="1:29" ht="15" customHeight="1">
      <c r="A623" s="161"/>
      <c r="B623" s="160"/>
      <c r="C623" s="934"/>
      <c r="D623" s="934"/>
      <c r="E623" s="981"/>
      <c r="F623" s="982"/>
      <c r="G623" s="981">
        <f>+VLOOKUP(Data_Validation!$A623,BV_Data_An_Cour!$L:$Q,6,0)</f>
        <v>0</v>
      </c>
      <c r="H623" s="159"/>
    </row>
    <row r="624" spans="1:29" ht="15" customHeight="1">
      <c r="A624" s="161"/>
      <c r="B624" s="160"/>
      <c r="C624" s="934"/>
      <c r="D624" s="934"/>
      <c r="E624" s="981"/>
      <c r="F624" s="982"/>
      <c r="G624" s="981">
        <f>+VLOOKUP(Data_Validation!$A624,BV_Data_An_Cour!$L:$Q,6,0)</f>
        <v>0</v>
      </c>
      <c r="H624" s="159"/>
    </row>
    <row r="625" spans="1:8" ht="15" customHeight="1">
      <c r="A625" s="161"/>
      <c r="B625" s="160"/>
      <c r="C625" s="934"/>
      <c r="D625" s="934"/>
      <c r="E625" s="981"/>
      <c r="F625" s="982"/>
      <c r="G625" s="981">
        <f>+VLOOKUP(Data_Validation!$A625,BV_Data_An_Cour!$L:$Q,6,0)</f>
        <v>0</v>
      </c>
      <c r="H625" s="159"/>
    </row>
    <row r="626" spans="1:8" ht="15" customHeight="1">
      <c r="A626" s="161"/>
      <c r="B626" s="160"/>
      <c r="C626" s="934"/>
      <c r="D626" s="934"/>
      <c r="E626" s="981"/>
      <c r="F626" s="982"/>
      <c r="G626" s="981">
        <f>+VLOOKUP(Data_Validation!$A626,BV_Data_An_Cour!$L:$Q,6,0)</f>
        <v>0</v>
      </c>
      <c r="H626" s="159"/>
    </row>
    <row r="627" spans="1:8" ht="15" customHeight="1">
      <c r="A627" s="161"/>
      <c r="B627" s="160"/>
      <c r="C627" s="934"/>
      <c r="D627" s="934"/>
      <c r="E627" s="981"/>
      <c r="F627" s="982"/>
      <c r="G627" s="981">
        <f>+VLOOKUP(Data_Validation!$A627,BV_Data_An_Cour!$L:$Q,6,0)</f>
        <v>0</v>
      </c>
      <c r="H627" s="159"/>
    </row>
    <row r="628" spans="1:8" ht="15" customHeight="1">
      <c r="A628" s="161"/>
      <c r="B628" s="160"/>
      <c r="C628" s="934"/>
      <c r="D628" s="934"/>
      <c r="E628" s="981"/>
      <c r="F628" s="982"/>
      <c r="G628" s="981">
        <f>+VLOOKUP(Data_Validation!$A628,BV_Data_An_Cour!$L:$Q,6,0)</f>
        <v>0</v>
      </c>
      <c r="H628" s="159"/>
    </row>
    <row r="629" spans="1:8" ht="15" customHeight="1">
      <c r="A629" s="161"/>
      <c r="B629" s="160"/>
      <c r="C629" s="934"/>
      <c r="D629" s="934"/>
      <c r="E629" s="981"/>
      <c r="F629" s="982"/>
      <c r="G629" s="981">
        <f>+VLOOKUP(Data_Validation!$A629,BV_Data_An_Cour!$L:$Q,6,0)</f>
        <v>0</v>
      </c>
      <c r="H629" s="159"/>
    </row>
    <row r="630" spans="1:8" ht="15" customHeight="1">
      <c r="A630" s="161"/>
      <c r="B630" s="160"/>
      <c r="C630" s="934"/>
      <c r="D630" s="934"/>
      <c r="E630" s="981"/>
      <c r="F630" s="982"/>
      <c r="G630" s="981">
        <f>+VLOOKUP(Data_Validation!$A630,BV_Data_An_Cour!$L:$Q,6,0)</f>
        <v>0</v>
      </c>
      <c r="H630" s="159"/>
    </row>
    <row r="631" spans="1:8" ht="15" customHeight="1">
      <c r="A631" s="161"/>
      <c r="B631" s="160"/>
      <c r="C631" s="934"/>
      <c r="D631" s="934"/>
      <c r="E631" s="981"/>
      <c r="F631" s="982"/>
      <c r="G631" s="981">
        <f>+VLOOKUP(Data_Validation!$A631,BV_Data_An_Cour!$L:$Q,6,0)</f>
        <v>0</v>
      </c>
      <c r="H631" s="159"/>
    </row>
    <row r="632" spans="1:8" ht="15" customHeight="1">
      <c r="A632" s="161"/>
      <c r="B632" s="160"/>
      <c r="C632" s="934"/>
      <c r="D632" s="934"/>
      <c r="E632" s="981"/>
      <c r="F632" s="982"/>
      <c r="G632" s="981">
        <f>+VLOOKUP(Data_Validation!$A632,BV_Data_An_Cour!$L:$Q,6,0)</f>
        <v>0</v>
      </c>
      <c r="H632" s="159"/>
    </row>
    <row r="633" spans="1:8" ht="15" customHeight="1">
      <c r="A633" s="161"/>
      <c r="B633" s="160"/>
      <c r="C633" s="934"/>
      <c r="D633" s="934"/>
      <c r="E633" s="981"/>
      <c r="F633" s="982"/>
      <c r="G633" s="981">
        <f>+VLOOKUP(Data_Validation!$A633,BV_Data_An_Cour!$L:$Q,6,0)</f>
        <v>0</v>
      </c>
      <c r="H633" s="159"/>
    </row>
    <row r="634" spans="1:8" ht="15" customHeight="1">
      <c r="A634" s="161"/>
      <c r="B634" s="160"/>
      <c r="C634" s="934"/>
      <c r="D634" s="934"/>
      <c r="E634" s="981"/>
      <c r="F634" s="982"/>
      <c r="G634" s="981">
        <f>+VLOOKUP(Data_Validation!$A634,BV_Data_An_Cour!$L:$Q,6,0)</f>
        <v>0</v>
      </c>
      <c r="H634" s="159"/>
    </row>
    <row r="635" spans="1:8" ht="15" customHeight="1">
      <c r="A635" s="161"/>
      <c r="B635" s="160"/>
      <c r="C635" s="934"/>
      <c r="D635" s="934"/>
      <c r="E635" s="981"/>
      <c r="F635" s="982"/>
      <c r="G635" s="981">
        <f>+VLOOKUP(Data_Validation!$A635,BV_Data_An_Cour!$L:$Q,6,0)</f>
        <v>0</v>
      </c>
      <c r="H635" s="159"/>
    </row>
    <row r="636" spans="1:8" ht="15" customHeight="1">
      <c r="A636" s="161"/>
      <c r="B636" s="160"/>
      <c r="C636" s="934"/>
      <c r="D636" s="934"/>
      <c r="E636" s="981"/>
      <c r="F636" s="982"/>
      <c r="G636" s="981">
        <f>+VLOOKUP(Data_Validation!$A636,BV_Data_An_Cour!$L:$Q,6,0)</f>
        <v>0</v>
      </c>
      <c r="H636" s="159"/>
    </row>
    <row r="637" spans="1:8" ht="15" customHeight="1">
      <c r="A637" s="161"/>
      <c r="B637" s="160"/>
      <c r="C637" s="934"/>
      <c r="D637" s="934"/>
      <c r="E637" s="981"/>
      <c r="F637" s="982"/>
      <c r="G637" s="981">
        <f>+VLOOKUP(Data_Validation!$A637,BV_Data_An_Cour!$L:$Q,6,0)</f>
        <v>0</v>
      </c>
      <c r="H637" s="159"/>
    </row>
    <row r="638" spans="1:8" ht="15" customHeight="1">
      <c r="A638" s="161"/>
      <c r="B638" s="160"/>
      <c r="C638" s="934"/>
      <c r="D638" s="934"/>
      <c r="E638" s="981"/>
      <c r="F638" s="982"/>
      <c r="G638" s="981">
        <f>+VLOOKUP(Data_Validation!$A638,BV_Data_An_Cour!$L:$Q,6,0)</f>
        <v>0</v>
      </c>
      <c r="H638" s="159"/>
    </row>
    <row r="639" spans="1:8" ht="15" customHeight="1">
      <c r="A639" s="161"/>
      <c r="B639" s="160"/>
      <c r="C639" s="934"/>
      <c r="D639" s="934"/>
      <c r="E639" s="981"/>
      <c r="F639" s="982"/>
      <c r="G639" s="981">
        <f>+VLOOKUP(Data_Validation!$A639,BV_Data_An_Cour!$L:$Q,6,0)</f>
        <v>0</v>
      </c>
      <c r="H639" s="159"/>
    </row>
    <row r="640" spans="1:8" ht="15" customHeight="1">
      <c r="A640" s="161"/>
      <c r="B640" s="160"/>
      <c r="C640" s="934"/>
      <c r="D640" s="934"/>
      <c r="E640" s="981"/>
      <c r="F640" s="982"/>
      <c r="G640" s="981">
        <f>+VLOOKUP(Data_Validation!$A640,BV_Data_An_Cour!$L:$Q,6,0)</f>
        <v>0</v>
      </c>
      <c r="H640" s="159"/>
    </row>
    <row r="641" spans="1:29" ht="15" customHeight="1">
      <c r="A641" s="161"/>
      <c r="B641" s="160"/>
      <c r="C641" s="934"/>
      <c r="D641" s="934"/>
      <c r="E641" s="981"/>
      <c r="F641" s="982"/>
      <c r="G641" s="981">
        <f>+VLOOKUP(Data_Validation!$A641,BV_Data_An_Cour!$L:$Q,6,0)</f>
        <v>0</v>
      </c>
      <c r="H641" s="159"/>
    </row>
    <row r="642" spans="1:29" ht="15" customHeight="1">
      <c r="A642" s="161"/>
      <c r="B642" s="1000"/>
      <c r="C642" s="934"/>
      <c r="D642" s="934"/>
      <c r="E642" s="981"/>
      <c r="F642" s="982"/>
      <c r="G642" s="981">
        <f>+VLOOKUP(Data_Validation!$A642,BV_Data_An_Cour!$L:$Q,6,0)</f>
        <v>0</v>
      </c>
      <c r="H642" s="159"/>
    </row>
    <row r="643" spans="1:29" ht="15" customHeight="1">
      <c r="A643" s="161"/>
      <c r="B643" s="1000"/>
      <c r="C643" s="934"/>
      <c r="D643" s="934"/>
      <c r="E643" s="981"/>
      <c r="F643" s="982"/>
      <c r="G643" s="981">
        <f>+VLOOKUP(Data_Validation!$A643,BV_Data_An_Cour!$L:$Q,6,0)</f>
        <v>0</v>
      </c>
      <c r="H643" s="159"/>
    </row>
    <row r="644" spans="1:29" ht="15" customHeight="1">
      <c r="A644" s="161"/>
      <c r="B644" s="160"/>
      <c r="C644" s="934"/>
      <c r="D644" s="934"/>
      <c r="E644" s="981"/>
      <c r="F644" s="982"/>
      <c r="G644" s="981">
        <f>+VLOOKUP(Data_Validation!$A644,BV_Data_An_Cour!$L:$Q,6,0)</f>
        <v>0</v>
      </c>
      <c r="H644" s="159"/>
    </row>
    <row r="645" spans="1:29" ht="15" customHeight="1">
      <c r="A645" s="161"/>
      <c r="B645" s="160"/>
      <c r="C645" s="934"/>
      <c r="D645" s="934"/>
      <c r="E645" s="981"/>
      <c r="F645" s="982"/>
      <c r="G645" s="981">
        <f>+VLOOKUP(Data_Validation!$A645,BV_Data_An_Cour!$L:$Q,6,0)</f>
        <v>0</v>
      </c>
      <c r="H645" s="159"/>
    </row>
    <row r="646" spans="1:29" ht="15" customHeight="1">
      <c r="A646" s="161"/>
      <c r="B646" s="160"/>
      <c r="C646" s="934"/>
      <c r="D646" s="934"/>
      <c r="E646" s="981"/>
      <c r="F646" s="982"/>
      <c r="G646" s="981">
        <f>+VLOOKUP(Data_Validation!$A646,BV_Data_An_Cour!$L:$Q,6,0)</f>
        <v>0</v>
      </c>
      <c r="H646" s="159"/>
    </row>
    <row r="647" spans="1:29" ht="15" customHeight="1">
      <c r="A647" s="161"/>
      <c r="B647" s="160"/>
      <c r="C647" s="934"/>
      <c r="D647" s="934"/>
      <c r="E647" s="981"/>
      <c r="F647" s="982"/>
      <c r="G647" s="981">
        <f>+VLOOKUP(Data_Validation!$A647,BV_Data_An_Cour!$L:$Q,6,0)</f>
        <v>0</v>
      </c>
      <c r="H647" s="159"/>
    </row>
    <row r="648" spans="1:29" ht="15" customHeight="1">
      <c r="A648" s="161"/>
      <c r="B648" s="160"/>
      <c r="C648" s="934"/>
      <c r="D648" s="934"/>
      <c r="E648" s="981"/>
      <c r="F648" s="982"/>
      <c r="G648" s="981">
        <f>+VLOOKUP(Data_Validation!$A648,BV_Data_An_Cour!$L:$Q,6,0)</f>
        <v>0</v>
      </c>
      <c r="H648" s="159"/>
    </row>
    <row r="649" spans="1:29" ht="15" customHeight="1">
      <c r="A649" s="161"/>
      <c r="B649" s="160"/>
      <c r="C649" s="934"/>
      <c r="D649" s="934"/>
      <c r="E649" s="981"/>
      <c r="F649" s="982"/>
      <c r="G649" s="981">
        <f>+VLOOKUP(Data_Validation!$A649,BV_Data_An_Cour!$L:$Q,6,0)</f>
        <v>0</v>
      </c>
      <c r="H649" s="159"/>
    </row>
    <row r="650" spans="1:29" ht="15" customHeight="1">
      <c r="A650" s="161"/>
      <c r="B650" s="160"/>
      <c r="C650" s="934"/>
      <c r="D650" s="934"/>
      <c r="E650" s="981"/>
      <c r="F650" s="982"/>
      <c r="G650" s="981">
        <f>+VLOOKUP(Data_Validation!$A650,BV_Data_An_Cour!$L:$Q,6,0)</f>
        <v>0</v>
      </c>
      <c r="H650" s="159"/>
    </row>
    <row r="651" spans="1:29" ht="15" customHeight="1">
      <c r="A651" s="161"/>
      <c r="B651" s="160"/>
      <c r="C651" s="934"/>
      <c r="D651" s="934"/>
      <c r="E651" s="981"/>
      <c r="F651" s="982"/>
      <c r="G651" s="981">
        <f>+VLOOKUP(Data_Validation!$A651,BV_Data_An_Cour!$L:$Q,6,0)</f>
        <v>0</v>
      </c>
      <c r="H651" s="159"/>
    </row>
    <row r="652" spans="1:29" ht="15" customHeight="1">
      <c r="A652" s="161"/>
      <c r="B652" s="160"/>
      <c r="C652" s="934"/>
      <c r="D652" s="934"/>
      <c r="E652" s="981"/>
      <c r="F652" s="982"/>
      <c r="G652" s="981">
        <f>+VLOOKUP(Data_Validation!$A652,BV_Data_An_Cour!$L:$Q,6,0)</f>
        <v>0</v>
      </c>
      <c r="H652" s="159"/>
    </row>
    <row r="653" spans="1:29" ht="15" customHeight="1">
      <c r="A653" s="161"/>
      <c r="B653" s="160"/>
      <c r="C653" s="934"/>
      <c r="D653" s="934"/>
      <c r="E653" s="981"/>
      <c r="F653" s="982"/>
      <c r="G653" s="981">
        <f>+VLOOKUP(Data_Validation!$A653,BV_Data_An_Cour!$L:$Q,6,0)</f>
        <v>0</v>
      </c>
      <c r="H653" s="159"/>
    </row>
    <row r="654" spans="1:29" ht="15" customHeight="1">
      <c r="A654" s="161"/>
      <c r="B654" s="160"/>
      <c r="C654" s="934"/>
      <c r="D654" s="934"/>
      <c r="E654" s="981"/>
      <c r="F654" s="982"/>
      <c r="G654" s="981">
        <f>+VLOOKUP(Data_Validation!$A654,BV_Data_An_Cour!$L:$Q,6,0)</f>
        <v>0</v>
      </c>
      <c r="H654" s="159"/>
    </row>
    <row r="655" spans="1:29" ht="15" customHeight="1">
      <c r="A655" s="161"/>
      <c r="B655" s="160"/>
      <c r="C655" s="934"/>
      <c r="D655" s="934"/>
      <c r="E655" s="981"/>
      <c r="F655" s="982"/>
      <c r="G655" s="981">
        <f>+VLOOKUP(Data_Validation!$A655,BV_Data_An_Cour!$L:$Q,6,0)</f>
        <v>0</v>
      </c>
      <c r="H655" s="159"/>
    </row>
    <row r="656" spans="1:29" ht="15" customHeight="1">
      <c r="A656" s="161"/>
      <c r="B656" s="160"/>
      <c r="C656" s="934"/>
      <c r="D656" s="934"/>
      <c r="E656" s="981"/>
      <c r="F656" s="982"/>
      <c r="G656" s="981">
        <f>+VLOOKUP(Data_Validation!$A656,BV_Data_An_Cour!$L:$Q,6,0)</f>
        <v>0</v>
      </c>
      <c r="H656" s="159"/>
      <c r="I656" s="2"/>
      <c r="J656" s="2"/>
      <c r="L656" s="2"/>
      <c r="M656" s="2"/>
      <c r="N656" s="2"/>
      <c r="O656" s="2"/>
      <c r="P656" s="2"/>
      <c r="Q656" s="2"/>
      <c r="R656" s="2"/>
      <c r="S656" s="2"/>
      <c r="T656" s="2"/>
      <c r="U656" s="2"/>
      <c r="V656" s="2"/>
      <c r="W656" s="2"/>
      <c r="X656" s="2"/>
      <c r="Y656" s="2"/>
      <c r="Z656" s="2"/>
      <c r="AA656" s="2"/>
      <c r="AB656" s="2"/>
      <c r="AC656" s="2"/>
    </row>
    <row r="657" spans="1:29" ht="15" customHeight="1">
      <c r="A657" s="162"/>
      <c r="B657" s="163"/>
      <c r="C657" s="934"/>
      <c r="D657" s="934"/>
      <c r="E657" s="981"/>
      <c r="F657" s="982"/>
      <c r="G657" s="981">
        <f>+VLOOKUP(Data_Validation!$A657,BV_Data_An_Cour!$L:$Q,6,0)</f>
        <v>0</v>
      </c>
      <c r="H657" s="159"/>
    </row>
    <row r="658" spans="1:29" ht="15" customHeight="1">
      <c r="A658" s="161"/>
      <c r="B658" s="160"/>
      <c r="C658" s="934"/>
      <c r="D658" s="934"/>
      <c r="E658" s="981"/>
      <c r="F658" s="982"/>
      <c r="G658" s="981">
        <f>+VLOOKUP(Data_Validation!$A658,BV_Data_An_Cour!$L:$Q,6,0)</f>
        <v>0</v>
      </c>
      <c r="H658" s="159"/>
    </row>
    <row r="659" spans="1:29" ht="15" customHeight="1">
      <c r="A659" s="163"/>
      <c r="B659" s="163"/>
      <c r="C659" s="934"/>
      <c r="D659" s="934"/>
      <c r="E659" s="981"/>
      <c r="F659" s="982"/>
      <c r="G659" s="981">
        <f>+VLOOKUP(Data_Validation!$A659,BV_Data_An_Cour!$L:$Q,6,0)</f>
        <v>0</v>
      </c>
      <c r="H659" s="159"/>
    </row>
    <row r="660" spans="1:29" ht="15" customHeight="1">
      <c r="A660" s="160"/>
      <c r="B660" s="160"/>
      <c r="C660" s="934"/>
      <c r="D660" s="934"/>
      <c r="E660" s="981"/>
      <c r="F660" s="982"/>
      <c r="G660" s="981">
        <f>+VLOOKUP(Data_Validation!$A660,BV_Data_An_Cour!$L:$Q,6,0)</f>
        <v>0</v>
      </c>
      <c r="H660" s="159"/>
    </row>
    <row r="661" spans="1:29" ht="15" customHeight="1">
      <c r="A661" s="162"/>
      <c r="B661" s="163"/>
      <c r="C661" s="934"/>
      <c r="D661" s="934"/>
      <c r="E661" s="981"/>
      <c r="F661" s="982"/>
      <c r="G661" s="981">
        <f>+VLOOKUP(Data_Validation!$A661,BV_Data_An_Cour!$L:$Q,6,0)</f>
        <v>0</v>
      </c>
      <c r="H661" s="159"/>
    </row>
    <row r="662" spans="1:29" ht="15" customHeight="1">
      <c r="A662" s="160"/>
      <c r="B662" s="160"/>
      <c r="C662" s="934"/>
      <c r="D662" s="934"/>
      <c r="E662" s="981"/>
      <c r="F662" s="982"/>
      <c r="G662" s="981">
        <f>+VLOOKUP(Data_Validation!$A662,BV_Data_An_Cour!$L:$Q,6,0)</f>
        <v>0</v>
      </c>
      <c r="H662" s="159"/>
    </row>
    <row r="663" spans="1:29" ht="15" customHeight="1">
      <c r="A663" s="162"/>
      <c r="B663" s="163"/>
      <c r="C663" s="934"/>
      <c r="D663" s="934"/>
      <c r="E663" s="981"/>
      <c r="F663" s="982"/>
      <c r="G663" s="981">
        <f>+VLOOKUP(Data_Validation!$A663,BV_Data_An_Cour!$L:$Q,6,0)</f>
        <v>0</v>
      </c>
      <c r="H663" s="159"/>
    </row>
    <row r="664" spans="1:29" ht="15" customHeight="1">
      <c r="A664" s="160"/>
      <c r="B664" s="160"/>
      <c r="C664" s="934"/>
      <c r="D664" s="934"/>
      <c r="E664" s="981"/>
      <c r="F664" s="982"/>
      <c r="G664" s="981">
        <f>+VLOOKUP(Data_Validation!$A664,BV_Data_An_Cour!$L:$Q,6,0)</f>
        <v>0</v>
      </c>
      <c r="H664" s="159"/>
    </row>
    <row r="665" spans="1:29" ht="15" customHeight="1">
      <c r="A665" s="161"/>
      <c r="B665" s="160"/>
      <c r="C665" s="934"/>
      <c r="D665" s="934"/>
      <c r="E665" s="981"/>
      <c r="F665" s="982"/>
      <c r="G665" s="981">
        <f>+VLOOKUP(Data_Validation!$A665,BV_Data_An_Cour!$L:$Q,6,0)</f>
        <v>0</v>
      </c>
      <c r="H665" s="159"/>
    </row>
    <row r="666" spans="1:29" ht="15" customHeight="1">
      <c r="A666" s="161"/>
      <c r="B666" s="160"/>
      <c r="C666" s="934"/>
      <c r="D666" s="934"/>
      <c r="E666" s="981"/>
      <c r="F666" s="982"/>
      <c r="G666" s="981">
        <f>+VLOOKUP(Data_Validation!$A666,BV_Data_An_Cour!$L:$Q,6,0)</f>
        <v>0</v>
      </c>
      <c r="H666" s="159"/>
    </row>
    <row r="667" spans="1:29" ht="15" customHeight="1">
      <c r="A667" s="161"/>
      <c r="B667" s="160"/>
      <c r="C667" s="934"/>
      <c r="D667" s="934"/>
      <c r="E667" s="981"/>
      <c r="F667" s="982"/>
      <c r="G667" s="981">
        <f>+VLOOKUP(Data_Validation!$A667,BV_Data_An_Cour!$L:$Q,6,0)</f>
        <v>0</v>
      </c>
      <c r="H667" s="159"/>
    </row>
    <row r="668" spans="1:29" ht="15" customHeight="1">
      <c r="A668" s="160"/>
      <c r="B668" s="160"/>
      <c r="C668" s="934"/>
      <c r="D668" s="934"/>
      <c r="E668" s="981"/>
      <c r="F668" s="982"/>
      <c r="G668" s="981">
        <f>+VLOOKUP(Data_Validation!$A668,BV_Data_An_Cour!$L:$Q,6,0)</f>
        <v>0</v>
      </c>
      <c r="H668" s="159"/>
    </row>
    <row r="669" spans="1:29" ht="15" customHeight="1">
      <c r="A669" s="160"/>
      <c r="B669" s="160"/>
      <c r="C669" s="934"/>
      <c r="D669" s="934"/>
      <c r="E669" s="981"/>
      <c r="F669" s="982"/>
      <c r="G669" s="981">
        <f>+VLOOKUP(Data_Validation!$A669,BV_Data_An_Cour!$L:$Q,6,0)</f>
        <v>0</v>
      </c>
      <c r="H669" s="159"/>
      <c r="I669" s="2"/>
      <c r="J669" s="2"/>
      <c r="L669" s="2"/>
      <c r="M669" s="2"/>
      <c r="N669" s="2"/>
      <c r="O669" s="2"/>
      <c r="P669" s="2"/>
      <c r="Q669" s="2"/>
      <c r="R669" s="2"/>
      <c r="S669" s="2"/>
      <c r="T669" s="2"/>
      <c r="U669" s="2"/>
      <c r="V669" s="2"/>
      <c r="W669" s="2"/>
      <c r="X669" s="2"/>
      <c r="Y669" s="2"/>
      <c r="Z669" s="2"/>
      <c r="AA669" s="2"/>
      <c r="AB669" s="2"/>
      <c r="AC669" s="2"/>
    </row>
    <row r="670" spans="1:29" ht="15" customHeight="1">
      <c r="A670" s="161"/>
      <c r="B670" s="160"/>
      <c r="C670" s="934"/>
      <c r="D670" s="934"/>
      <c r="E670" s="981"/>
      <c r="F670" s="982"/>
      <c r="G670" s="981">
        <f>+VLOOKUP(Data_Validation!$A670,BV_Data_An_Cour!$L:$Q,6,0)</f>
        <v>0</v>
      </c>
      <c r="H670" s="159"/>
    </row>
    <row r="671" spans="1:29" ht="15" customHeight="1">
      <c r="A671" s="161"/>
      <c r="B671" s="160"/>
      <c r="C671" s="934"/>
      <c r="D671" s="934"/>
      <c r="E671" s="981"/>
      <c r="F671" s="982"/>
      <c r="G671" s="981">
        <f>+VLOOKUP(Data_Validation!$A671,BV_Data_An_Cour!$L:$Q,6,0)</f>
        <v>0</v>
      </c>
      <c r="H671" s="159"/>
      <c r="I671" s="2"/>
      <c r="J671" s="2"/>
      <c r="L671" s="2"/>
      <c r="M671" s="2"/>
      <c r="N671" s="2"/>
      <c r="O671" s="2"/>
      <c r="P671" s="2"/>
      <c r="Q671" s="2"/>
      <c r="R671" s="2"/>
      <c r="S671" s="2"/>
      <c r="T671" s="2"/>
      <c r="U671" s="2"/>
      <c r="V671" s="2"/>
      <c r="W671" s="2"/>
      <c r="X671" s="2"/>
      <c r="Y671" s="2"/>
      <c r="Z671" s="2"/>
      <c r="AA671" s="2"/>
      <c r="AB671" s="2"/>
      <c r="AC671" s="2"/>
    </row>
    <row r="672" spans="1:29" ht="15" customHeight="1">
      <c r="A672" s="161"/>
      <c r="B672" s="160"/>
      <c r="C672" s="934"/>
      <c r="D672" s="934"/>
      <c r="E672" s="981"/>
      <c r="F672" s="982"/>
      <c r="G672" s="981">
        <f>+VLOOKUP(Data_Validation!$A672,BV_Data_An_Cour!$L:$Q,6,0)</f>
        <v>0</v>
      </c>
      <c r="H672" s="159"/>
      <c r="K672" s="2"/>
    </row>
    <row r="673" spans="1:8" ht="15" customHeight="1">
      <c r="A673" s="161"/>
      <c r="B673" s="160"/>
      <c r="C673" s="934"/>
      <c r="D673" s="934"/>
      <c r="E673" s="981"/>
      <c r="F673" s="982"/>
      <c r="G673" s="981">
        <f>+VLOOKUP(Data_Validation!$A673,BV_Data_An_Cour!$L:$Q,6,0)</f>
        <v>0</v>
      </c>
      <c r="H673" s="159"/>
    </row>
    <row r="674" spans="1:8" ht="15" customHeight="1">
      <c r="A674" s="161"/>
      <c r="B674" s="160"/>
      <c r="C674" s="934"/>
      <c r="D674" s="934"/>
      <c r="E674" s="981"/>
      <c r="F674" s="982"/>
      <c r="G674" s="981">
        <f>+VLOOKUP(Data_Validation!$A674,BV_Data_An_Cour!$L:$Q,6,0)</f>
        <v>0</v>
      </c>
      <c r="H674" s="159"/>
    </row>
    <row r="675" spans="1:8" ht="15" customHeight="1">
      <c r="A675" s="161"/>
      <c r="B675" s="160"/>
      <c r="C675" s="934"/>
      <c r="D675" s="934"/>
      <c r="E675" s="981"/>
      <c r="F675" s="982"/>
      <c r="G675" s="981">
        <f>+VLOOKUP(Data_Validation!$A675,BV_Data_An_Cour!$L:$Q,6,0)</f>
        <v>0</v>
      </c>
      <c r="H675" s="159"/>
    </row>
    <row r="676" spans="1:8" ht="15" customHeight="1">
      <c r="A676" s="161"/>
      <c r="B676" s="160"/>
      <c r="C676" s="934"/>
      <c r="D676" s="934"/>
      <c r="E676" s="981"/>
      <c r="F676" s="982"/>
      <c r="G676" s="981">
        <f>+VLOOKUP(Data_Validation!$A676,BV_Data_An_Cour!$L:$Q,6,0)</f>
        <v>0</v>
      </c>
      <c r="H676" s="159"/>
    </row>
    <row r="677" spans="1:8" ht="15" customHeight="1">
      <c r="A677" s="161"/>
      <c r="B677" s="160"/>
      <c r="C677" s="934"/>
      <c r="D677" s="934"/>
      <c r="E677" s="981"/>
      <c r="F677" s="982"/>
      <c r="G677" s="981">
        <f>+VLOOKUP(Data_Validation!$A677,BV_Data_An_Cour!$L:$Q,6,0)</f>
        <v>0</v>
      </c>
      <c r="H677" s="159"/>
    </row>
    <row r="678" spans="1:8" ht="15" customHeight="1">
      <c r="A678" s="161"/>
      <c r="B678" s="160"/>
      <c r="C678" s="934"/>
      <c r="D678" s="934"/>
      <c r="E678" s="981"/>
      <c r="F678" s="982"/>
      <c r="G678" s="981">
        <f>+VLOOKUP(Data_Validation!$A678,BV_Data_An_Cour!$L:$Q,6,0)</f>
        <v>0</v>
      </c>
      <c r="H678" s="159"/>
    </row>
    <row r="679" spans="1:8" ht="15" customHeight="1">
      <c r="A679" s="161"/>
      <c r="B679" s="160"/>
      <c r="C679" s="934"/>
      <c r="D679" s="934"/>
      <c r="E679" s="981"/>
      <c r="F679" s="982"/>
      <c r="G679" s="981">
        <f>+VLOOKUP(Data_Validation!$A679,BV_Data_An_Cour!$L:$Q,6,0)</f>
        <v>0</v>
      </c>
      <c r="H679" s="159"/>
    </row>
    <row r="680" spans="1:8" ht="15" customHeight="1">
      <c r="A680" s="161"/>
      <c r="B680" s="160"/>
      <c r="C680" s="934"/>
      <c r="D680" s="934"/>
      <c r="E680" s="981"/>
      <c r="F680" s="982"/>
      <c r="G680" s="981">
        <f>+VLOOKUP(Data_Validation!$A680,BV_Data_An_Cour!$L:$Q,6,0)</f>
        <v>0</v>
      </c>
      <c r="H680" s="159"/>
    </row>
    <row r="681" spans="1:8" ht="15" customHeight="1">
      <c r="A681" s="170"/>
      <c r="B681" s="1001"/>
      <c r="C681" s="993"/>
      <c r="D681" s="934"/>
      <c r="E681" s="981"/>
      <c r="F681" s="982"/>
      <c r="G681" s="981">
        <f>+VLOOKUP(Data_Validation!$A681,BV_Data_An_Cour!$L:$Q,6,0)</f>
        <v>0</v>
      </c>
      <c r="H681" s="159"/>
    </row>
    <row r="682" spans="1:8" ht="15" customHeight="1">
      <c r="A682" s="161"/>
      <c r="B682" s="160"/>
      <c r="C682" s="934"/>
      <c r="D682" s="934"/>
      <c r="E682" s="981"/>
      <c r="F682" s="982"/>
      <c r="G682" s="981">
        <f>+VLOOKUP(Data_Validation!$A682,BV_Data_An_Cour!$L:$Q,6,0)</f>
        <v>0</v>
      </c>
      <c r="H682" s="159"/>
    </row>
    <row r="683" spans="1:8" ht="15" customHeight="1">
      <c r="A683" s="161"/>
      <c r="B683" s="160"/>
      <c r="C683" s="934"/>
      <c r="D683" s="934"/>
      <c r="E683" s="981"/>
      <c r="F683" s="982"/>
      <c r="G683" s="981">
        <f>+VLOOKUP(Data_Validation!$A683,BV_Data_An_Cour!$L:$Q,6,0)</f>
        <v>0</v>
      </c>
      <c r="H683" s="159"/>
    </row>
    <row r="684" spans="1:8" ht="15" customHeight="1">
      <c r="A684" s="161"/>
      <c r="B684" s="160"/>
      <c r="C684" s="934"/>
      <c r="D684" s="934"/>
      <c r="E684" s="981"/>
      <c r="F684" s="982"/>
      <c r="G684" s="981">
        <f>+VLOOKUP(Data_Validation!$A684,BV_Data_An_Cour!$L:$Q,6,0)</f>
        <v>0</v>
      </c>
      <c r="H684" s="159"/>
    </row>
    <row r="685" spans="1:8" ht="15" customHeight="1">
      <c r="A685" s="161"/>
      <c r="B685" s="160"/>
      <c r="C685" s="934"/>
      <c r="D685" s="934"/>
      <c r="E685" s="981"/>
      <c r="F685" s="982"/>
      <c r="G685" s="981">
        <f>+VLOOKUP(Data_Validation!$A685,BV_Data_An_Cour!$L:$Q,6,0)</f>
        <v>0</v>
      </c>
      <c r="H685" s="159"/>
    </row>
    <row r="686" spans="1:8" ht="15" customHeight="1">
      <c r="A686" s="161"/>
      <c r="B686" s="160"/>
      <c r="C686" s="934"/>
      <c r="D686" s="934"/>
      <c r="E686" s="981"/>
      <c r="F686" s="982"/>
      <c r="G686" s="981">
        <f>+VLOOKUP(Data_Validation!$A686,BV_Data_An_Cour!$L:$Q,6,0)</f>
        <v>0</v>
      </c>
      <c r="H686" s="159"/>
    </row>
    <row r="687" spans="1:8" ht="15" customHeight="1">
      <c r="A687" s="161"/>
      <c r="B687" s="160"/>
      <c r="C687" s="934"/>
      <c r="D687" s="934"/>
      <c r="E687" s="981"/>
      <c r="F687" s="982"/>
      <c r="G687" s="981">
        <f>+VLOOKUP(Data_Validation!$A687,BV_Data_An_Cour!$L:$Q,6,0)</f>
        <v>0</v>
      </c>
      <c r="H687" s="159"/>
    </row>
    <row r="688" spans="1:8" ht="15" customHeight="1">
      <c r="A688" s="161"/>
      <c r="B688" s="160"/>
      <c r="C688" s="934"/>
      <c r="D688" s="934"/>
      <c r="E688" s="981"/>
      <c r="F688" s="982"/>
      <c r="G688" s="981">
        <f>+VLOOKUP(Data_Validation!$A688,BV_Data_An_Cour!$L:$Q,6,0)</f>
        <v>0</v>
      </c>
      <c r="H688" s="159"/>
    </row>
    <row r="689" spans="1:8" ht="15" customHeight="1">
      <c r="A689" s="161"/>
      <c r="B689" s="160"/>
      <c r="C689" s="934"/>
      <c r="D689" s="934"/>
      <c r="E689" s="981"/>
      <c r="F689" s="982"/>
      <c r="G689" s="981">
        <f>+VLOOKUP(Data_Validation!$A689,BV_Data_An_Cour!$L:$Q,6,0)</f>
        <v>0</v>
      </c>
      <c r="H689" s="159"/>
    </row>
    <row r="690" spans="1:8" ht="15" customHeight="1">
      <c r="A690" s="161"/>
      <c r="B690" s="160"/>
      <c r="C690" s="934"/>
      <c r="D690" s="934"/>
      <c r="E690" s="981"/>
      <c r="F690" s="982"/>
      <c r="G690" s="981">
        <f>+VLOOKUP(Data_Validation!$A690,BV_Data_An_Cour!$L:$Q,6,0)</f>
        <v>0</v>
      </c>
      <c r="H690" s="159"/>
    </row>
    <row r="691" spans="1:8" ht="15" customHeight="1">
      <c r="A691" s="170"/>
      <c r="B691" s="565"/>
      <c r="C691" s="934"/>
      <c r="D691" s="934"/>
      <c r="E691" s="981"/>
      <c r="F691" s="982"/>
      <c r="G691" s="981">
        <f>+VLOOKUP(Data_Validation!$A691,BV_Data_An_Cour!$L:$Q,6,0)</f>
        <v>0</v>
      </c>
      <c r="H691" s="159"/>
    </row>
    <row r="692" spans="1:8" ht="15" customHeight="1">
      <c r="A692" s="161"/>
      <c r="B692" s="165"/>
      <c r="C692" s="934"/>
      <c r="D692" s="934"/>
      <c r="E692" s="981"/>
      <c r="F692" s="982"/>
      <c r="G692" s="981">
        <f>+VLOOKUP(Data_Validation!$A692,BV_Data_An_Cour!$L:$Q,6,0)</f>
        <v>0</v>
      </c>
      <c r="H692" s="159"/>
    </row>
    <row r="693" spans="1:8" ht="15" customHeight="1">
      <c r="A693" s="161"/>
      <c r="B693" s="160"/>
      <c r="C693" s="934"/>
      <c r="D693" s="934"/>
      <c r="E693" s="981"/>
      <c r="F693" s="982"/>
      <c r="G693" s="981">
        <f>+VLOOKUP(Data_Validation!$A693,BV_Data_An_Cour!$L:$Q,6,0)</f>
        <v>0</v>
      </c>
      <c r="H693" s="159"/>
    </row>
    <row r="694" spans="1:8" ht="15" customHeight="1">
      <c r="A694" s="161"/>
      <c r="B694" s="160"/>
      <c r="C694" s="934"/>
      <c r="D694" s="934"/>
      <c r="E694" s="981"/>
      <c r="F694" s="982"/>
      <c r="G694" s="981">
        <f>+VLOOKUP(Data_Validation!$A694,BV_Data_An_Cour!$L:$Q,6,0)</f>
        <v>0</v>
      </c>
      <c r="H694" s="159"/>
    </row>
    <row r="695" spans="1:8" ht="15" customHeight="1">
      <c r="A695" s="161"/>
      <c r="B695" s="160"/>
      <c r="C695" s="934"/>
      <c r="D695" s="934"/>
      <c r="E695" s="981"/>
      <c r="F695" s="982"/>
      <c r="G695" s="981">
        <f>+VLOOKUP(Data_Validation!$A695,BV_Data_An_Cour!$L:$Q,6,0)</f>
        <v>0</v>
      </c>
      <c r="H695" s="159"/>
    </row>
    <row r="696" spans="1:8" ht="15" customHeight="1">
      <c r="A696" s="161"/>
      <c r="B696" s="160"/>
      <c r="C696" s="934"/>
      <c r="D696" s="934"/>
      <c r="E696" s="981"/>
      <c r="F696" s="982"/>
      <c r="G696" s="981">
        <f>+VLOOKUP(Data_Validation!$A696,BV_Data_An_Cour!$L:$Q,6,0)</f>
        <v>0</v>
      </c>
      <c r="H696" s="159"/>
    </row>
    <row r="697" spans="1:8" ht="15" customHeight="1">
      <c r="A697" s="161"/>
      <c r="B697" s="160"/>
      <c r="C697" s="934"/>
      <c r="D697" s="934"/>
      <c r="E697" s="981"/>
      <c r="F697" s="982"/>
      <c r="G697" s="981">
        <f>+VLOOKUP(Data_Validation!$A697,BV_Data_An_Cour!$L:$Q,6,0)</f>
        <v>0</v>
      </c>
      <c r="H697" s="159"/>
    </row>
    <row r="698" spans="1:8" ht="15" customHeight="1">
      <c r="A698" s="162"/>
      <c r="B698" s="163"/>
      <c r="C698" s="934"/>
      <c r="D698" s="934"/>
      <c r="E698" s="981"/>
      <c r="F698" s="982"/>
      <c r="G698" s="981">
        <f>+VLOOKUP(Data_Validation!$A698,BV_Data_An_Cour!$L:$Q,6,0)</f>
        <v>0</v>
      </c>
      <c r="H698" s="159"/>
    </row>
    <row r="699" spans="1:8" ht="15" customHeight="1">
      <c r="A699" s="161"/>
      <c r="B699" s="160"/>
      <c r="C699" s="934"/>
      <c r="D699" s="934"/>
      <c r="E699" s="981"/>
      <c r="F699" s="982"/>
      <c r="G699" s="981">
        <f>+VLOOKUP(Data_Validation!$A699,BV_Data_An_Cour!$L:$Q,6,0)</f>
        <v>0</v>
      </c>
      <c r="H699" s="159"/>
    </row>
    <row r="700" spans="1:8" ht="15" customHeight="1">
      <c r="A700" s="161"/>
      <c r="B700" s="160"/>
      <c r="C700" s="934"/>
      <c r="D700" s="934"/>
      <c r="E700" s="981"/>
      <c r="F700" s="982"/>
      <c r="G700" s="981">
        <f>+VLOOKUP(Data_Validation!$A700,BV_Data_An_Cour!$L:$Q,6,0)</f>
        <v>0</v>
      </c>
      <c r="H700" s="159"/>
    </row>
    <row r="701" spans="1:8" ht="15" customHeight="1">
      <c r="A701" s="161"/>
      <c r="B701" s="160"/>
      <c r="C701" s="934"/>
      <c r="D701" s="934"/>
      <c r="E701" s="981"/>
      <c r="F701" s="982"/>
      <c r="G701" s="981">
        <f>+VLOOKUP(Data_Validation!$A701,BV_Data_An_Cour!$L:$Q,6,0)</f>
        <v>0</v>
      </c>
      <c r="H701" s="159"/>
    </row>
    <row r="702" spans="1:8" ht="15" customHeight="1">
      <c r="A702" s="161"/>
      <c r="B702" s="160"/>
      <c r="C702" s="934"/>
      <c r="D702" s="934"/>
      <c r="E702" s="981"/>
      <c r="F702" s="982"/>
      <c r="G702" s="981">
        <f>+VLOOKUP(Data_Validation!$A702,BV_Data_An_Cour!$L:$Q,6,0)</f>
        <v>0</v>
      </c>
      <c r="H702" s="159"/>
    </row>
    <row r="703" spans="1:8" ht="15" customHeight="1">
      <c r="A703" s="161"/>
      <c r="B703" s="160"/>
      <c r="C703" s="934"/>
      <c r="D703" s="934"/>
      <c r="E703" s="981"/>
      <c r="F703" s="982"/>
      <c r="G703" s="981">
        <f>+VLOOKUP(Data_Validation!$A703,BV_Data_An_Cour!$L:$Q,6,0)</f>
        <v>0</v>
      </c>
      <c r="H703" s="159"/>
    </row>
    <row r="704" spans="1:8" ht="15" customHeight="1">
      <c r="A704" s="161"/>
      <c r="B704" s="160"/>
      <c r="C704" s="934"/>
      <c r="D704" s="934"/>
      <c r="E704" s="981"/>
      <c r="F704" s="982"/>
      <c r="G704" s="981">
        <f>+VLOOKUP(Data_Validation!$A704,BV_Data_An_Cour!$L:$Q,6,0)</f>
        <v>0</v>
      </c>
      <c r="H704" s="159"/>
    </row>
    <row r="705" spans="1:11" ht="15" customHeight="1">
      <c r="A705" s="161"/>
      <c r="B705" s="160"/>
      <c r="C705" s="934"/>
      <c r="D705" s="934"/>
      <c r="E705" s="981"/>
      <c r="F705" s="982"/>
      <c r="G705" s="981">
        <f>+VLOOKUP(Data_Validation!$A705,BV_Data_An_Cour!$L:$Q,6,0)</f>
        <v>0</v>
      </c>
      <c r="H705" s="159"/>
    </row>
    <row r="706" spans="1:11" ht="15" customHeight="1">
      <c r="A706" s="161"/>
      <c r="B706" s="160"/>
      <c r="C706" s="934"/>
      <c r="D706" s="934"/>
      <c r="E706" s="981"/>
      <c r="F706" s="982"/>
      <c r="G706" s="981">
        <f>+VLOOKUP(Data_Validation!$A706,BV_Data_An_Cour!$L:$Q,6,0)</f>
        <v>0</v>
      </c>
      <c r="H706" s="159"/>
    </row>
    <row r="707" spans="1:11" ht="15" customHeight="1">
      <c r="A707" s="161"/>
      <c r="B707" s="1001"/>
      <c r="C707" s="993"/>
      <c r="D707" s="934"/>
      <c r="E707" s="981"/>
      <c r="F707" s="982"/>
      <c r="G707" s="981">
        <f>+VLOOKUP(Data_Validation!$A707,BV_Data_An_Cour!$L:$Q,6,0)</f>
        <v>0</v>
      </c>
      <c r="H707" s="159"/>
      <c r="K707" s="2"/>
    </row>
    <row r="708" spans="1:11" ht="15" customHeight="1">
      <c r="A708" s="161"/>
      <c r="B708" s="160"/>
      <c r="C708" s="934"/>
      <c r="D708" s="934"/>
      <c r="E708" s="981"/>
      <c r="F708" s="982"/>
      <c r="G708" s="981">
        <f>+VLOOKUP(Data_Validation!$A708,BV_Data_An_Cour!$L:$Q,6,0)</f>
        <v>0</v>
      </c>
      <c r="H708" s="159"/>
    </row>
    <row r="709" spans="1:11" ht="15" customHeight="1">
      <c r="A709" s="161"/>
      <c r="B709" s="160"/>
      <c r="C709" s="934"/>
      <c r="D709" s="934"/>
      <c r="E709" s="981"/>
      <c r="F709" s="982"/>
      <c r="G709" s="981">
        <f>+VLOOKUP(Data_Validation!$A709,BV_Data_An_Cour!$L:$Q,6,0)</f>
        <v>0</v>
      </c>
      <c r="H709" s="159"/>
    </row>
    <row r="710" spans="1:11" ht="15" customHeight="1">
      <c r="A710" s="161"/>
      <c r="B710" s="160"/>
      <c r="C710" s="934"/>
      <c r="D710" s="934"/>
      <c r="E710" s="981"/>
      <c r="F710" s="982"/>
      <c r="G710" s="981">
        <f>+VLOOKUP(Data_Validation!$A710,BV_Data_An_Cour!$L:$Q,6,0)</f>
        <v>0</v>
      </c>
      <c r="H710" s="159"/>
    </row>
    <row r="711" spans="1:11" ht="15" customHeight="1">
      <c r="A711" s="161"/>
      <c r="B711" s="160"/>
      <c r="C711" s="934"/>
      <c r="D711" s="934"/>
      <c r="E711" s="981"/>
      <c r="F711" s="982"/>
      <c r="G711" s="981">
        <f>+VLOOKUP(Data_Validation!$A711,BV_Data_An_Cour!$L:$Q,6,0)</f>
        <v>0</v>
      </c>
      <c r="H711" s="159"/>
    </row>
    <row r="712" spans="1:11" ht="15" customHeight="1">
      <c r="A712" s="161"/>
      <c r="B712" s="160"/>
      <c r="C712" s="934"/>
      <c r="D712" s="934"/>
      <c r="E712" s="981"/>
      <c r="F712" s="982"/>
      <c r="G712" s="981">
        <f>+VLOOKUP(Data_Validation!$A712,BV_Data_An_Cour!$L:$Q,6,0)</f>
        <v>0</v>
      </c>
      <c r="H712" s="159"/>
    </row>
    <row r="713" spans="1:11" ht="15" customHeight="1">
      <c r="A713" s="161"/>
      <c r="B713" s="160"/>
      <c r="C713" s="934"/>
      <c r="D713" s="934"/>
      <c r="E713" s="981"/>
      <c r="F713" s="982"/>
      <c r="G713" s="981">
        <f>+VLOOKUP(Data_Validation!$A713,BV_Data_An_Cour!$L:$Q,6,0)</f>
        <v>0</v>
      </c>
      <c r="H713" s="159"/>
    </row>
    <row r="714" spans="1:11" ht="15" customHeight="1">
      <c r="A714" s="161"/>
      <c r="B714" s="160"/>
      <c r="C714" s="934"/>
      <c r="D714" s="934"/>
      <c r="E714" s="981"/>
      <c r="F714" s="982"/>
      <c r="G714" s="981">
        <f>+VLOOKUP(Data_Validation!$A714,BV_Data_An_Cour!$L:$Q,6,0)</f>
        <v>0</v>
      </c>
      <c r="H714" s="159"/>
    </row>
    <row r="715" spans="1:11" ht="15" customHeight="1">
      <c r="A715" s="160"/>
      <c r="B715" s="160"/>
      <c r="C715" s="934"/>
      <c r="D715" s="934"/>
      <c r="E715" s="981"/>
      <c r="F715" s="982"/>
      <c r="G715" s="981">
        <f>+VLOOKUP(Data_Validation!$A715,BV_Data_An_Cour!$L:$Q,6,0)</f>
        <v>0</v>
      </c>
      <c r="H715" s="159"/>
    </row>
    <row r="716" spans="1:11" ht="15" customHeight="1">
      <c r="A716" s="161"/>
      <c r="B716" s="160"/>
      <c r="C716" s="934"/>
      <c r="D716" s="934"/>
      <c r="E716" s="981"/>
      <c r="F716" s="982"/>
      <c r="G716" s="981">
        <f>+VLOOKUP(Data_Validation!$A716,BV_Data_An_Cour!$L:$Q,6,0)</f>
        <v>0</v>
      </c>
      <c r="H716" s="159"/>
    </row>
    <row r="717" spans="1:11" ht="15" customHeight="1">
      <c r="A717" s="161"/>
      <c r="B717" s="160"/>
      <c r="C717" s="934"/>
      <c r="D717" s="934"/>
      <c r="E717" s="981"/>
      <c r="F717" s="982"/>
      <c r="G717" s="981">
        <f>+VLOOKUP(Data_Validation!$A717,BV_Data_An_Cour!$L:$Q,6,0)</f>
        <v>0</v>
      </c>
      <c r="H717" s="159"/>
    </row>
    <row r="718" spans="1:11" ht="15" customHeight="1">
      <c r="A718" s="161"/>
      <c r="B718" s="160"/>
      <c r="C718" s="934"/>
      <c r="D718" s="934"/>
      <c r="E718" s="981"/>
      <c r="F718" s="982"/>
      <c r="G718" s="981">
        <f>+VLOOKUP(Data_Validation!$A718,BV_Data_An_Cour!$L:$Q,6,0)</f>
        <v>0</v>
      </c>
      <c r="H718" s="159"/>
    </row>
    <row r="719" spans="1:11" ht="15" customHeight="1">
      <c r="A719" s="161"/>
      <c r="B719" s="160"/>
      <c r="C719" s="934"/>
      <c r="D719" s="934"/>
      <c r="E719" s="981"/>
      <c r="F719" s="982"/>
      <c r="G719" s="981">
        <f>+VLOOKUP(Data_Validation!$A719,BV_Data_An_Cour!$L:$Q,6,0)</f>
        <v>0</v>
      </c>
      <c r="H719" s="159"/>
    </row>
    <row r="720" spans="1:11" ht="15" customHeight="1">
      <c r="A720" s="161"/>
      <c r="B720" s="160"/>
      <c r="C720" s="934"/>
      <c r="D720" s="934"/>
      <c r="E720" s="981"/>
      <c r="F720" s="982"/>
      <c r="G720" s="981">
        <f>+VLOOKUP(Data_Validation!$A720,BV_Data_An_Cour!$L:$Q,6,0)</f>
        <v>0</v>
      </c>
      <c r="H720" s="159"/>
      <c r="K720" s="2"/>
    </row>
    <row r="721" spans="1:29" ht="15" customHeight="1">
      <c r="A721" s="161"/>
      <c r="B721" s="160"/>
      <c r="C721" s="934"/>
      <c r="D721" s="934"/>
      <c r="E721" s="981"/>
      <c r="F721" s="982"/>
      <c r="G721" s="981">
        <f>+VLOOKUP(Data_Validation!$A721,BV_Data_An_Cour!$L:$Q,6,0)</f>
        <v>0</v>
      </c>
      <c r="H721" s="159"/>
    </row>
    <row r="722" spans="1:29" ht="15" customHeight="1">
      <c r="A722" s="161"/>
      <c r="B722" s="160"/>
      <c r="C722" s="934"/>
      <c r="D722" s="934"/>
      <c r="E722" s="981"/>
      <c r="F722" s="982"/>
      <c r="G722" s="981">
        <f>+VLOOKUP(Data_Validation!$A722,BV_Data_An_Cour!$L:$Q,6,0)</f>
        <v>0</v>
      </c>
      <c r="H722" s="159"/>
      <c r="K722" s="2"/>
    </row>
    <row r="723" spans="1:29" ht="15" customHeight="1">
      <c r="A723" s="161"/>
      <c r="B723" s="160"/>
      <c r="C723" s="934"/>
      <c r="D723" s="934"/>
      <c r="E723" s="981"/>
      <c r="F723" s="982"/>
      <c r="G723" s="981">
        <f>+VLOOKUP(Data_Validation!$A723,BV_Data_An_Cour!$L:$Q,6,0)</f>
        <v>0</v>
      </c>
      <c r="H723" s="159"/>
    </row>
    <row r="724" spans="1:29" ht="15" customHeight="1">
      <c r="A724" s="161"/>
      <c r="B724" s="160"/>
      <c r="C724" s="934"/>
      <c r="D724" s="934"/>
      <c r="E724" s="981"/>
      <c r="F724" s="982"/>
      <c r="G724" s="981">
        <f>+VLOOKUP(Data_Validation!$A724,BV_Data_An_Cour!$L:$Q,6,0)</f>
        <v>0</v>
      </c>
      <c r="H724" s="159"/>
    </row>
    <row r="725" spans="1:29" ht="15" customHeight="1">
      <c r="A725" s="161"/>
      <c r="B725" s="160"/>
      <c r="C725" s="934"/>
      <c r="D725" s="934"/>
      <c r="E725" s="981"/>
      <c r="F725" s="982"/>
      <c r="G725" s="981">
        <f>+VLOOKUP(Data_Validation!$A725,BV_Data_An_Cour!$L:$Q,6,0)</f>
        <v>0</v>
      </c>
      <c r="H725" s="159"/>
    </row>
    <row r="726" spans="1:29" ht="15" customHeight="1">
      <c r="A726" s="161"/>
      <c r="B726" s="160"/>
      <c r="C726" s="934"/>
      <c r="D726" s="934"/>
      <c r="E726" s="981"/>
      <c r="F726" s="982"/>
      <c r="G726" s="981">
        <f>+VLOOKUP(Data_Validation!$A726,BV_Data_An_Cour!$L:$Q,6,0)</f>
        <v>0</v>
      </c>
      <c r="H726" s="159"/>
    </row>
    <row r="727" spans="1:29" ht="15" customHeight="1">
      <c r="A727" s="161"/>
      <c r="B727" s="160"/>
      <c r="C727" s="934"/>
      <c r="D727" s="934"/>
      <c r="E727" s="981"/>
      <c r="F727" s="982"/>
      <c r="G727" s="981">
        <f>+VLOOKUP(Data_Validation!$A727,BV_Data_An_Cour!$L:$Q,6,0)</f>
        <v>0</v>
      </c>
      <c r="H727" s="159"/>
    </row>
    <row r="728" spans="1:29" ht="15" customHeight="1">
      <c r="A728" s="161"/>
      <c r="B728" s="160"/>
      <c r="C728" s="934"/>
      <c r="D728" s="934"/>
      <c r="E728" s="981"/>
      <c r="F728" s="982"/>
      <c r="G728" s="981">
        <f>+VLOOKUP(Data_Validation!$A728,BV_Data_An_Cour!$L:$Q,6,0)</f>
        <v>0</v>
      </c>
      <c r="H728" s="159"/>
    </row>
    <row r="729" spans="1:29" ht="15" customHeight="1">
      <c r="A729" s="161"/>
      <c r="B729" s="160"/>
      <c r="C729" s="934"/>
      <c r="D729" s="934"/>
      <c r="E729" s="981"/>
      <c r="F729" s="982"/>
      <c r="G729" s="981">
        <f>+VLOOKUP(Data_Validation!$A729,BV_Data_An_Cour!$L:$Q,6,0)</f>
        <v>0</v>
      </c>
      <c r="H729" s="159"/>
      <c r="I729" s="2"/>
      <c r="J729" s="2"/>
      <c r="L729" s="2"/>
      <c r="M729" s="2"/>
      <c r="N729" s="2"/>
      <c r="O729" s="2"/>
      <c r="P729" s="2"/>
      <c r="Q729" s="2"/>
      <c r="R729" s="2"/>
      <c r="S729" s="2"/>
      <c r="T729" s="2"/>
      <c r="U729" s="2"/>
      <c r="V729" s="2"/>
      <c r="W729" s="2"/>
      <c r="X729" s="2"/>
      <c r="Y729" s="2"/>
      <c r="Z729" s="2"/>
      <c r="AA729" s="2"/>
      <c r="AB729" s="2"/>
      <c r="AC729" s="2"/>
    </row>
    <row r="730" spans="1:29" ht="15" customHeight="1">
      <c r="A730" s="161"/>
      <c r="B730" s="160"/>
      <c r="C730" s="934"/>
      <c r="D730" s="934"/>
      <c r="E730" s="981"/>
      <c r="F730" s="982"/>
      <c r="G730" s="981">
        <f>+VLOOKUP(Data_Validation!$A730,BV_Data_An_Cour!$L:$Q,6,0)</f>
        <v>0</v>
      </c>
      <c r="H730" s="159"/>
    </row>
    <row r="731" spans="1:29" ht="15" customHeight="1">
      <c r="A731" s="161"/>
      <c r="B731" s="160"/>
      <c r="C731" s="934"/>
      <c r="D731" s="934"/>
      <c r="E731" s="981"/>
      <c r="F731" s="982"/>
      <c r="G731" s="981">
        <f>+VLOOKUP(Data_Validation!$A731,BV_Data_An_Cour!$L:$Q,6,0)</f>
        <v>0</v>
      </c>
      <c r="H731" s="159"/>
    </row>
    <row r="732" spans="1:29" ht="15" customHeight="1">
      <c r="A732" s="161"/>
      <c r="B732" s="160"/>
      <c r="C732" s="934"/>
      <c r="D732" s="934"/>
      <c r="E732" s="981"/>
      <c r="F732" s="982"/>
      <c r="G732" s="981">
        <f>+VLOOKUP(Data_Validation!$A732,BV_Data_An_Cour!$L:$Q,6,0)</f>
        <v>0</v>
      </c>
      <c r="H732" s="159"/>
    </row>
    <row r="733" spans="1:29" ht="15" customHeight="1">
      <c r="A733" s="161"/>
      <c r="B733" s="160"/>
      <c r="C733" s="934"/>
      <c r="D733" s="934"/>
      <c r="E733" s="981"/>
      <c r="F733" s="982"/>
      <c r="G733" s="981">
        <f>+VLOOKUP(Data_Validation!$A733,BV_Data_An_Cour!$L:$Q,6,0)</f>
        <v>0</v>
      </c>
      <c r="H733" s="159"/>
    </row>
    <row r="734" spans="1:29" ht="15" customHeight="1">
      <c r="A734" s="161"/>
      <c r="B734" s="160"/>
      <c r="C734" s="934"/>
      <c r="D734" s="934"/>
      <c r="E734" s="981"/>
      <c r="F734" s="982"/>
      <c r="G734" s="981">
        <f>+VLOOKUP(Data_Validation!$A734,BV_Data_An_Cour!$L:$Q,6,0)</f>
        <v>0</v>
      </c>
      <c r="H734" s="159"/>
    </row>
    <row r="735" spans="1:29" ht="15" customHeight="1">
      <c r="A735" s="161"/>
      <c r="B735" s="160"/>
      <c r="C735" s="934"/>
      <c r="D735" s="934"/>
      <c r="E735" s="981"/>
      <c r="F735" s="982"/>
      <c r="G735" s="981">
        <f>+VLOOKUP(Data_Validation!$A735,BV_Data_An_Cour!$L:$Q,6,0)</f>
        <v>0</v>
      </c>
      <c r="H735" s="159"/>
    </row>
    <row r="736" spans="1:29" ht="15" customHeight="1">
      <c r="A736" s="161"/>
      <c r="B736" s="160"/>
      <c r="C736" s="934"/>
      <c r="D736" s="934"/>
      <c r="E736" s="981"/>
      <c r="F736" s="982"/>
      <c r="G736" s="981">
        <f>+VLOOKUP(Data_Validation!$A736,BV_Data_An_Cour!$L:$Q,6,0)</f>
        <v>0</v>
      </c>
      <c r="H736" s="159"/>
    </row>
    <row r="737" spans="1:8" ht="15" customHeight="1">
      <c r="A737" s="161"/>
      <c r="B737" s="160"/>
      <c r="C737" s="934"/>
      <c r="D737" s="934"/>
      <c r="E737" s="981"/>
      <c r="F737" s="982"/>
      <c r="G737" s="981">
        <f>+VLOOKUP(Data_Validation!$A737,BV_Data_An_Cour!$L:$Q,6,0)</f>
        <v>0</v>
      </c>
      <c r="H737" s="159"/>
    </row>
    <row r="738" spans="1:8" ht="15" customHeight="1">
      <c r="A738" s="161"/>
      <c r="B738" s="160"/>
      <c r="C738" s="934"/>
      <c r="D738" s="934"/>
      <c r="E738" s="981"/>
      <c r="F738" s="982"/>
      <c r="G738" s="981">
        <f>+VLOOKUP(Data_Validation!$A738,BV_Data_An_Cour!$L:$Q,6,0)</f>
        <v>0</v>
      </c>
      <c r="H738" s="159"/>
    </row>
    <row r="739" spans="1:8" ht="15" customHeight="1">
      <c r="A739" s="161"/>
      <c r="B739" s="160"/>
      <c r="C739" s="934"/>
      <c r="D739" s="934"/>
      <c r="E739" s="981"/>
      <c r="F739" s="982"/>
      <c r="G739" s="981">
        <f>+VLOOKUP(Data_Validation!$A739,BV_Data_An_Cour!$L:$Q,6,0)</f>
        <v>0</v>
      </c>
      <c r="H739" s="159"/>
    </row>
    <row r="740" spans="1:8" ht="15" customHeight="1">
      <c r="A740" s="161"/>
      <c r="B740" s="160"/>
      <c r="C740" s="934"/>
      <c r="D740" s="934"/>
      <c r="E740" s="981"/>
      <c r="F740" s="982"/>
      <c r="G740" s="981">
        <f>+VLOOKUP(Data_Validation!$A740,BV_Data_An_Cour!$L:$Q,6,0)</f>
        <v>0</v>
      </c>
      <c r="H740" s="159"/>
    </row>
    <row r="741" spans="1:8" ht="15" customHeight="1">
      <c r="A741" s="161"/>
      <c r="B741" s="160"/>
      <c r="C741" s="934"/>
      <c r="D741" s="934"/>
      <c r="E741" s="981"/>
      <c r="F741" s="982"/>
      <c r="G741" s="981">
        <f>+VLOOKUP(Data_Validation!$A741,BV_Data_An_Cour!$L:$Q,6,0)</f>
        <v>0</v>
      </c>
      <c r="H741" s="159"/>
    </row>
    <row r="742" spans="1:8" ht="15" customHeight="1">
      <c r="A742" s="161"/>
      <c r="B742" s="160"/>
      <c r="C742" s="934"/>
      <c r="D742" s="934"/>
      <c r="E742" s="981"/>
      <c r="F742" s="982"/>
      <c r="G742" s="981">
        <f>+VLOOKUP(Data_Validation!$A742,BV_Data_An_Cour!$L:$Q,6,0)</f>
        <v>0</v>
      </c>
      <c r="H742" s="159"/>
    </row>
    <row r="743" spans="1:8" ht="15" customHeight="1">
      <c r="A743" s="161"/>
      <c r="B743" s="160"/>
      <c r="C743" s="934"/>
      <c r="D743" s="934"/>
      <c r="E743" s="981"/>
      <c r="F743" s="982"/>
      <c r="G743" s="981">
        <f>+VLOOKUP(Data_Validation!$A743,BV_Data_An_Cour!$L:$Q,6,0)</f>
        <v>0</v>
      </c>
      <c r="H743" s="159"/>
    </row>
    <row r="744" spans="1:8" ht="15" customHeight="1">
      <c r="A744" s="161"/>
      <c r="B744" s="160"/>
      <c r="C744" s="934"/>
      <c r="D744" s="934"/>
      <c r="E744" s="981"/>
      <c r="F744" s="982"/>
      <c r="G744" s="981">
        <f>+VLOOKUP(Data_Validation!$A744,BV_Data_An_Cour!$L:$Q,6,0)</f>
        <v>0</v>
      </c>
      <c r="H744" s="159"/>
    </row>
    <row r="745" spans="1:8" ht="15" customHeight="1">
      <c r="A745" s="161"/>
      <c r="B745" s="160"/>
      <c r="C745" s="934"/>
      <c r="D745" s="934"/>
      <c r="E745" s="981"/>
      <c r="F745" s="982"/>
      <c r="G745" s="981">
        <f>+VLOOKUP(Data_Validation!$A745,BV_Data_An_Cour!$L:$Q,6,0)</f>
        <v>0</v>
      </c>
      <c r="H745" s="159"/>
    </row>
    <row r="746" spans="1:8" ht="15" customHeight="1">
      <c r="A746" s="161"/>
      <c r="B746" s="160"/>
      <c r="C746" s="934"/>
      <c r="D746" s="934"/>
      <c r="E746" s="981"/>
      <c r="F746" s="982"/>
      <c r="G746" s="981">
        <f>+VLOOKUP(Data_Validation!$A746,BV_Data_An_Cour!$L:$Q,6,0)</f>
        <v>0</v>
      </c>
      <c r="H746" s="159"/>
    </row>
    <row r="747" spans="1:8" ht="15" customHeight="1">
      <c r="A747" s="161"/>
      <c r="B747" s="160"/>
      <c r="C747" s="934"/>
      <c r="D747" s="934"/>
      <c r="E747" s="981"/>
      <c r="F747" s="982"/>
      <c r="G747" s="981">
        <f>+VLOOKUP(Data_Validation!$A747,BV_Data_An_Cour!$L:$Q,6,0)</f>
        <v>0</v>
      </c>
      <c r="H747" s="159"/>
    </row>
    <row r="748" spans="1:8" ht="15" customHeight="1">
      <c r="A748" s="161"/>
      <c r="B748" s="160"/>
      <c r="C748" s="934"/>
      <c r="D748" s="934"/>
      <c r="E748" s="981"/>
      <c r="F748" s="982"/>
      <c r="G748" s="981">
        <f>+VLOOKUP(Data_Validation!$A748,BV_Data_An_Cour!$L:$Q,6,0)</f>
        <v>0</v>
      </c>
      <c r="H748" s="159"/>
    </row>
    <row r="749" spans="1:8" ht="15" customHeight="1">
      <c r="A749" s="161"/>
      <c r="B749" s="160"/>
      <c r="C749" s="934"/>
      <c r="D749" s="934"/>
      <c r="E749" s="981"/>
      <c r="F749" s="982"/>
      <c r="G749" s="981">
        <f>+VLOOKUP(Data_Validation!$A749,BV_Data_An_Cour!$L:$Q,6,0)</f>
        <v>0</v>
      </c>
      <c r="H749" s="159"/>
    </row>
    <row r="750" spans="1:8" ht="15" customHeight="1">
      <c r="A750" s="161"/>
      <c r="B750" s="160"/>
      <c r="C750" s="934"/>
      <c r="D750" s="934"/>
      <c r="E750" s="981"/>
      <c r="F750" s="982"/>
      <c r="G750" s="981">
        <f>+VLOOKUP(Data_Validation!$A750,BV_Data_An_Cour!$L:$Q,6,0)</f>
        <v>0</v>
      </c>
      <c r="H750" s="159"/>
    </row>
    <row r="751" spans="1:8" ht="15" customHeight="1">
      <c r="A751" s="161"/>
      <c r="B751" s="160"/>
      <c r="C751" s="934"/>
      <c r="D751" s="934"/>
      <c r="E751" s="981"/>
      <c r="F751" s="982"/>
      <c r="G751" s="981">
        <f>+VLOOKUP(Data_Validation!$A751,BV_Data_An_Cour!$L:$Q,6,0)</f>
        <v>0</v>
      </c>
      <c r="H751" s="159"/>
    </row>
    <row r="752" spans="1:8" ht="15" customHeight="1">
      <c r="A752" s="160"/>
      <c r="B752" s="160"/>
      <c r="C752" s="934"/>
      <c r="D752" s="934"/>
      <c r="E752" s="981"/>
      <c r="F752" s="982"/>
      <c r="G752" s="981">
        <f>+VLOOKUP(Data_Validation!$A752,BV_Data_An_Cour!$L:$Q,6,0)</f>
        <v>0</v>
      </c>
      <c r="H752" s="159"/>
    </row>
    <row r="753" spans="1:29" ht="15" customHeight="1">
      <c r="A753" s="161"/>
      <c r="B753" s="160"/>
      <c r="C753" s="934"/>
      <c r="D753" s="934"/>
      <c r="E753" s="981"/>
      <c r="F753" s="982"/>
      <c r="G753" s="981">
        <f>+VLOOKUP(Data_Validation!$A753,BV_Data_An_Cour!$L:$Q,6,0)</f>
        <v>0</v>
      </c>
      <c r="H753" s="159"/>
    </row>
    <row r="754" spans="1:29" ht="15" customHeight="1">
      <c r="A754" s="161"/>
      <c r="B754" s="160"/>
      <c r="C754" s="934"/>
      <c r="D754" s="934"/>
      <c r="E754" s="981"/>
      <c r="F754" s="982"/>
      <c r="G754" s="981">
        <f>+VLOOKUP(Data_Validation!$A754,BV_Data_An_Cour!$L:$Q,6,0)</f>
        <v>0</v>
      </c>
      <c r="H754" s="159"/>
    </row>
    <row r="755" spans="1:29" ht="15" customHeight="1">
      <c r="A755" s="161"/>
      <c r="B755" s="160"/>
      <c r="C755" s="934"/>
      <c r="D755" s="934"/>
      <c r="E755" s="981"/>
      <c r="F755" s="982"/>
      <c r="G755" s="981">
        <f>+VLOOKUP(Data_Validation!$A755,BV_Data_An_Cour!$L:$Q,6,0)</f>
        <v>0</v>
      </c>
      <c r="H755" s="159"/>
    </row>
    <row r="756" spans="1:29" ht="15" customHeight="1">
      <c r="A756" s="161"/>
      <c r="B756" s="160"/>
      <c r="C756" s="934"/>
      <c r="D756" s="934"/>
      <c r="E756" s="981"/>
      <c r="F756" s="982"/>
      <c r="G756" s="981">
        <f>+VLOOKUP(Data_Validation!$A756,BV_Data_An_Cour!$L:$Q,6,0)</f>
        <v>0</v>
      </c>
      <c r="H756" s="159"/>
    </row>
    <row r="757" spans="1:29" ht="15" customHeight="1">
      <c r="A757" s="161"/>
      <c r="B757" s="160"/>
      <c r="C757" s="934"/>
      <c r="D757" s="934"/>
      <c r="E757" s="981"/>
      <c r="F757" s="982"/>
      <c r="G757" s="981">
        <f>+VLOOKUP(Data_Validation!$A757,BV_Data_An_Cour!$L:$Q,6,0)</f>
        <v>0</v>
      </c>
      <c r="H757" s="159"/>
    </row>
    <row r="758" spans="1:29" ht="15" customHeight="1">
      <c r="A758" s="161"/>
      <c r="B758" s="160"/>
      <c r="C758" s="934"/>
      <c r="D758" s="934"/>
      <c r="E758" s="981"/>
      <c r="F758" s="982"/>
      <c r="G758" s="981">
        <f>+VLOOKUP(Data_Validation!$A758,BV_Data_An_Cour!$L:$Q,6,0)</f>
        <v>0</v>
      </c>
      <c r="H758" s="159"/>
    </row>
    <row r="759" spans="1:29" ht="15" customHeight="1">
      <c r="A759" s="161"/>
      <c r="B759" s="160"/>
      <c r="C759" s="934"/>
      <c r="D759" s="934"/>
      <c r="E759" s="981"/>
      <c r="F759" s="982"/>
      <c r="G759" s="981">
        <f>+VLOOKUP(Data_Validation!$A759,BV_Data_An_Cour!$L:$Q,6,0)</f>
        <v>0</v>
      </c>
      <c r="H759" s="159"/>
    </row>
    <row r="760" spans="1:29" ht="15" customHeight="1">
      <c r="A760" s="161"/>
      <c r="B760" s="160"/>
      <c r="C760" s="934"/>
      <c r="D760" s="934"/>
      <c r="E760" s="981"/>
      <c r="F760" s="982"/>
      <c r="G760" s="981">
        <f>+VLOOKUP(Data_Validation!$A760,BV_Data_An_Cour!$L:$Q,6,0)</f>
        <v>0</v>
      </c>
      <c r="H760" s="159"/>
    </row>
    <row r="761" spans="1:29" ht="15" customHeight="1">
      <c r="A761" s="161"/>
      <c r="B761" s="160"/>
      <c r="C761" s="934"/>
      <c r="D761" s="934"/>
      <c r="E761" s="981"/>
      <c r="F761" s="982"/>
      <c r="G761" s="981">
        <f>+VLOOKUP(Data_Validation!$A761,BV_Data_An_Cour!$L:$Q,6,0)</f>
        <v>0</v>
      </c>
      <c r="H761" s="159"/>
    </row>
    <row r="762" spans="1:29" ht="15" customHeight="1">
      <c r="A762" s="161"/>
      <c r="B762" s="160"/>
      <c r="C762" s="934"/>
      <c r="D762" s="934"/>
      <c r="E762" s="981"/>
      <c r="F762" s="982"/>
      <c r="G762" s="981">
        <f>+VLOOKUP(Data_Validation!$A762,BV_Data_An_Cour!$L:$Q,6,0)</f>
        <v>0</v>
      </c>
      <c r="H762" s="159"/>
    </row>
    <row r="763" spans="1:29" ht="15" customHeight="1">
      <c r="A763" s="161"/>
      <c r="B763" s="160"/>
      <c r="C763" s="934"/>
      <c r="D763" s="934"/>
      <c r="E763" s="981"/>
      <c r="F763" s="982"/>
      <c r="G763" s="981">
        <f>+VLOOKUP(Data_Validation!$A763,BV_Data_An_Cour!$L:$Q,6,0)</f>
        <v>0</v>
      </c>
      <c r="H763" s="159"/>
    </row>
    <row r="764" spans="1:29" ht="15" customHeight="1">
      <c r="A764" s="161"/>
      <c r="B764" s="160"/>
      <c r="C764" s="934"/>
      <c r="D764" s="934"/>
      <c r="E764" s="981"/>
      <c r="F764" s="982"/>
      <c r="G764" s="981">
        <f>+VLOOKUP(Data_Validation!$A764,BV_Data_An_Cour!$L:$Q,6,0)</f>
        <v>0</v>
      </c>
      <c r="H764" s="159"/>
    </row>
    <row r="765" spans="1:29" ht="15" customHeight="1">
      <c r="A765" s="161"/>
      <c r="B765" s="160"/>
      <c r="C765" s="934"/>
      <c r="D765" s="934"/>
      <c r="E765" s="981"/>
      <c r="F765" s="982"/>
      <c r="G765" s="981">
        <f>+VLOOKUP(Data_Validation!$A765,BV_Data_An_Cour!$L:$Q,6,0)</f>
        <v>0</v>
      </c>
      <c r="H765" s="159"/>
      <c r="I765" s="2"/>
      <c r="J765" s="2"/>
      <c r="L765" s="2"/>
      <c r="M765" s="2"/>
      <c r="N765" s="2"/>
      <c r="O765" s="2"/>
      <c r="P765" s="2"/>
      <c r="Q765" s="2"/>
      <c r="R765" s="2"/>
      <c r="S765" s="2"/>
      <c r="T765" s="2"/>
      <c r="U765" s="2"/>
      <c r="V765" s="2"/>
      <c r="W765" s="2"/>
      <c r="X765" s="2"/>
      <c r="Y765" s="2"/>
      <c r="Z765" s="2"/>
      <c r="AA765" s="2"/>
      <c r="AB765" s="2"/>
      <c r="AC765" s="2"/>
    </row>
    <row r="766" spans="1:29" ht="15" customHeight="1">
      <c r="A766" s="161"/>
      <c r="B766" s="160"/>
      <c r="C766" s="934"/>
      <c r="D766" s="934"/>
      <c r="E766" s="981"/>
      <c r="F766" s="982"/>
      <c r="G766" s="981">
        <f>+VLOOKUP(Data_Validation!$A766,BV_Data_An_Cour!$L:$Q,6,0)</f>
        <v>0</v>
      </c>
      <c r="H766" s="159"/>
    </row>
    <row r="767" spans="1:29" ht="15" customHeight="1">
      <c r="A767" s="161"/>
      <c r="B767" s="160"/>
      <c r="C767" s="934"/>
      <c r="D767" s="934"/>
      <c r="E767" s="981"/>
      <c r="F767" s="982"/>
      <c r="G767" s="981">
        <f>+VLOOKUP(Data_Validation!$A767,BV_Data_An_Cour!$L:$Q,6,0)</f>
        <v>0</v>
      </c>
      <c r="H767" s="159"/>
    </row>
    <row r="768" spans="1:29" ht="15" customHeight="1">
      <c r="A768" s="161"/>
      <c r="B768" s="160"/>
      <c r="C768" s="934"/>
      <c r="D768" s="934"/>
      <c r="E768" s="981"/>
      <c r="F768" s="982"/>
      <c r="G768" s="981">
        <f>+VLOOKUP(Data_Validation!$A768,BV_Data_An_Cour!$L:$Q,6,0)</f>
        <v>0</v>
      </c>
      <c r="H768" s="159"/>
    </row>
    <row r="769" spans="1:29" ht="15" customHeight="1">
      <c r="A769" s="161"/>
      <c r="B769" s="160"/>
      <c r="C769" s="934"/>
      <c r="D769" s="934"/>
      <c r="E769" s="981"/>
      <c r="F769" s="982"/>
      <c r="G769" s="981">
        <f>+VLOOKUP(Data_Validation!$A769,BV_Data_An_Cour!$L:$Q,6,0)</f>
        <v>0</v>
      </c>
      <c r="H769" s="159"/>
    </row>
    <row r="770" spans="1:29" ht="15" customHeight="1">
      <c r="A770" s="161"/>
      <c r="B770" s="160"/>
      <c r="C770" s="934"/>
      <c r="D770" s="934"/>
      <c r="E770" s="981"/>
      <c r="F770" s="982"/>
      <c r="G770" s="981">
        <f>+VLOOKUP(Data_Validation!$A770,BV_Data_An_Cour!$L:$Q,6,0)</f>
        <v>0</v>
      </c>
      <c r="H770" s="159"/>
    </row>
    <row r="771" spans="1:29" ht="15" customHeight="1">
      <c r="A771" s="161"/>
      <c r="B771" s="160"/>
      <c r="C771" s="934"/>
      <c r="D771" s="934"/>
      <c r="E771" s="981"/>
      <c r="F771" s="982"/>
      <c r="G771" s="981">
        <f>+VLOOKUP(Data_Validation!$A771,BV_Data_An_Cour!$L:$Q,6,0)</f>
        <v>0</v>
      </c>
      <c r="H771" s="159"/>
    </row>
    <row r="772" spans="1:29" ht="15" customHeight="1">
      <c r="A772" s="161"/>
      <c r="B772" s="160"/>
      <c r="C772" s="934"/>
      <c r="D772" s="934"/>
      <c r="E772" s="981"/>
      <c r="F772" s="982"/>
      <c r="G772" s="981">
        <f>+VLOOKUP(Data_Validation!$A772,BV_Data_An_Cour!$L:$Q,6,0)</f>
        <v>0</v>
      </c>
      <c r="H772" s="159"/>
      <c r="K772" s="2"/>
    </row>
    <row r="773" spans="1:29" ht="15" customHeight="1">
      <c r="A773" s="161"/>
      <c r="B773" s="160"/>
      <c r="C773" s="934"/>
      <c r="D773" s="934"/>
      <c r="E773" s="981"/>
      <c r="F773" s="982"/>
      <c r="G773" s="981">
        <f>+VLOOKUP(Data_Validation!$A773,BV_Data_An_Cour!$L:$Q,6,0)</f>
        <v>0</v>
      </c>
      <c r="H773" s="159"/>
    </row>
    <row r="774" spans="1:29" ht="15" customHeight="1">
      <c r="A774" s="161"/>
      <c r="B774" s="565"/>
      <c r="C774" s="934"/>
      <c r="D774" s="934"/>
      <c r="E774" s="981"/>
      <c r="F774" s="982"/>
      <c r="G774" s="981">
        <f>+VLOOKUP(Data_Validation!$A774,BV_Data_An_Cour!$L:$Q,6,0)</f>
        <v>0</v>
      </c>
      <c r="H774" s="159"/>
    </row>
    <row r="775" spans="1:29" ht="15" customHeight="1">
      <c r="A775" s="161"/>
      <c r="B775" s="160"/>
      <c r="C775" s="934"/>
      <c r="D775" s="934"/>
      <c r="E775" s="981"/>
      <c r="F775" s="982"/>
      <c r="G775" s="981">
        <f>+VLOOKUP(Data_Validation!$A775,BV_Data_An_Cour!$L:$Q,6,0)</f>
        <v>0</v>
      </c>
      <c r="H775" s="159"/>
    </row>
    <row r="776" spans="1:29" ht="15" customHeight="1">
      <c r="A776" s="161"/>
      <c r="B776" s="160"/>
      <c r="C776" s="934"/>
      <c r="D776" s="934"/>
      <c r="E776" s="981"/>
      <c r="F776" s="982"/>
      <c r="G776" s="981">
        <f>+VLOOKUP(Data_Validation!$A776,BV_Data_An_Cour!$L:$Q,6,0)</f>
        <v>0</v>
      </c>
      <c r="H776" s="159"/>
    </row>
    <row r="777" spans="1:29" ht="15" customHeight="1">
      <c r="A777" s="161"/>
      <c r="B777" s="160"/>
      <c r="C777" s="934"/>
      <c r="D777" s="934"/>
      <c r="E777" s="981"/>
      <c r="F777" s="982"/>
      <c r="G777" s="981">
        <f>+VLOOKUP(Data_Validation!$A777,BV_Data_An_Cour!$L:$Q,6,0)</f>
        <v>0</v>
      </c>
    </row>
    <row r="778" spans="1:29" ht="15" customHeight="1">
      <c r="A778" s="161"/>
      <c r="B778" s="160"/>
      <c r="C778" s="934"/>
      <c r="D778" s="934"/>
      <c r="E778" s="981"/>
      <c r="F778" s="982"/>
      <c r="G778" s="981">
        <f>+VLOOKUP(Data_Validation!$A778,BV_Data_An_Cour!$L:$Q,6,0)</f>
        <v>0</v>
      </c>
    </row>
    <row r="779" spans="1:29" ht="15" customHeight="1">
      <c r="A779" s="161"/>
      <c r="B779" s="160"/>
      <c r="C779" s="934"/>
      <c r="D779" s="934"/>
      <c r="E779" s="981"/>
      <c r="F779" s="982"/>
      <c r="G779" s="981">
        <f>+VLOOKUP(Data_Validation!$A779,BV_Data_An_Cour!$L:$Q,6,0)</f>
        <v>0</v>
      </c>
      <c r="H779" s="159"/>
    </row>
    <row r="780" spans="1:29" ht="15" customHeight="1">
      <c r="A780" s="161"/>
      <c r="B780" s="160"/>
      <c r="C780" s="934"/>
      <c r="D780" s="934"/>
      <c r="E780" s="981"/>
      <c r="F780" s="982"/>
      <c r="G780" s="981">
        <f>+VLOOKUP(Data_Validation!$A780,BV_Data_An_Cour!$L:$Q,6,0)</f>
        <v>0</v>
      </c>
      <c r="H780" s="159"/>
    </row>
    <row r="781" spans="1:29" ht="15" customHeight="1">
      <c r="A781" s="161"/>
      <c r="B781" s="160"/>
      <c r="C781" s="934"/>
      <c r="D781" s="934"/>
      <c r="E781" s="981"/>
      <c r="F781" s="982"/>
      <c r="G781" s="981">
        <f>+VLOOKUP(Data_Validation!$A781,BV_Data_An_Cour!$L:$Q,6,0)</f>
        <v>0</v>
      </c>
      <c r="H781" s="159"/>
      <c r="I781" s="2"/>
      <c r="J781" s="2"/>
      <c r="K781" s="2"/>
      <c r="L781" s="2"/>
      <c r="M781" s="2"/>
      <c r="N781" s="2"/>
      <c r="O781" s="2"/>
      <c r="P781" s="2"/>
      <c r="Q781" s="2"/>
      <c r="R781" s="2"/>
      <c r="S781" s="2"/>
      <c r="T781" s="2"/>
      <c r="U781" s="2"/>
      <c r="V781" s="2"/>
      <c r="W781" s="2"/>
      <c r="X781" s="2"/>
      <c r="Y781" s="2"/>
      <c r="Z781" s="2"/>
      <c r="AA781" s="2"/>
      <c r="AB781" s="2"/>
      <c r="AC781" s="2"/>
    </row>
    <row r="782" spans="1:29" ht="15" customHeight="1">
      <c r="A782" s="161"/>
      <c r="B782" s="160"/>
      <c r="C782" s="934"/>
      <c r="D782" s="934"/>
      <c r="E782" s="981"/>
      <c r="F782" s="982"/>
      <c r="G782" s="981">
        <f>+VLOOKUP(Data_Validation!$A782,BV_Data_An_Cour!$L:$Q,6,0)</f>
        <v>0</v>
      </c>
      <c r="H782" s="159"/>
      <c r="I782" s="2"/>
      <c r="J782" s="2"/>
      <c r="L782" s="2"/>
      <c r="M782" s="2"/>
      <c r="N782" s="2"/>
      <c r="O782" s="2"/>
      <c r="P782" s="2"/>
      <c r="Q782" s="2"/>
      <c r="R782" s="2"/>
      <c r="S782" s="2"/>
      <c r="T782" s="2"/>
      <c r="U782" s="2"/>
      <c r="V782" s="2"/>
      <c r="W782" s="2"/>
      <c r="X782" s="2"/>
      <c r="Y782" s="2"/>
      <c r="Z782" s="2"/>
      <c r="AA782" s="2"/>
      <c r="AB782" s="2"/>
      <c r="AC782" s="2"/>
    </row>
    <row r="783" spans="1:29" ht="15" customHeight="1">
      <c r="A783" s="161"/>
      <c r="B783" s="160"/>
      <c r="C783" s="934"/>
      <c r="D783" s="934"/>
      <c r="E783" s="981"/>
      <c r="F783" s="982"/>
      <c r="G783" s="981">
        <f>+VLOOKUP(Data_Validation!$A783,BV_Data_An_Cour!$L:$Q,6,0)</f>
        <v>0</v>
      </c>
      <c r="H783" s="159"/>
    </row>
    <row r="784" spans="1:29" ht="15" customHeight="1">
      <c r="A784" s="161"/>
      <c r="B784" s="160"/>
      <c r="C784" s="934"/>
      <c r="D784" s="934"/>
      <c r="E784" s="981"/>
      <c r="F784" s="982"/>
      <c r="G784" s="981">
        <f>+VLOOKUP(Data_Validation!$A784,BV_Data_An_Cour!$L:$Q,6,0)</f>
        <v>0</v>
      </c>
      <c r="H784" s="159"/>
    </row>
    <row r="785" spans="1:29" ht="15" customHeight="1">
      <c r="A785" s="160"/>
      <c r="B785" s="160"/>
      <c r="C785" s="934"/>
      <c r="D785" s="934"/>
      <c r="E785" s="981"/>
      <c r="F785" s="982"/>
      <c r="G785" s="981">
        <f>+VLOOKUP(Data_Validation!$A785,BV_Data_An_Cour!$L:$Q,6,0)</f>
        <v>0</v>
      </c>
      <c r="H785" s="159"/>
    </row>
    <row r="786" spans="1:29" ht="15" customHeight="1">
      <c r="A786" s="160"/>
      <c r="B786" s="160"/>
      <c r="C786" s="934"/>
      <c r="D786" s="934"/>
      <c r="E786" s="981"/>
      <c r="F786" s="982"/>
      <c r="G786" s="981">
        <f>+VLOOKUP(Data_Validation!$A786,BV_Data_An_Cour!$L:$Q,6,0)</f>
        <v>0</v>
      </c>
      <c r="H786" s="159"/>
    </row>
    <row r="787" spans="1:29" ht="15" customHeight="1">
      <c r="A787" s="161"/>
      <c r="B787" s="160"/>
      <c r="C787" s="934"/>
      <c r="D787" s="934"/>
      <c r="E787" s="981"/>
      <c r="F787" s="982"/>
      <c r="G787" s="981">
        <f>+VLOOKUP(Data_Validation!$A787,BV_Data_An_Cour!$L:$Q,6,0)</f>
        <v>0</v>
      </c>
      <c r="H787" s="182"/>
    </row>
    <row r="788" spans="1:29" ht="15" customHeight="1">
      <c r="A788" s="161"/>
      <c r="B788" s="160"/>
      <c r="C788" s="934"/>
      <c r="D788" s="934"/>
      <c r="E788" s="981"/>
      <c r="F788" s="982"/>
      <c r="G788" s="981">
        <f>+VLOOKUP(Data_Validation!$A788,BV_Data_An_Cour!$L:$Q,6,0)</f>
        <v>0</v>
      </c>
      <c r="H788" s="182"/>
      <c r="I788" s="2"/>
      <c r="J788" s="2"/>
      <c r="L788" s="2"/>
      <c r="M788" s="2"/>
      <c r="N788" s="2"/>
      <c r="O788" s="2"/>
      <c r="P788" s="2"/>
      <c r="Q788" s="2"/>
      <c r="R788" s="2"/>
      <c r="S788" s="2"/>
      <c r="T788" s="2"/>
      <c r="U788" s="2"/>
      <c r="V788" s="2"/>
      <c r="W788" s="2"/>
      <c r="X788" s="2"/>
      <c r="Y788" s="2"/>
      <c r="Z788" s="2"/>
      <c r="AA788" s="2"/>
      <c r="AB788" s="2"/>
      <c r="AC788" s="2"/>
    </row>
    <row r="789" spans="1:29" ht="15" customHeight="1">
      <c r="A789" s="161"/>
      <c r="B789" s="160"/>
      <c r="C789" s="934"/>
      <c r="D789" s="934"/>
      <c r="E789" s="981"/>
      <c r="F789" s="982"/>
      <c r="G789" s="981">
        <f>+VLOOKUP(Data_Validation!$A789,BV_Data_An_Cour!$L:$Q,6,0)</f>
        <v>0</v>
      </c>
      <c r="H789" s="182"/>
    </row>
    <row r="790" spans="1:29" ht="15" customHeight="1">
      <c r="A790" s="161"/>
      <c r="B790" s="160"/>
      <c r="C790" s="934"/>
      <c r="D790" s="934"/>
      <c r="E790" s="981"/>
      <c r="F790" s="982"/>
      <c r="G790" s="981">
        <f>+VLOOKUP(Data_Validation!$A790,BV_Data_An_Cour!$L:$Q,6,0)</f>
        <v>0</v>
      </c>
      <c r="H790" s="182"/>
    </row>
    <row r="791" spans="1:29" ht="15" customHeight="1">
      <c r="A791" s="161"/>
      <c r="B791" s="160"/>
      <c r="C791" s="934"/>
      <c r="D791" s="934"/>
      <c r="E791" s="981"/>
      <c r="F791" s="982"/>
      <c r="G791" s="981">
        <f>+VLOOKUP(Data_Validation!$A791,BV_Data_An_Cour!$L:$Q,6,0)</f>
        <v>0</v>
      </c>
      <c r="H791" s="182"/>
    </row>
    <row r="792" spans="1:29" ht="15" customHeight="1">
      <c r="A792" s="161"/>
      <c r="B792" s="160"/>
      <c r="C792" s="934"/>
      <c r="D792" s="934"/>
      <c r="E792" s="981"/>
      <c r="F792" s="982"/>
      <c r="G792" s="981">
        <f>+VLOOKUP(Data_Validation!$A792,BV_Data_An_Cour!$L:$Q,6,0)</f>
        <v>0</v>
      </c>
      <c r="H792" s="182"/>
    </row>
    <row r="793" spans="1:29" ht="15" customHeight="1">
      <c r="A793" s="161"/>
      <c r="B793" s="1001"/>
      <c r="C793" s="993"/>
      <c r="D793" s="934"/>
      <c r="E793" s="981"/>
      <c r="F793" s="982"/>
      <c r="G793" s="981">
        <f>+VLOOKUP(Data_Validation!$A793,BV_Data_An_Cour!$L:$Q,6,0)</f>
        <v>0</v>
      </c>
      <c r="H793" s="182"/>
    </row>
    <row r="794" spans="1:29" ht="15" customHeight="1">
      <c r="A794" s="161"/>
      <c r="B794" s="160"/>
      <c r="C794" s="934"/>
      <c r="D794" s="934"/>
      <c r="E794" s="981"/>
      <c r="F794" s="982"/>
      <c r="G794" s="981">
        <f>+VLOOKUP(Data_Validation!$A794,BV_Data_An_Cour!$L:$Q,6,0)</f>
        <v>0</v>
      </c>
      <c r="H794" s="182"/>
    </row>
    <row r="795" spans="1:29" ht="15" customHeight="1">
      <c r="A795" s="161"/>
      <c r="B795" s="160"/>
      <c r="C795" s="934"/>
      <c r="D795" s="934"/>
      <c r="E795" s="981"/>
      <c r="F795" s="982"/>
      <c r="G795" s="981">
        <f>+VLOOKUP(Data_Validation!$A795,BV_Data_An_Cour!$L:$Q,6,0)</f>
        <v>0</v>
      </c>
      <c r="H795" s="182"/>
    </row>
    <row r="796" spans="1:29" ht="15" customHeight="1">
      <c r="A796" s="161"/>
      <c r="B796" s="160"/>
      <c r="C796" s="934"/>
      <c r="D796" s="934"/>
      <c r="E796" s="981"/>
      <c r="F796" s="982"/>
      <c r="G796" s="981">
        <f>+VLOOKUP(Data_Validation!$A796,BV_Data_An_Cour!$L:$Q,6,0)</f>
        <v>0</v>
      </c>
      <c r="H796" s="182"/>
    </row>
    <row r="797" spans="1:29" ht="15" customHeight="1">
      <c r="A797" s="161"/>
      <c r="B797" s="160"/>
      <c r="C797" s="934"/>
      <c r="D797" s="934"/>
      <c r="E797" s="981"/>
      <c r="F797" s="982"/>
      <c r="G797" s="981">
        <f>+VLOOKUP(Data_Validation!$A797,BV_Data_An_Cour!$L:$Q,6,0)</f>
        <v>0</v>
      </c>
      <c r="H797" s="182"/>
    </row>
    <row r="798" spans="1:29" ht="15" customHeight="1">
      <c r="A798" s="161"/>
      <c r="B798" s="160"/>
      <c r="C798" s="934"/>
      <c r="D798" s="934"/>
      <c r="E798" s="981"/>
      <c r="F798" s="982"/>
      <c r="G798" s="981">
        <f>+VLOOKUP(Data_Validation!$A798,BV_Data_An_Cour!$L:$Q,6,0)</f>
        <v>0</v>
      </c>
      <c r="H798" s="182"/>
    </row>
    <row r="799" spans="1:29" ht="15" customHeight="1">
      <c r="A799" s="161"/>
      <c r="B799" s="160"/>
      <c r="C799" s="934"/>
      <c r="D799" s="934"/>
      <c r="E799" s="981"/>
      <c r="F799" s="982"/>
      <c r="G799" s="981">
        <f>+VLOOKUP(Data_Validation!$A799,BV_Data_An_Cour!$L:$Q,6,0)</f>
        <v>0</v>
      </c>
      <c r="H799" s="182"/>
    </row>
    <row r="800" spans="1:29" ht="15" customHeight="1">
      <c r="A800" s="161"/>
      <c r="B800" s="160"/>
      <c r="C800" s="934"/>
      <c r="D800" s="934"/>
      <c r="E800" s="981"/>
      <c r="F800" s="982"/>
      <c r="G800" s="981">
        <f>+VLOOKUP(Data_Validation!$A800,BV_Data_An_Cour!$L:$Q,6,0)</f>
        <v>0</v>
      </c>
      <c r="H800" s="159"/>
    </row>
    <row r="801" spans="1:8" ht="15" customHeight="1">
      <c r="A801" s="161"/>
      <c r="B801" s="160"/>
      <c r="C801" s="934"/>
      <c r="D801" s="934"/>
      <c r="E801" s="981"/>
      <c r="F801" s="982"/>
      <c r="G801" s="981">
        <f>+VLOOKUP(Data_Validation!$A801,BV_Data_An_Cour!$L:$Q,6,0)</f>
        <v>0</v>
      </c>
      <c r="H801" s="159"/>
    </row>
    <row r="802" spans="1:8" ht="15" customHeight="1">
      <c r="A802" s="161"/>
      <c r="B802" s="160"/>
      <c r="C802" s="934"/>
      <c r="D802" s="934"/>
      <c r="E802" s="981"/>
      <c r="F802" s="982"/>
      <c r="G802" s="981">
        <f>+VLOOKUP(Data_Validation!$A802,BV_Data_An_Cour!$L:$Q,6,0)</f>
        <v>0</v>
      </c>
      <c r="H802" s="159"/>
    </row>
    <row r="803" spans="1:8" ht="15" customHeight="1">
      <c r="A803" s="161"/>
      <c r="B803" s="160"/>
      <c r="C803" s="934"/>
      <c r="D803" s="934"/>
      <c r="E803" s="981"/>
      <c r="F803" s="982"/>
      <c r="G803" s="981">
        <f>+VLOOKUP(Data_Validation!$A803,BV_Data_An_Cour!$L:$Q,6,0)</f>
        <v>0</v>
      </c>
      <c r="H803" s="159"/>
    </row>
    <row r="804" spans="1:8" ht="15" customHeight="1">
      <c r="A804" s="161"/>
      <c r="B804" s="160"/>
      <c r="C804" s="934"/>
      <c r="D804" s="934"/>
      <c r="E804" s="981"/>
      <c r="F804" s="982"/>
      <c r="G804" s="981">
        <f>+VLOOKUP(Data_Validation!$A804,BV_Data_An_Cour!$L:$Q,6,0)</f>
        <v>0</v>
      </c>
      <c r="H804" s="159"/>
    </row>
    <row r="805" spans="1:8" ht="15" customHeight="1">
      <c r="A805" s="161"/>
      <c r="B805" s="160"/>
      <c r="C805" s="934"/>
      <c r="D805" s="934"/>
      <c r="E805" s="981"/>
      <c r="F805" s="982"/>
      <c r="G805" s="981">
        <f>+VLOOKUP(Data_Validation!$A805,BV_Data_An_Cour!$L:$Q,6,0)</f>
        <v>0</v>
      </c>
      <c r="H805" s="159"/>
    </row>
    <row r="806" spans="1:8" ht="15" customHeight="1">
      <c r="A806" s="161"/>
      <c r="B806" s="160"/>
      <c r="C806" s="934"/>
      <c r="D806" s="934"/>
      <c r="E806" s="981"/>
      <c r="F806" s="982"/>
      <c r="G806" s="981">
        <f>+VLOOKUP(Data_Validation!$A806,BV_Data_An_Cour!$L:$Q,6,0)</f>
        <v>0</v>
      </c>
      <c r="H806" s="159"/>
    </row>
    <row r="807" spans="1:8" ht="15" customHeight="1">
      <c r="A807" s="161"/>
      <c r="B807" s="160"/>
      <c r="C807" s="934"/>
      <c r="D807" s="934"/>
      <c r="E807" s="981"/>
      <c r="F807" s="982"/>
      <c r="G807" s="981">
        <f>+VLOOKUP(Data_Validation!$A807,BV_Data_An_Cour!$L:$Q,6,0)</f>
        <v>0</v>
      </c>
      <c r="H807" s="159"/>
    </row>
    <row r="808" spans="1:8" ht="15" customHeight="1">
      <c r="A808" s="161"/>
      <c r="B808" s="160"/>
      <c r="C808" s="934"/>
      <c r="D808" s="934"/>
      <c r="E808" s="981"/>
      <c r="F808" s="982"/>
      <c r="G808" s="981">
        <f>+VLOOKUP(Data_Validation!$A808,BV_Data_An_Cour!$L:$Q,6,0)</f>
        <v>0</v>
      </c>
      <c r="H808" s="159"/>
    </row>
    <row r="809" spans="1:8" ht="15" customHeight="1">
      <c r="A809" s="161"/>
      <c r="B809" s="160"/>
      <c r="C809" s="934"/>
      <c r="D809" s="934"/>
      <c r="E809" s="981"/>
      <c r="F809" s="982"/>
      <c r="G809" s="981">
        <f>+VLOOKUP(Data_Validation!$A809,BV_Data_An_Cour!$L:$Q,6,0)</f>
        <v>0</v>
      </c>
      <c r="H809" s="159"/>
    </row>
    <row r="810" spans="1:8" ht="15" customHeight="1">
      <c r="A810" s="161"/>
      <c r="B810" s="160"/>
      <c r="C810" s="934"/>
      <c r="D810" s="934"/>
      <c r="E810" s="981"/>
      <c r="F810" s="982"/>
      <c r="G810" s="981">
        <f>+VLOOKUP(Data_Validation!$A810,BV_Data_An_Cour!$L:$Q,6,0)</f>
        <v>0</v>
      </c>
      <c r="H810" s="182"/>
    </row>
    <row r="811" spans="1:8" ht="15" customHeight="1">
      <c r="A811" s="161"/>
      <c r="B811" s="160"/>
      <c r="C811" s="934"/>
      <c r="D811" s="934"/>
      <c r="E811" s="981"/>
      <c r="F811" s="982"/>
      <c r="G811" s="981">
        <f>+VLOOKUP(Data_Validation!$A811,BV_Data_An_Cour!$L:$Q,6,0)</f>
        <v>0</v>
      </c>
      <c r="H811" s="182"/>
    </row>
    <row r="812" spans="1:8" ht="15" customHeight="1">
      <c r="A812" s="161"/>
      <c r="B812" s="160"/>
      <c r="C812" s="934"/>
      <c r="D812" s="934"/>
      <c r="E812" s="981"/>
      <c r="F812" s="982"/>
      <c r="G812" s="981">
        <f>+VLOOKUP(Data_Validation!$A812,BV_Data_An_Cour!$L:$Q,6,0)</f>
        <v>0</v>
      </c>
      <c r="H812" s="182"/>
    </row>
    <row r="813" spans="1:8" ht="15" customHeight="1">
      <c r="A813" s="161"/>
      <c r="B813" s="160"/>
      <c r="C813" s="934"/>
      <c r="D813" s="934"/>
      <c r="E813" s="981"/>
      <c r="F813" s="982"/>
      <c r="G813" s="981">
        <f>+VLOOKUP(Data_Validation!$A813,BV_Data_An_Cour!$L:$Q,6,0)</f>
        <v>0</v>
      </c>
      <c r="H813" s="182"/>
    </row>
    <row r="814" spans="1:8" ht="15" customHeight="1">
      <c r="A814" s="161"/>
      <c r="B814" s="160"/>
      <c r="C814" s="934"/>
      <c r="D814" s="934"/>
      <c r="E814" s="981"/>
      <c r="F814" s="982"/>
      <c r="G814" s="981">
        <f>+VLOOKUP(Data_Validation!$A814,BV_Data_An_Cour!$L:$Q,6,0)</f>
        <v>0</v>
      </c>
      <c r="H814" s="182"/>
    </row>
    <row r="815" spans="1:8" ht="15" customHeight="1">
      <c r="A815" s="170"/>
      <c r="B815" s="1000"/>
      <c r="C815" s="934"/>
      <c r="D815" s="934"/>
      <c r="E815" s="981"/>
      <c r="F815" s="982"/>
      <c r="G815" s="981">
        <f>+VLOOKUP(Data_Validation!$A815,BV_Data_An_Cour!$L:$Q,6,0)</f>
        <v>0</v>
      </c>
      <c r="H815" s="182"/>
    </row>
    <row r="816" spans="1:8" ht="15" customHeight="1">
      <c r="A816" s="161"/>
      <c r="B816" s="160"/>
      <c r="C816" s="934"/>
      <c r="D816" s="934"/>
      <c r="E816" s="981"/>
      <c r="F816" s="982"/>
      <c r="G816" s="981">
        <f>+VLOOKUP(Data_Validation!$A816,BV_Data_An_Cour!$L:$Q,6,0)</f>
        <v>0</v>
      </c>
      <c r="H816" s="182"/>
    </row>
    <row r="817" spans="1:11" ht="15" customHeight="1">
      <c r="A817" s="161"/>
      <c r="B817" s="160"/>
      <c r="C817" s="934"/>
      <c r="D817" s="934"/>
      <c r="E817" s="981"/>
      <c r="F817" s="982"/>
      <c r="G817" s="981">
        <f>+VLOOKUP(Data_Validation!$A817,BV_Data_An_Cour!$L:$Q,6,0)</f>
        <v>0</v>
      </c>
      <c r="H817" s="182"/>
    </row>
    <row r="818" spans="1:11" ht="15" customHeight="1">
      <c r="A818" s="161"/>
      <c r="B818" s="160"/>
      <c r="C818" s="934"/>
      <c r="D818" s="934"/>
      <c r="E818" s="981"/>
      <c r="F818" s="982"/>
      <c r="G818" s="981">
        <f>+VLOOKUP(Data_Validation!$A818,BV_Data_An_Cour!$L:$Q,6,0)</f>
        <v>0</v>
      </c>
      <c r="H818" s="182"/>
    </row>
    <row r="819" spans="1:11" ht="15" customHeight="1">
      <c r="A819" s="161"/>
      <c r="B819" s="160"/>
      <c r="C819" s="934"/>
      <c r="D819" s="934"/>
      <c r="E819" s="981"/>
      <c r="F819" s="982"/>
      <c r="G819" s="981">
        <f>+VLOOKUP(Data_Validation!$A819,BV_Data_An_Cour!$L:$Q,6,0)</f>
        <v>0</v>
      </c>
      <c r="H819" s="182"/>
    </row>
    <row r="820" spans="1:11" ht="15" customHeight="1">
      <c r="A820" s="160"/>
      <c r="B820" s="160"/>
      <c r="C820" s="934"/>
      <c r="D820" s="934"/>
      <c r="E820" s="981"/>
      <c r="F820" s="982"/>
      <c r="G820" s="981">
        <f>+VLOOKUP(Data_Validation!$A820,BV_Data_An_Cour!$L:$Q,6,0)</f>
        <v>0</v>
      </c>
      <c r="H820" s="182"/>
    </row>
    <row r="821" spans="1:11" ht="15" customHeight="1">
      <c r="A821" s="161"/>
      <c r="B821" s="160"/>
      <c r="C821" s="934"/>
      <c r="D821" s="934"/>
      <c r="E821" s="981"/>
      <c r="F821" s="982"/>
      <c r="G821" s="981">
        <f>+VLOOKUP(Data_Validation!$A821,BV_Data_An_Cour!$L:$Q,6,0)</f>
        <v>0</v>
      </c>
      <c r="H821" s="182"/>
    </row>
    <row r="822" spans="1:11" ht="15" customHeight="1">
      <c r="A822" s="161"/>
      <c r="B822" s="160"/>
      <c r="C822" s="934"/>
      <c r="D822" s="934"/>
      <c r="E822" s="981"/>
      <c r="F822" s="982"/>
      <c r="G822" s="981">
        <f>+VLOOKUP(Data_Validation!$A822,BV_Data_An_Cour!$L:$Q,6,0)</f>
        <v>0</v>
      </c>
      <c r="H822" s="182"/>
    </row>
    <row r="823" spans="1:11" ht="15" customHeight="1">
      <c r="A823" s="161"/>
      <c r="B823" s="160"/>
      <c r="C823" s="934"/>
      <c r="D823" s="934"/>
      <c r="E823" s="981"/>
      <c r="F823" s="982"/>
      <c r="G823" s="981">
        <f>+VLOOKUP(Data_Validation!$A823,BV_Data_An_Cour!$L:$Q,6,0)</f>
        <v>0</v>
      </c>
      <c r="H823" s="182"/>
    </row>
    <row r="824" spans="1:11" ht="15" customHeight="1">
      <c r="A824" s="161"/>
      <c r="B824" s="160"/>
      <c r="C824" s="934"/>
      <c r="D824" s="934"/>
      <c r="E824" s="981"/>
      <c r="F824" s="982"/>
      <c r="G824" s="981">
        <f>+VLOOKUP(Data_Validation!$A824,BV_Data_An_Cour!$L:$Q,6,0)</f>
        <v>0</v>
      </c>
      <c r="H824" s="182"/>
    </row>
    <row r="825" spans="1:11" ht="15" customHeight="1">
      <c r="A825" s="161"/>
      <c r="B825" s="160"/>
      <c r="C825" s="934"/>
      <c r="D825" s="934"/>
      <c r="E825" s="981"/>
      <c r="F825" s="982"/>
      <c r="G825" s="981">
        <f>+VLOOKUP(Data_Validation!$A825,BV_Data_An_Cour!$L:$Q,6,0)</f>
        <v>0</v>
      </c>
      <c r="H825" s="182"/>
    </row>
    <row r="826" spans="1:11" ht="15" customHeight="1">
      <c r="A826" s="161"/>
      <c r="B826" s="160"/>
      <c r="C826" s="934"/>
      <c r="D826" s="934"/>
      <c r="E826" s="981"/>
      <c r="F826" s="982"/>
      <c r="G826" s="981">
        <f>+VLOOKUP(Data_Validation!$A826,BV_Data_An_Cour!$L:$Q,6,0)</f>
        <v>0</v>
      </c>
      <c r="H826" s="182"/>
    </row>
    <row r="827" spans="1:11" ht="15" customHeight="1">
      <c r="A827" s="161"/>
      <c r="B827" s="160"/>
      <c r="C827" s="934"/>
      <c r="D827" s="934"/>
      <c r="E827" s="981"/>
      <c r="F827" s="982"/>
      <c r="G827" s="981">
        <f>+VLOOKUP(Data_Validation!$A827,BV_Data_An_Cour!$L:$Q,6,0)</f>
        <v>0</v>
      </c>
      <c r="H827" s="182"/>
    </row>
    <row r="828" spans="1:11" ht="15" customHeight="1">
      <c r="A828" s="161"/>
      <c r="B828" s="160"/>
      <c r="C828" s="934"/>
      <c r="D828" s="934"/>
      <c r="E828" s="981"/>
      <c r="F828" s="982"/>
      <c r="G828" s="981">
        <f>+VLOOKUP(Data_Validation!$A828,BV_Data_An_Cour!$L:$Q,6,0)</f>
        <v>0</v>
      </c>
      <c r="H828" s="182"/>
    </row>
    <row r="829" spans="1:11" ht="15" customHeight="1">
      <c r="A829" s="161"/>
      <c r="B829" s="160"/>
      <c r="C829" s="934"/>
      <c r="D829" s="934"/>
      <c r="E829" s="981"/>
      <c r="F829" s="982"/>
      <c r="G829" s="981">
        <f>+VLOOKUP(Data_Validation!$A829,BV_Data_An_Cour!$L:$Q,6,0)</f>
        <v>0</v>
      </c>
      <c r="H829" s="182"/>
    </row>
    <row r="830" spans="1:11" ht="15" customHeight="1">
      <c r="A830" s="161"/>
      <c r="B830" s="160"/>
      <c r="C830" s="934"/>
      <c r="D830" s="934"/>
      <c r="E830" s="981"/>
      <c r="F830" s="982"/>
      <c r="G830" s="981">
        <f>+VLOOKUP(Data_Validation!$A830,BV_Data_An_Cour!$L:$Q,6,0)</f>
        <v>0</v>
      </c>
      <c r="H830" s="182"/>
    </row>
    <row r="831" spans="1:11" ht="15" customHeight="1">
      <c r="A831" s="161"/>
      <c r="B831" s="160"/>
      <c r="C831" s="934"/>
      <c r="D831" s="934"/>
      <c r="E831" s="981"/>
      <c r="F831" s="982"/>
      <c r="G831" s="981">
        <f>+VLOOKUP(Data_Validation!$A831,BV_Data_An_Cour!$L:$Q,6,0)</f>
        <v>0</v>
      </c>
      <c r="H831" s="182"/>
    </row>
    <row r="832" spans="1:11" ht="15" customHeight="1">
      <c r="A832" s="161"/>
      <c r="B832" s="160"/>
      <c r="C832" s="934"/>
      <c r="D832" s="934"/>
      <c r="E832" s="981"/>
      <c r="F832" s="982"/>
      <c r="G832" s="981">
        <f>+VLOOKUP(Data_Validation!$A832,BV_Data_An_Cour!$L:$Q,6,0)</f>
        <v>0</v>
      </c>
      <c r="H832" s="182"/>
      <c r="K832" s="2"/>
    </row>
    <row r="833" spans="1:29" ht="15" customHeight="1">
      <c r="A833" s="161"/>
      <c r="B833" s="160"/>
      <c r="C833" s="934"/>
      <c r="D833" s="934"/>
      <c r="E833" s="981"/>
      <c r="F833" s="982"/>
      <c r="G833" s="981">
        <f>+VLOOKUP(Data_Validation!$A833,BV_Data_An_Cour!$L:$Q,6,0)</f>
        <v>0</v>
      </c>
      <c r="H833" s="182"/>
      <c r="K833" s="2"/>
    </row>
    <row r="834" spans="1:29" ht="15" customHeight="1">
      <c r="A834" s="161"/>
      <c r="B834" s="160"/>
      <c r="C834" s="934"/>
      <c r="D834" s="934"/>
      <c r="E834" s="981"/>
      <c r="F834" s="982"/>
      <c r="G834" s="981">
        <f>+VLOOKUP(Data_Validation!$A834,BV_Data_An_Cour!$L:$Q,6,0)</f>
        <v>0</v>
      </c>
      <c r="H834" s="182"/>
    </row>
    <row r="835" spans="1:29" ht="15" customHeight="1">
      <c r="A835" s="161"/>
      <c r="B835" s="160"/>
      <c r="C835" s="934"/>
      <c r="D835" s="934"/>
      <c r="E835" s="981"/>
      <c r="F835" s="982"/>
      <c r="G835" s="981">
        <f>+VLOOKUP(Data_Validation!$A835,BV_Data_An_Cour!$L:$Q,6,0)</f>
        <v>0</v>
      </c>
      <c r="H835" s="182"/>
    </row>
    <row r="836" spans="1:29" ht="15" customHeight="1">
      <c r="A836" s="161"/>
      <c r="B836" s="160"/>
      <c r="C836" s="934"/>
      <c r="D836" s="934"/>
      <c r="E836" s="981"/>
      <c r="F836" s="982"/>
      <c r="G836" s="981">
        <f>+VLOOKUP(Data_Validation!$A836,BV_Data_An_Cour!$L:$Q,6,0)</f>
        <v>0</v>
      </c>
      <c r="H836" s="182"/>
    </row>
    <row r="837" spans="1:29" ht="15" customHeight="1">
      <c r="A837" s="161"/>
      <c r="B837" s="160"/>
      <c r="C837" s="934"/>
      <c r="D837" s="934"/>
      <c r="E837" s="981"/>
      <c r="F837" s="982"/>
      <c r="G837" s="981">
        <f>+VLOOKUP(Data_Validation!$A837,BV_Data_An_Cour!$L:$Q,6,0)</f>
        <v>0</v>
      </c>
      <c r="H837" s="182"/>
      <c r="I837" s="2"/>
      <c r="J837" s="2"/>
      <c r="L837" s="2"/>
      <c r="M837" s="2"/>
      <c r="N837" s="2"/>
      <c r="O837" s="2"/>
      <c r="P837" s="2"/>
      <c r="Q837" s="2"/>
      <c r="R837" s="2"/>
      <c r="S837" s="2"/>
      <c r="T837" s="2"/>
      <c r="U837" s="2"/>
      <c r="V837" s="2"/>
      <c r="W837" s="2"/>
      <c r="X837" s="2"/>
      <c r="Y837" s="2"/>
      <c r="Z837" s="2"/>
      <c r="AA837" s="2"/>
      <c r="AB837" s="2"/>
      <c r="AC837" s="2"/>
    </row>
    <row r="838" spans="1:29" ht="15" customHeight="1">
      <c r="A838" s="161"/>
      <c r="B838" s="160"/>
      <c r="C838" s="934"/>
      <c r="D838" s="934"/>
      <c r="E838" s="981"/>
      <c r="F838" s="982"/>
      <c r="G838" s="981">
        <f>+VLOOKUP(Data_Validation!$A838,BV_Data_An_Cour!$L:$Q,6,0)</f>
        <v>0</v>
      </c>
      <c r="H838" s="182"/>
    </row>
    <row r="839" spans="1:29" ht="15" customHeight="1">
      <c r="A839" s="161"/>
      <c r="B839" s="160"/>
      <c r="C839" s="934"/>
      <c r="D839" s="934"/>
      <c r="E839" s="981"/>
      <c r="F839" s="982"/>
      <c r="G839" s="981">
        <f>+VLOOKUP(Data_Validation!$A839,BV_Data_An_Cour!$L:$Q,6,0)</f>
        <v>0</v>
      </c>
      <c r="H839" s="182"/>
      <c r="K839" s="2"/>
    </row>
    <row r="840" spans="1:29" ht="15" customHeight="1">
      <c r="A840" s="161"/>
      <c r="B840" s="160"/>
      <c r="C840" s="934"/>
      <c r="D840" s="934"/>
      <c r="E840" s="981"/>
      <c r="F840" s="982"/>
      <c r="G840" s="981">
        <f>+VLOOKUP(Data_Validation!$A840,BV_Data_An_Cour!$L:$Q,6,0)</f>
        <v>0</v>
      </c>
      <c r="H840" s="182"/>
    </row>
    <row r="841" spans="1:29" ht="15" customHeight="1">
      <c r="A841" s="160"/>
      <c r="B841" s="160"/>
      <c r="C841" s="934"/>
      <c r="D841" s="934"/>
      <c r="E841" s="981"/>
      <c r="F841" s="982"/>
      <c r="G841" s="981">
        <f>+VLOOKUP(Data_Validation!$A841,BV_Data_An_Cour!$L:$Q,6,0)</f>
        <v>0</v>
      </c>
      <c r="H841" s="182"/>
    </row>
    <row r="842" spans="1:29" ht="15" customHeight="1">
      <c r="A842" s="161"/>
      <c r="B842" s="160"/>
      <c r="C842" s="934"/>
      <c r="D842" s="934"/>
      <c r="E842" s="981"/>
      <c r="F842" s="982"/>
      <c r="G842" s="981">
        <f>+VLOOKUP(Data_Validation!$A842,BV_Data_An_Cour!$L:$Q,6,0)</f>
        <v>0</v>
      </c>
      <c r="H842" s="182"/>
    </row>
    <row r="843" spans="1:29" ht="15" customHeight="1">
      <c r="A843" s="161"/>
      <c r="B843" s="160"/>
      <c r="C843" s="934"/>
      <c r="D843" s="934"/>
      <c r="E843" s="981"/>
      <c r="F843" s="982"/>
      <c r="G843" s="981">
        <f>+VLOOKUP(Data_Validation!$A843,BV_Data_An_Cour!$L:$Q,6,0)</f>
        <v>0</v>
      </c>
      <c r="H843" s="182"/>
    </row>
    <row r="844" spans="1:29" ht="15" customHeight="1">
      <c r="A844" s="161"/>
      <c r="B844" s="160"/>
      <c r="C844" s="934"/>
      <c r="D844" s="934"/>
      <c r="E844" s="981"/>
      <c r="F844" s="982"/>
      <c r="G844" s="981">
        <f>+VLOOKUP(Data_Validation!$A844,BV_Data_An_Cour!$L:$Q,6,0)</f>
        <v>0</v>
      </c>
      <c r="H844" s="182"/>
      <c r="K844" s="2"/>
    </row>
    <row r="845" spans="1:29" ht="15" customHeight="1">
      <c r="A845" s="161"/>
      <c r="B845" s="160"/>
      <c r="C845" s="934"/>
      <c r="D845" s="934"/>
      <c r="E845" s="981"/>
      <c r="F845" s="982"/>
      <c r="G845" s="981">
        <f>+VLOOKUP(Data_Validation!$A845,BV_Data_An_Cour!$L:$Q,6,0)</f>
        <v>0</v>
      </c>
      <c r="H845" s="182"/>
    </row>
    <row r="846" spans="1:29" ht="15" customHeight="1">
      <c r="A846" s="161"/>
      <c r="B846" s="160"/>
      <c r="C846" s="934"/>
      <c r="D846" s="934"/>
      <c r="E846" s="981"/>
      <c r="F846" s="982"/>
      <c r="G846" s="981">
        <f>+VLOOKUP(Data_Validation!$A846,BV_Data_An_Cour!$L:$Q,6,0)</f>
        <v>0</v>
      </c>
      <c r="H846" s="182"/>
    </row>
    <row r="847" spans="1:29" ht="15" customHeight="1">
      <c r="A847" s="161"/>
      <c r="B847" s="160"/>
      <c r="C847" s="934"/>
      <c r="D847" s="934"/>
      <c r="E847" s="981"/>
      <c r="F847" s="982"/>
      <c r="G847" s="981">
        <f>+VLOOKUP(Data_Validation!$A847,BV_Data_An_Cour!$L:$Q,6,0)</f>
        <v>0</v>
      </c>
      <c r="H847" s="182"/>
    </row>
    <row r="848" spans="1:29" ht="15" customHeight="1">
      <c r="A848" s="161"/>
      <c r="B848" s="160"/>
      <c r="C848" s="934"/>
      <c r="D848" s="934"/>
      <c r="E848" s="981"/>
      <c r="F848" s="982"/>
      <c r="G848" s="981">
        <f>+VLOOKUP(Data_Validation!$A848,BV_Data_An_Cour!$L:$Q,6,0)</f>
        <v>0</v>
      </c>
      <c r="H848" s="182"/>
    </row>
    <row r="849" spans="1:8" ht="15" customHeight="1">
      <c r="A849" s="161"/>
      <c r="B849" s="160"/>
      <c r="C849" s="934"/>
      <c r="D849" s="934"/>
      <c r="E849" s="981"/>
      <c r="F849" s="982"/>
      <c r="G849" s="981">
        <f>+VLOOKUP(Data_Validation!$A849,BV_Data_An_Cour!$L:$Q,6,0)</f>
        <v>0</v>
      </c>
      <c r="H849" s="182"/>
    </row>
    <row r="850" spans="1:8" ht="15" customHeight="1">
      <c r="A850" s="161"/>
      <c r="B850" s="160"/>
      <c r="C850" s="934"/>
      <c r="D850" s="934"/>
      <c r="E850" s="981"/>
      <c r="F850" s="982"/>
      <c r="G850" s="981">
        <f>+VLOOKUP(Data_Validation!$A850,BV_Data_An_Cour!$L:$Q,6,0)</f>
        <v>0</v>
      </c>
      <c r="H850" s="182"/>
    </row>
    <row r="851" spans="1:8" ht="15" customHeight="1">
      <c r="A851" s="161"/>
      <c r="B851" s="160"/>
      <c r="C851" s="934"/>
      <c r="D851" s="934"/>
      <c r="E851" s="981"/>
      <c r="F851" s="982"/>
      <c r="G851" s="981">
        <f>+VLOOKUP(Data_Validation!$A851,BV_Data_An_Cour!$L:$Q,6,0)</f>
        <v>0</v>
      </c>
      <c r="H851" s="182"/>
    </row>
    <row r="852" spans="1:8" ht="15" customHeight="1">
      <c r="A852" s="160"/>
      <c r="B852" s="160"/>
      <c r="C852" s="934"/>
      <c r="D852" s="934"/>
      <c r="E852" s="981"/>
      <c r="F852" s="982"/>
      <c r="G852" s="981">
        <f>+VLOOKUP(Data_Validation!$A852,BV_Data_An_Cour!$L:$Q,6,0)</f>
        <v>0</v>
      </c>
      <c r="H852" s="182"/>
    </row>
    <row r="853" spans="1:8" ht="15" customHeight="1">
      <c r="A853" s="160"/>
      <c r="B853" s="160"/>
      <c r="C853" s="934"/>
      <c r="D853" s="934"/>
      <c r="E853" s="981"/>
      <c r="F853" s="982"/>
      <c r="G853" s="981">
        <f>+VLOOKUP(Data_Validation!$A853,BV_Data_An_Cour!$L:$Q,6,0)</f>
        <v>0</v>
      </c>
      <c r="H853" s="182"/>
    </row>
    <row r="854" spans="1:8" ht="15" customHeight="1">
      <c r="A854" s="161"/>
      <c r="B854" s="160"/>
      <c r="C854" s="934"/>
      <c r="D854" s="934"/>
      <c r="E854" s="981"/>
      <c r="F854" s="982"/>
      <c r="G854" s="981">
        <f>+VLOOKUP(Data_Validation!$A854,BV_Data_An_Cour!$L:$Q,6,0)</f>
        <v>0</v>
      </c>
      <c r="H854" s="182"/>
    </row>
    <row r="855" spans="1:8" ht="15" customHeight="1">
      <c r="A855" s="161"/>
      <c r="B855" s="160"/>
      <c r="C855" s="934"/>
      <c r="D855" s="934"/>
      <c r="E855" s="981"/>
      <c r="F855" s="982"/>
      <c r="G855" s="981">
        <f>+VLOOKUP(Data_Validation!$A855,BV_Data_An_Cour!$L:$Q,6,0)</f>
        <v>0</v>
      </c>
      <c r="H855" s="182"/>
    </row>
    <row r="856" spans="1:8" ht="15" customHeight="1">
      <c r="A856" s="161"/>
      <c r="B856" s="160"/>
      <c r="C856" s="934"/>
      <c r="D856" s="934"/>
      <c r="E856" s="981"/>
      <c r="F856" s="982"/>
      <c r="G856" s="981">
        <f>+VLOOKUP(Data_Validation!$A856,BV_Data_An_Cour!$L:$Q,6,0)</f>
        <v>0</v>
      </c>
      <c r="H856" s="182"/>
    </row>
    <row r="857" spans="1:8" ht="15" customHeight="1">
      <c r="A857" s="161"/>
      <c r="B857" s="160"/>
      <c r="C857" s="934"/>
      <c r="D857" s="934"/>
      <c r="E857" s="981"/>
      <c r="F857" s="982"/>
      <c r="G857" s="981">
        <f>+VLOOKUP(Data_Validation!$A857,BV_Data_An_Cour!$L:$Q,6,0)</f>
        <v>0</v>
      </c>
      <c r="H857" s="182"/>
    </row>
    <row r="858" spans="1:8" ht="15" customHeight="1">
      <c r="A858" s="161"/>
      <c r="B858" s="160"/>
      <c r="C858" s="934"/>
      <c r="D858" s="934"/>
      <c r="E858" s="981"/>
      <c r="F858" s="982"/>
      <c r="G858" s="981">
        <f>+VLOOKUP(Data_Validation!$A858,BV_Data_An_Cour!$L:$Q,6,0)</f>
        <v>0</v>
      </c>
      <c r="H858" s="182"/>
    </row>
    <row r="859" spans="1:8" ht="15" customHeight="1">
      <c r="A859" s="161"/>
      <c r="B859" s="160"/>
      <c r="C859" s="934"/>
      <c r="D859" s="934"/>
      <c r="E859" s="981"/>
      <c r="F859" s="982"/>
      <c r="G859" s="981">
        <f>+VLOOKUP(Data_Validation!$A859,BV_Data_An_Cour!$L:$Q,6,0)</f>
        <v>0</v>
      </c>
      <c r="H859" s="182"/>
    </row>
    <row r="860" spans="1:8" ht="15" customHeight="1">
      <c r="A860" s="161"/>
      <c r="B860" s="160"/>
      <c r="C860" s="934"/>
      <c r="D860" s="934"/>
      <c r="E860" s="981"/>
      <c r="F860" s="982"/>
      <c r="G860" s="981">
        <f>+VLOOKUP(Data_Validation!$A860,BV_Data_An_Cour!$L:$Q,6,0)</f>
        <v>0</v>
      </c>
      <c r="H860" s="182"/>
    </row>
    <row r="861" spans="1:8" ht="15" customHeight="1">
      <c r="A861" s="161"/>
      <c r="B861" s="160"/>
      <c r="C861" s="934"/>
      <c r="D861" s="934"/>
      <c r="E861" s="981"/>
      <c r="F861" s="982"/>
      <c r="G861" s="981">
        <f>+VLOOKUP(Data_Validation!$A861,BV_Data_An_Cour!$L:$Q,6,0)</f>
        <v>0</v>
      </c>
      <c r="H861" s="182"/>
    </row>
    <row r="862" spans="1:8" ht="15" customHeight="1">
      <c r="A862" s="161"/>
      <c r="B862" s="160"/>
      <c r="C862" s="934"/>
      <c r="D862" s="934"/>
      <c r="E862" s="981"/>
      <c r="F862" s="982"/>
      <c r="G862" s="981">
        <f>+VLOOKUP(Data_Validation!$A862,BV_Data_An_Cour!$L:$Q,6,0)</f>
        <v>0</v>
      </c>
      <c r="H862" s="182"/>
    </row>
    <row r="863" spans="1:8" ht="15" customHeight="1">
      <c r="A863" s="161"/>
      <c r="B863" s="160"/>
      <c r="C863" s="934"/>
      <c r="D863" s="934"/>
      <c r="E863" s="981"/>
      <c r="F863" s="982"/>
      <c r="G863" s="981">
        <f>+VLOOKUP(Data_Validation!$A863,BV_Data_An_Cour!$L:$Q,6,0)</f>
        <v>0</v>
      </c>
      <c r="H863" s="182"/>
    </row>
    <row r="864" spans="1:8" ht="15" customHeight="1">
      <c r="A864" s="161"/>
      <c r="B864" s="160"/>
      <c r="C864" s="934"/>
      <c r="D864" s="934"/>
      <c r="E864" s="981"/>
      <c r="F864" s="982"/>
      <c r="G864" s="981">
        <f>+VLOOKUP(Data_Validation!$A864,BV_Data_An_Cour!$L:$Q,6,0)</f>
        <v>0</v>
      </c>
      <c r="H864" s="182"/>
    </row>
    <row r="865" spans="1:8" ht="15" customHeight="1">
      <c r="A865" s="161"/>
      <c r="B865" s="160"/>
      <c r="C865" s="934"/>
      <c r="D865" s="934"/>
      <c r="E865" s="981"/>
      <c r="F865" s="982"/>
      <c r="G865" s="981">
        <f>+VLOOKUP(Data_Validation!$A865,BV_Data_An_Cour!$L:$Q,6,0)</f>
        <v>0</v>
      </c>
      <c r="H865" s="182"/>
    </row>
    <row r="866" spans="1:8" ht="15" customHeight="1">
      <c r="A866" s="161"/>
      <c r="B866" s="160"/>
      <c r="C866" s="934"/>
      <c r="D866" s="934"/>
      <c r="E866" s="981"/>
      <c r="F866" s="982"/>
      <c r="G866" s="981">
        <f>+VLOOKUP(Data_Validation!$A866,BV_Data_An_Cour!$L:$Q,6,0)</f>
        <v>0</v>
      </c>
      <c r="H866" s="182"/>
    </row>
    <row r="867" spans="1:8" ht="15" customHeight="1">
      <c r="A867" s="161"/>
      <c r="B867" s="160"/>
      <c r="C867" s="934"/>
      <c r="D867" s="934"/>
      <c r="E867" s="981"/>
      <c r="F867" s="982"/>
      <c r="G867" s="981">
        <f>+VLOOKUP(Data_Validation!$A867,BV_Data_An_Cour!$L:$Q,6,0)</f>
        <v>0</v>
      </c>
      <c r="H867" s="182"/>
    </row>
    <row r="868" spans="1:8" ht="15" customHeight="1">
      <c r="A868" s="161"/>
      <c r="B868" s="160"/>
      <c r="C868" s="934"/>
      <c r="D868" s="934"/>
      <c r="E868" s="981"/>
      <c r="F868" s="982"/>
      <c r="G868" s="981">
        <f>+VLOOKUP(Data_Validation!$A868,BV_Data_An_Cour!$L:$Q,6,0)</f>
        <v>0</v>
      </c>
      <c r="H868" s="182"/>
    </row>
    <row r="869" spans="1:8" ht="15" customHeight="1">
      <c r="A869" s="161"/>
      <c r="B869" s="160"/>
      <c r="C869" s="934"/>
      <c r="D869" s="934"/>
      <c r="E869" s="981"/>
      <c r="F869" s="982"/>
      <c r="G869" s="981">
        <f>+VLOOKUP(Data_Validation!$A869,BV_Data_An_Cour!$L:$Q,6,0)</f>
        <v>0</v>
      </c>
      <c r="H869" s="182"/>
    </row>
    <row r="870" spans="1:8" ht="15" customHeight="1">
      <c r="A870" s="161"/>
      <c r="B870" s="160"/>
      <c r="C870" s="934"/>
      <c r="D870" s="934"/>
      <c r="E870" s="981"/>
      <c r="F870" s="982"/>
      <c r="G870" s="981">
        <f>+VLOOKUP(Data_Validation!$A870,BV_Data_An_Cour!$L:$Q,6,0)</f>
        <v>0</v>
      </c>
      <c r="H870" s="182"/>
    </row>
    <row r="871" spans="1:8" ht="15" customHeight="1">
      <c r="A871" s="161"/>
      <c r="B871" s="160"/>
      <c r="C871" s="934"/>
      <c r="D871" s="934"/>
      <c r="E871" s="981"/>
      <c r="F871" s="982"/>
      <c r="G871" s="981">
        <f>+VLOOKUP(Data_Validation!$A871,BV_Data_An_Cour!$L:$Q,6,0)</f>
        <v>0</v>
      </c>
      <c r="H871" s="182"/>
    </row>
    <row r="872" spans="1:8" ht="15" customHeight="1">
      <c r="A872" s="161"/>
      <c r="B872" s="160"/>
      <c r="C872" s="934"/>
      <c r="D872" s="934"/>
      <c r="E872" s="981"/>
      <c r="F872" s="982"/>
      <c r="G872" s="981">
        <f>+VLOOKUP(Data_Validation!$A872,BV_Data_An_Cour!$L:$Q,6,0)</f>
        <v>0</v>
      </c>
      <c r="H872" s="182"/>
    </row>
    <row r="873" spans="1:8" ht="15" customHeight="1">
      <c r="A873" s="161"/>
      <c r="B873" s="160"/>
      <c r="C873" s="934"/>
      <c r="D873" s="934"/>
      <c r="E873" s="981"/>
      <c r="F873" s="982"/>
      <c r="G873" s="981">
        <f>+VLOOKUP(Data_Validation!$A873,BV_Data_An_Cour!$L:$Q,6,0)</f>
        <v>0</v>
      </c>
      <c r="H873" s="182"/>
    </row>
    <row r="874" spans="1:8" ht="15" customHeight="1">
      <c r="A874" s="161"/>
      <c r="B874" s="160"/>
      <c r="C874" s="934"/>
      <c r="D874" s="934"/>
      <c r="E874" s="981"/>
      <c r="F874" s="982"/>
      <c r="G874" s="981">
        <f>+VLOOKUP(Data_Validation!$A874,BV_Data_An_Cour!$L:$Q,6,0)</f>
        <v>0</v>
      </c>
      <c r="H874" s="182"/>
    </row>
    <row r="875" spans="1:8" ht="15" customHeight="1">
      <c r="A875" s="161"/>
      <c r="B875" s="160"/>
      <c r="C875" s="934"/>
      <c r="D875" s="934"/>
      <c r="E875" s="981"/>
      <c r="F875" s="982"/>
      <c r="G875" s="981">
        <f>+VLOOKUP(Data_Validation!$A875,BV_Data_An_Cour!$L:$Q,6,0)</f>
        <v>0</v>
      </c>
      <c r="H875" s="182"/>
    </row>
    <row r="876" spans="1:8" ht="15" customHeight="1">
      <c r="A876" s="162"/>
      <c r="B876" s="163"/>
      <c r="C876" s="934"/>
      <c r="D876" s="934"/>
      <c r="E876" s="981"/>
      <c r="F876" s="982"/>
      <c r="G876" s="981">
        <f>+VLOOKUP(Data_Validation!$A876,BV_Data_An_Cour!$L:$Q,6,0)</f>
        <v>0</v>
      </c>
      <c r="H876" s="182"/>
    </row>
    <row r="877" spans="1:8" ht="15" customHeight="1">
      <c r="A877" s="160"/>
      <c r="B877" s="160"/>
      <c r="C877" s="934"/>
      <c r="D877" s="934"/>
      <c r="E877" s="981"/>
      <c r="F877" s="982"/>
      <c r="G877" s="981">
        <f>+VLOOKUP(Data_Validation!$A877,BV_Data_An_Cour!$L:$Q,6,0)</f>
        <v>0</v>
      </c>
    </row>
    <row r="878" spans="1:8" ht="15" customHeight="1">
      <c r="A878" s="160"/>
      <c r="B878" s="160"/>
      <c r="C878" s="934"/>
      <c r="D878" s="934"/>
      <c r="E878" s="981"/>
      <c r="F878" s="982"/>
      <c r="G878" s="981">
        <f>+VLOOKUP(Data_Validation!$A878,BV_Data_An_Cour!$L:$Q,6,0)</f>
        <v>0</v>
      </c>
    </row>
    <row r="879" spans="1:8" ht="15" customHeight="1">
      <c r="A879" s="161"/>
      <c r="B879" s="160"/>
      <c r="C879" s="934"/>
      <c r="D879" s="934"/>
      <c r="E879" s="981"/>
      <c r="F879" s="982"/>
      <c r="G879" s="981">
        <f>+VLOOKUP(Data_Validation!$A879,BV_Data_An_Cour!$L:$Q,6,0)</f>
        <v>0</v>
      </c>
    </row>
    <row r="880" spans="1:8" ht="15" customHeight="1">
      <c r="A880" s="161"/>
      <c r="B880" s="160"/>
      <c r="C880" s="934"/>
      <c r="D880" s="934"/>
      <c r="E880" s="981"/>
      <c r="F880" s="982"/>
      <c r="G880" s="981">
        <f>+VLOOKUP(Data_Validation!$A880,BV_Data_An_Cour!$L:$Q,6,0)</f>
        <v>0</v>
      </c>
    </row>
    <row r="881" spans="1:29" ht="15" customHeight="1">
      <c r="A881" s="161"/>
      <c r="B881" s="160"/>
      <c r="C881" s="934"/>
      <c r="D881" s="934"/>
      <c r="E881" s="981"/>
      <c r="F881" s="982"/>
      <c r="G881" s="981">
        <f>+VLOOKUP(Data_Validation!$A881,BV_Data_An_Cour!$L:$Q,6,0)</f>
        <v>0</v>
      </c>
    </row>
    <row r="882" spans="1:29" ht="15" customHeight="1">
      <c r="A882" s="161"/>
      <c r="B882" s="160"/>
      <c r="C882" s="934"/>
      <c r="D882" s="934"/>
      <c r="E882" s="981"/>
      <c r="F882" s="982"/>
      <c r="G882" s="981">
        <f>+VLOOKUP(Data_Validation!$A882,BV_Data_An_Cour!$L:$Q,6,0)</f>
        <v>0</v>
      </c>
    </row>
    <row r="883" spans="1:29" ht="15" customHeight="1">
      <c r="A883" s="161"/>
      <c r="B883" s="160"/>
      <c r="C883" s="934"/>
      <c r="D883" s="934"/>
      <c r="E883" s="981"/>
      <c r="F883" s="982"/>
      <c r="G883" s="981">
        <f>+VLOOKUP(Data_Validation!$A883,BV_Data_An_Cour!$L:$Q,6,0)</f>
        <v>0</v>
      </c>
    </row>
    <row r="884" spans="1:29" ht="15" customHeight="1">
      <c r="A884" s="162"/>
      <c r="B884" s="163"/>
      <c r="C884" s="934"/>
      <c r="D884" s="934"/>
      <c r="E884" s="984"/>
      <c r="F884" s="984"/>
      <c r="G884" s="984">
        <f>+VLOOKUP(Data_Validation!$A884,BV_Data_An_Cour!$L:$Q,6,0)</f>
        <v>0</v>
      </c>
    </row>
    <row r="885" spans="1:29" ht="15" customHeight="1">
      <c r="A885" s="161"/>
      <c r="B885" s="160"/>
      <c r="C885" s="934"/>
      <c r="D885" s="934"/>
      <c r="E885" s="981"/>
      <c r="F885" s="982"/>
      <c r="G885" s="981">
        <f>+VLOOKUP(Data_Validation!$A885,BV_Data_An_Cour!$L:$Q,6,0)</f>
        <v>0</v>
      </c>
      <c r="I885" s="2"/>
      <c r="J885" s="2"/>
      <c r="L885" s="2"/>
      <c r="M885" s="2"/>
      <c r="N885" s="2"/>
      <c r="O885" s="2"/>
      <c r="P885" s="2"/>
      <c r="Q885" s="2"/>
      <c r="R885" s="2"/>
      <c r="S885" s="2"/>
      <c r="T885" s="2"/>
      <c r="U885" s="2"/>
      <c r="V885" s="2"/>
      <c r="W885" s="2"/>
      <c r="X885" s="2"/>
      <c r="Y885" s="2"/>
      <c r="Z885" s="2"/>
      <c r="AA885" s="2"/>
      <c r="AB885" s="2"/>
      <c r="AC885" s="2"/>
    </row>
    <row r="886" spans="1:29" ht="15" customHeight="1">
      <c r="A886" s="162"/>
      <c r="B886" s="163"/>
      <c r="C886" s="934"/>
      <c r="D886" s="934"/>
      <c r="E886" s="984"/>
      <c r="F886" s="984"/>
      <c r="G886" s="984">
        <f>+VLOOKUP(Data_Validation!$A886,BV_Data_An_Cour!$L:$Q,6,0)</f>
        <v>0</v>
      </c>
    </row>
    <row r="887" spans="1:29" ht="15" customHeight="1">
      <c r="A887" s="161"/>
      <c r="B887" s="160"/>
      <c r="C887" s="934"/>
      <c r="D887" s="934"/>
      <c r="E887" s="981"/>
      <c r="F887" s="982"/>
      <c r="G887" s="981">
        <f>+VLOOKUP(Data_Validation!$A887,BV_Data_An_Cour!$L:$Q,6,0)</f>
        <v>0</v>
      </c>
    </row>
    <row r="888" spans="1:29" ht="15" customHeight="1">
      <c r="A888" s="161"/>
      <c r="B888" s="160"/>
      <c r="C888" s="934"/>
      <c r="D888" s="934"/>
      <c r="E888" s="981"/>
      <c r="F888" s="982"/>
      <c r="G888" s="981">
        <f>+VLOOKUP(Data_Validation!$A888,BV_Data_An_Cour!$L:$Q,6,0)</f>
        <v>0</v>
      </c>
    </row>
    <row r="889" spans="1:29" ht="15" customHeight="1">
      <c r="A889" s="162"/>
      <c r="B889" s="163"/>
      <c r="C889" s="934"/>
      <c r="D889" s="934"/>
      <c r="E889" s="984"/>
      <c r="F889" s="984"/>
      <c r="G889" s="984">
        <f>+VLOOKUP(Data_Validation!$A889,BV_Data_An_Cour!$L:$Q,6,0)</f>
        <v>0</v>
      </c>
    </row>
    <row r="890" spans="1:29" ht="15" customHeight="1">
      <c r="A890" s="160"/>
      <c r="B890" s="160"/>
      <c r="C890" s="934"/>
      <c r="D890" s="934"/>
      <c r="E890" s="981"/>
      <c r="F890" s="982"/>
      <c r="G890" s="981">
        <f>+VLOOKUP(Data_Validation!$A890,BV_Data_An_Cour!$L:$Q,6,0)</f>
        <v>0</v>
      </c>
    </row>
    <row r="891" spans="1:29" ht="15" customHeight="1">
      <c r="A891" s="162"/>
      <c r="B891" s="163"/>
      <c r="C891" s="934"/>
      <c r="D891" s="934"/>
      <c r="E891" s="984"/>
      <c r="F891" s="984"/>
      <c r="G891" s="984">
        <f>+VLOOKUP(Data_Validation!$A891,BV_Data_An_Cour!$L:$Q,6,0)</f>
        <v>0</v>
      </c>
      <c r="H891" s="532"/>
    </row>
    <row r="892" spans="1:29" ht="15" customHeight="1">
      <c r="A892" s="161"/>
      <c r="B892" s="160"/>
      <c r="C892" s="934"/>
      <c r="D892" s="934"/>
      <c r="E892" s="981"/>
      <c r="F892" s="982"/>
      <c r="G892" s="981">
        <f>+VLOOKUP(Data_Validation!$A892,BV_Data_An_Cour!$L:$Q,6,0)</f>
        <v>0</v>
      </c>
      <c r="H892" s="157"/>
    </row>
    <row r="893" spans="1:29" ht="15" customHeight="1">
      <c r="A893" s="162"/>
      <c r="B893" s="163"/>
      <c r="C893" s="934"/>
      <c r="D893" s="934"/>
      <c r="E893" s="984"/>
      <c r="F893" s="984"/>
      <c r="G893" s="984">
        <f>+VLOOKUP(Data_Validation!$A893,BV_Data_An_Cour!$L:$Q,6,0)</f>
        <v>0</v>
      </c>
      <c r="H893" s="157"/>
    </row>
    <row r="894" spans="1:29" ht="15" customHeight="1">
      <c r="A894" s="161"/>
      <c r="B894" s="160"/>
      <c r="C894" s="934"/>
      <c r="D894" s="934"/>
      <c r="E894" s="981"/>
      <c r="F894" s="982"/>
      <c r="G894" s="981">
        <f>+VLOOKUP(Data_Validation!$A894,BV_Data_An_Cour!$L:$Q,6,0)</f>
        <v>0</v>
      </c>
      <c r="H894" s="157"/>
    </row>
    <row r="895" spans="1:29" ht="15" customHeight="1">
      <c r="A895" s="162"/>
      <c r="B895" s="163"/>
      <c r="C895" s="934"/>
      <c r="D895" s="934"/>
      <c r="E895" s="984"/>
      <c r="F895" s="984"/>
      <c r="G895" s="984">
        <f>+VLOOKUP(Data_Validation!$A895,BV_Data_An_Cour!$L:$Q,6,0)</f>
        <v>0</v>
      </c>
      <c r="H895" s="157"/>
    </row>
    <row r="896" spans="1:29" ht="15" customHeight="1">
      <c r="A896" s="161"/>
      <c r="B896" s="160"/>
      <c r="C896" s="934"/>
      <c r="D896" s="934"/>
      <c r="E896" s="981"/>
      <c r="F896" s="982"/>
      <c r="G896" s="981">
        <f>+VLOOKUP(Data_Validation!$A896,BV_Data_An_Cour!$L:$Q,6,0)</f>
        <v>0</v>
      </c>
      <c r="H896" s="159"/>
      <c r="I896" s="2"/>
      <c r="J896" s="2"/>
      <c r="L896" s="2"/>
      <c r="M896" s="2"/>
      <c r="N896" s="2"/>
      <c r="O896" s="2"/>
      <c r="P896" s="2"/>
      <c r="Q896" s="2"/>
      <c r="R896" s="2"/>
      <c r="S896" s="2"/>
      <c r="T896" s="2"/>
      <c r="U896" s="2"/>
      <c r="V896" s="2"/>
      <c r="W896" s="2"/>
      <c r="X896" s="2"/>
      <c r="Y896" s="2"/>
      <c r="Z896" s="2"/>
      <c r="AA896" s="2"/>
      <c r="AB896" s="2"/>
      <c r="AC896" s="2"/>
    </row>
    <row r="897" spans="1:29" ht="15" customHeight="1">
      <c r="A897" s="162"/>
      <c r="B897" s="163"/>
      <c r="C897" s="934"/>
      <c r="D897" s="934"/>
      <c r="E897" s="984"/>
      <c r="F897" s="984"/>
      <c r="G897" s="984">
        <f>+VLOOKUP(Data_Validation!$A897,BV_Data_An_Cour!$L:$Q,6,0)</f>
        <v>0</v>
      </c>
      <c r="H897" s="157"/>
    </row>
    <row r="898" spans="1:29" ht="15" customHeight="1">
      <c r="A898" s="161"/>
      <c r="B898" s="160"/>
      <c r="C898" s="934"/>
      <c r="D898" s="934"/>
      <c r="E898" s="981"/>
      <c r="F898" s="982"/>
      <c r="G898" s="981">
        <f>+VLOOKUP(Data_Validation!$A898,BV_Data_An_Cour!$L:$Q,6,0)</f>
        <v>0</v>
      </c>
      <c r="H898" s="157"/>
    </row>
    <row r="899" spans="1:29" ht="15" customHeight="1">
      <c r="A899" s="162"/>
      <c r="B899" s="163"/>
      <c r="C899" s="934"/>
      <c r="D899" s="934"/>
      <c r="E899" s="984"/>
      <c r="F899" s="984"/>
      <c r="G899" s="984">
        <f>+VLOOKUP(Data_Validation!$A899,BV_Data_An_Cour!$L:$Q,6,0)</f>
        <v>0</v>
      </c>
      <c r="H899" s="157"/>
    </row>
    <row r="900" spans="1:29" ht="15" customHeight="1">
      <c r="A900" s="160"/>
      <c r="B900" s="160"/>
      <c r="C900" s="934"/>
      <c r="D900" s="934"/>
      <c r="E900" s="981"/>
      <c r="F900" s="982"/>
      <c r="G900" s="981">
        <f>+VLOOKUP(Data_Validation!$A900,BV_Data_An_Cour!$L:$Q,6,0)</f>
        <v>0</v>
      </c>
      <c r="H900" s="157"/>
    </row>
    <row r="901" spans="1:29" ht="15" customHeight="1">
      <c r="A901" s="160"/>
      <c r="B901" s="160"/>
      <c r="C901" s="934"/>
      <c r="D901" s="934"/>
      <c r="E901" s="981"/>
      <c r="F901" s="982"/>
      <c r="G901" s="981">
        <f>+VLOOKUP(Data_Validation!$A901,BV_Data_An_Cour!$L:$Q,6,0)</f>
        <v>0</v>
      </c>
      <c r="H901" s="157"/>
    </row>
    <row r="902" spans="1:29" ht="15" customHeight="1">
      <c r="A902" s="160"/>
      <c r="B902" s="160"/>
      <c r="C902" s="934"/>
      <c r="D902" s="934"/>
      <c r="E902" s="981"/>
      <c r="F902" s="982"/>
      <c r="G902" s="981">
        <f>+VLOOKUP(Data_Validation!$A902,BV_Data_An_Cour!$L:$Q,6,0)</f>
        <v>0</v>
      </c>
      <c r="H902" s="159"/>
      <c r="I902" s="2"/>
      <c r="J902" s="2"/>
      <c r="L902" s="2"/>
      <c r="M902" s="2"/>
      <c r="N902" s="2"/>
      <c r="O902" s="2"/>
      <c r="P902" s="2"/>
      <c r="Q902" s="2"/>
      <c r="R902" s="2"/>
      <c r="S902" s="2"/>
      <c r="T902" s="2"/>
      <c r="U902" s="2"/>
      <c r="V902" s="2"/>
      <c r="W902" s="2"/>
      <c r="X902" s="2"/>
      <c r="Y902" s="2"/>
      <c r="Z902" s="2"/>
      <c r="AA902" s="2"/>
      <c r="AB902" s="2"/>
      <c r="AC902" s="2"/>
    </row>
    <row r="903" spans="1:29" ht="15" customHeight="1">
      <c r="A903" s="160"/>
      <c r="B903" s="160"/>
      <c r="C903" s="934"/>
      <c r="D903" s="934"/>
      <c r="E903" s="981"/>
      <c r="F903" s="982"/>
      <c r="G903" s="981">
        <f>+VLOOKUP(Data_Validation!$A903,BV_Data_An_Cour!$L:$Q,6,0)</f>
        <v>0</v>
      </c>
      <c r="H903" s="157"/>
    </row>
    <row r="904" spans="1:29" ht="15" customHeight="1">
      <c r="A904" s="160"/>
      <c r="B904" s="160"/>
      <c r="C904" s="934"/>
      <c r="D904" s="934"/>
      <c r="E904" s="981"/>
      <c r="F904" s="982"/>
      <c r="G904" s="981">
        <f>+VLOOKUP(Data_Validation!$A904,BV_Data_An_Cour!$L:$Q,6,0)</f>
        <v>0</v>
      </c>
      <c r="H904" s="157"/>
    </row>
    <row r="905" spans="1:29" ht="15" customHeight="1">
      <c r="A905" s="160"/>
      <c r="B905" s="160"/>
      <c r="C905" s="934"/>
      <c r="D905" s="934"/>
      <c r="E905" s="981"/>
      <c r="F905" s="982"/>
      <c r="G905" s="981">
        <f>+VLOOKUP(Data_Validation!$A905,BV_Data_An_Cour!$L:$Q,6,0)</f>
        <v>0</v>
      </c>
      <c r="H905" s="159"/>
      <c r="I905" s="2"/>
      <c r="J905" s="2"/>
      <c r="L905" s="2"/>
      <c r="M905" s="2"/>
      <c r="N905" s="2"/>
      <c r="O905" s="2"/>
      <c r="P905" s="2"/>
      <c r="Q905" s="2"/>
      <c r="R905" s="2"/>
      <c r="S905" s="2"/>
      <c r="T905" s="2"/>
      <c r="U905" s="2"/>
      <c r="V905" s="2"/>
      <c r="W905" s="2"/>
      <c r="X905" s="2"/>
      <c r="Y905" s="2"/>
      <c r="Z905" s="2"/>
      <c r="AA905" s="2"/>
      <c r="AB905" s="2"/>
      <c r="AC905" s="2"/>
    </row>
    <row r="906" spans="1:29" ht="15" customHeight="1">
      <c r="A906" s="161"/>
      <c r="B906" s="165"/>
      <c r="C906" s="934"/>
      <c r="D906" s="934"/>
      <c r="E906" s="981"/>
      <c r="F906" s="982"/>
      <c r="G906" s="981"/>
      <c r="H906" s="157"/>
    </row>
    <row r="907" spans="1:29" ht="15" customHeight="1">
      <c r="A907" s="161"/>
      <c r="B907" s="165"/>
      <c r="C907" s="934"/>
      <c r="D907" s="934"/>
      <c r="E907" s="981"/>
      <c r="F907" s="982"/>
      <c r="G907" s="981"/>
      <c r="H907" s="157"/>
    </row>
    <row r="908" spans="1:29" ht="15" customHeight="1">
      <c r="A908" s="161"/>
      <c r="B908" s="165"/>
      <c r="C908" s="934"/>
      <c r="D908" s="934"/>
      <c r="E908" s="981"/>
      <c r="F908" s="982"/>
      <c r="G908" s="981"/>
      <c r="H908" s="157"/>
    </row>
    <row r="909" spans="1:29" ht="15" customHeight="1">
      <c r="A909" s="161"/>
      <c r="B909" s="165"/>
      <c r="C909" s="934"/>
      <c r="D909" s="934"/>
      <c r="E909" s="981"/>
      <c r="F909" s="982"/>
      <c r="G909" s="981"/>
      <c r="H909" s="157"/>
    </row>
    <row r="910" spans="1:29" ht="15" customHeight="1">
      <c r="A910" s="161"/>
      <c r="B910" s="165"/>
      <c r="C910" s="934"/>
      <c r="D910" s="934"/>
      <c r="E910" s="981"/>
      <c r="F910" s="982"/>
      <c r="G910" s="981"/>
      <c r="H910" s="157"/>
    </row>
    <row r="911" spans="1:29" ht="15" customHeight="1">
      <c r="A911" s="161"/>
      <c r="B911" s="165"/>
      <c r="C911" s="934"/>
      <c r="D911" s="934"/>
      <c r="E911" s="981"/>
      <c r="F911" s="982"/>
      <c r="G911" s="981"/>
      <c r="H911" s="157"/>
    </row>
    <row r="912" spans="1:29" ht="15" customHeight="1">
      <c r="A912" s="161"/>
      <c r="B912" s="165"/>
      <c r="C912" s="934"/>
      <c r="D912" s="934"/>
      <c r="E912" s="981"/>
      <c r="F912" s="982"/>
      <c r="G912" s="981"/>
      <c r="H912" s="157"/>
    </row>
    <row r="913" spans="1:8" ht="15" customHeight="1">
      <c r="A913" s="999"/>
      <c r="B913" s="992"/>
      <c r="C913" s="993"/>
      <c r="D913" s="934"/>
      <c r="E913" s="981"/>
      <c r="F913" s="982"/>
      <c r="G913" s="981"/>
      <c r="H913" s="157"/>
    </row>
    <row r="914" spans="1:8" ht="15" customHeight="1">
      <c r="A914" s="161"/>
      <c r="B914" s="165"/>
      <c r="C914" s="934"/>
      <c r="D914" s="934"/>
      <c r="E914" s="981"/>
      <c r="F914" s="982"/>
      <c r="G914" s="981"/>
      <c r="H914" s="157"/>
    </row>
    <row r="915" spans="1:8" ht="15" customHeight="1">
      <c r="A915" s="161"/>
      <c r="B915" s="165"/>
      <c r="C915" s="934"/>
      <c r="D915" s="934"/>
      <c r="E915" s="981"/>
      <c r="F915" s="982"/>
      <c r="G915" s="981"/>
      <c r="H915" s="157"/>
    </row>
    <row r="916" spans="1:8" ht="15" customHeight="1">
      <c r="A916" s="161"/>
      <c r="B916" s="165"/>
      <c r="C916" s="934"/>
      <c r="D916" s="934"/>
      <c r="E916" s="981"/>
      <c r="F916" s="982"/>
      <c r="G916" s="981"/>
      <c r="H916" s="157"/>
    </row>
    <row r="917" spans="1:8" ht="15" customHeight="1">
      <c r="A917" s="161"/>
      <c r="B917" s="165"/>
      <c r="C917" s="934"/>
      <c r="D917" s="934"/>
      <c r="E917" s="981"/>
      <c r="F917" s="982"/>
      <c r="G917" s="981"/>
      <c r="H917" s="157"/>
    </row>
    <row r="918" spans="1:8" ht="15" customHeight="1">
      <c r="A918" s="161"/>
      <c r="B918" s="165"/>
      <c r="C918" s="934"/>
      <c r="D918" s="934"/>
      <c r="E918" s="981"/>
      <c r="F918" s="982"/>
      <c r="G918" s="981"/>
      <c r="H918" s="157"/>
    </row>
    <row r="919" spans="1:8" ht="15" customHeight="1">
      <c r="A919" s="161"/>
      <c r="B919" s="165"/>
      <c r="C919" s="934"/>
      <c r="D919" s="934"/>
      <c r="E919" s="981"/>
      <c r="F919" s="982"/>
      <c r="G919" s="981"/>
      <c r="H919" s="157"/>
    </row>
    <row r="920" spans="1:8" ht="15" customHeight="1">
      <c r="A920" s="161"/>
      <c r="B920" s="165"/>
      <c r="C920" s="934"/>
      <c r="D920" s="934"/>
      <c r="E920" s="981"/>
      <c r="F920" s="982"/>
      <c r="G920" s="981"/>
      <c r="H920" s="157"/>
    </row>
    <row r="921" spans="1:8" ht="15" customHeight="1">
      <c r="A921" s="161"/>
      <c r="B921" s="165"/>
      <c r="C921" s="934"/>
      <c r="D921" s="934"/>
      <c r="E921" s="981"/>
      <c r="F921" s="982"/>
      <c r="G921" s="981"/>
      <c r="H921" s="157"/>
    </row>
    <row r="922" spans="1:8" ht="15" customHeight="1">
      <c r="A922" s="161"/>
      <c r="B922" s="165"/>
      <c r="C922" s="934"/>
      <c r="D922" s="934"/>
      <c r="E922" s="981"/>
      <c r="F922" s="982"/>
      <c r="G922" s="981"/>
      <c r="H922" s="157"/>
    </row>
    <row r="923" spans="1:8" ht="15" customHeight="1">
      <c r="A923" s="161"/>
      <c r="B923" s="165"/>
      <c r="C923" s="934"/>
      <c r="D923" s="934"/>
      <c r="E923" s="981"/>
      <c r="F923" s="982"/>
      <c r="G923" s="981"/>
      <c r="H923" s="157"/>
    </row>
    <row r="924" spans="1:8" ht="15" customHeight="1">
      <c r="A924" s="161"/>
      <c r="B924" s="165"/>
      <c r="C924" s="934"/>
      <c r="D924" s="934"/>
      <c r="E924" s="981"/>
      <c r="F924" s="982"/>
      <c r="G924" s="981"/>
      <c r="H924" s="157"/>
    </row>
    <row r="925" spans="1:8" ht="15" customHeight="1">
      <c r="A925" s="942"/>
      <c r="B925" s="165"/>
      <c r="C925" s="934"/>
      <c r="D925" s="934"/>
      <c r="E925" s="981"/>
      <c r="F925" s="982"/>
      <c r="G925" s="981"/>
      <c r="H925" s="157"/>
    </row>
    <row r="926" spans="1:8" ht="15" customHeight="1">
      <c r="A926" s="942"/>
      <c r="B926" s="165"/>
      <c r="C926" s="934"/>
      <c r="D926" s="934"/>
      <c r="E926" s="981"/>
      <c r="F926" s="982"/>
      <c r="G926" s="981"/>
      <c r="H926" s="157"/>
    </row>
    <row r="927" spans="1:8" ht="15" customHeight="1">
      <c r="A927" s="161"/>
      <c r="B927" s="165"/>
      <c r="C927" s="934"/>
      <c r="D927" s="934"/>
      <c r="E927" s="981"/>
      <c r="F927" s="982"/>
      <c r="G927" s="981"/>
      <c r="H927" s="157"/>
    </row>
    <row r="928" spans="1:8" ht="15" customHeight="1">
      <c r="A928" s="161"/>
      <c r="B928" s="165"/>
      <c r="C928" s="934"/>
      <c r="D928" s="934"/>
      <c r="E928" s="981"/>
      <c r="F928" s="982"/>
      <c r="G928" s="981"/>
      <c r="H928" s="157"/>
    </row>
    <row r="929" spans="1:11" ht="15" customHeight="1">
      <c r="A929" s="161"/>
      <c r="B929" s="165"/>
      <c r="C929" s="934"/>
      <c r="D929" s="934"/>
      <c r="E929" s="981"/>
      <c r="F929" s="982"/>
      <c r="G929" s="981"/>
      <c r="H929" s="157"/>
    </row>
    <row r="930" spans="1:11" ht="15" customHeight="1">
      <c r="A930" s="943"/>
      <c r="B930" s="1002"/>
      <c r="C930" s="934"/>
      <c r="D930" s="934"/>
      <c r="E930" s="981"/>
      <c r="F930" s="982"/>
      <c r="G930" s="981"/>
      <c r="H930" s="157"/>
    </row>
    <row r="931" spans="1:11" ht="15" customHeight="1">
      <c r="A931" s="161"/>
      <c r="B931" s="165"/>
      <c r="C931" s="934"/>
      <c r="D931" s="934"/>
      <c r="E931" s="981"/>
      <c r="F931" s="982"/>
      <c r="G931" s="981"/>
      <c r="H931" s="157"/>
    </row>
    <row r="932" spans="1:11" ht="15" customHeight="1">
      <c r="A932" s="161"/>
      <c r="B932" s="165"/>
      <c r="C932" s="934"/>
      <c r="D932" s="934"/>
      <c r="E932" s="981"/>
      <c r="F932" s="982"/>
      <c r="G932" s="981"/>
      <c r="H932" s="157"/>
    </row>
    <row r="933" spans="1:11" ht="15" customHeight="1">
      <c r="A933" s="161"/>
      <c r="B933" s="165"/>
      <c r="C933" s="934"/>
      <c r="D933" s="934"/>
      <c r="E933" s="981"/>
      <c r="F933" s="982"/>
      <c r="G933" s="981"/>
      <c r="H933" s="157"/>
    </row>
    <row r="934" spans="1:11" ht="15" customHeight="1">
      <c r="A934" s="161"/>
      <c r="B934" s="165"/>
      <c r="C934" s="934"/>
      <c r="D934" s="934"/>
      <c r="E934" s="981"/>
      <c r="F934" s="982"/>
      <c r="G934" s="981"/>
      <c r="H934" s="157"/>
    </row>
    <row r="935" spans="1:11" ht="15" customHeight="1">
      <c r="A935" s="161"/>
      <c r="B935" s="165"/>
      <c r="C935" s="934"/>
      <c r="D935" s="934"/>
      <c r="E935" s="981"/>
      <c r="F935" s="982"/>
      <c r="G935" s="981"/>
      <c r="H935" s="157"/>
    </row>
    <row r="936" spans="1:11" ht="15" customHeight="1">
      <c r="A936" s="161"/>
      <c r="B936" s="165"/>
      <c r="C936" s="934"/>
      <c r="D936" s="934"/>
      <c r="E936" s="981"/>
      <c r="F936" s="982"/>
      <c r="G936" s="981"/>
      <c r="H936" s="157"/>
      <c r="K936" s="2"/>
    </row>
    <row r="937" spans="1:11" ht="15" customHeight="1">
      <c r="A937" s="161"/>
      <c r="B937" s="165"/>
      <c r="C937" s="934"/>
      <c r="D937" s="934"/>
      <c r="E937" s="981"/>
      <c r="F937" s="982"/>
      <c r="G937" s="981"/>
      <c r="H937" s="157"/>
    </row>
    <row r="938" spans="1:11" ht="15" customHeight="1">
      <c r="A938" s="161"/>
      <c r="B938" s="165"/>
      <c r="C938" s="934"/>
      <c r="D938" s="934"/>
      <c r="E938" s="981"/>
      <c r="F938" s="982"/>
      <c r="G938" s="981"/>
      <c r="H938" s="157"/>
    </row>
    <row r="939" spans="1:11" ht="15" customHeight="1">
      <c r="A939" s="161"/>
      <c r="B939" s="165"/>
      <c r="C939" s="934"/>
      <c r="D939" s="934"/>
      <c r="E939" s="981"/>
      <c r="F939" s="982"/>
      <c r="G939" s="981"/>
      <c r="H939" s="157"/>
    </row>
    <row r="940" spans="1:11" ht="15" customHeight="1">
      <c r="A940" s="161"/>
      <c r="B940" s="934"/>
      <c r="C940" s="934"/>
      <c r="D940" s="934"/>
      <c r="E940" s="981"/>
      <c r="F940" s="982"/>
      <c r="G940" s="981"/>
      <c r="H940" s="157"/>
    </row>
    <row r="941" spans="1:11" ht="15" customHeight="1">
      <c r="A941" s="161"/>
      <c r="B941" s="165"/>
      <c r="C941" s="934"/>
      <c r="D941" s="934"/>
      <c r="E941" s="981"/>
      <c r="F941" s="982"/>
      <c r="G941" s="981"/>
      <c r="H941" s="157"/>
    </row>
    <row r="942" spans="1:11" ht="15" customHeight="1">
      <c r="A942" s="161"/>
      <c r="B942" s="165"/>
      <c r="C942" s="934"/>
      <c r="D942" s="934"/>
      <c r="E942" s="981"/>
      <c r="F942" s="982"/>
      <c r="G942" s="981"/>
      <c r="H942" s="157"/>
    </row>
    <row r="943" spans="1:11" ht="15" customHeight="1">
      <c r="A943" s="161"/>
      <c r="B943" s="165"/>
      <c r="C943" s="934"/>
      <c r="D943" s="934"/>
      <c r="E943" s="981"/>
      <c r="F943" s="982"/>
      <c r="G943" s="981"/>
      <c r="H943" s="157"/>
    </row>
    <row r="944" spans="1:11" ht="15" customHeight="1">
      <c r="A944" s="161"/>
      <c r="B944" s="165"/>
      <c r="C944" s="934"/>
      <c r="D944" s="934"/>
      <c r="E944" s="981"/>
      <c r="F944" s="982"/>
      <c r="G944" s="981"/>
      <c r="H944" s="157"/>
    </row>
    <row r="945" spans="1:11" ht="15" customHeight="1">
      <c r="A945" s="161"/>
      <c r="B945" s="165"/>
      <c r="C945" s="934"/>
      <c r="D945" s="934"/>
      <c r="E945" s="981"/>
      <c r="F945" s="982"/>
      <c r="G945" s="981"/>
      <c r="H945" s="157"/>
    </row>
    <row r="946" spans="1:11" ht="15" customHeight="1">
      <c r="A946" s="161"/>
      <c r="B946" s="165"/>
      <c r="C946" s="934"/>
      <c r="D946" s="934"/>
      <c r="E946" s="981"/>
      <c r="F946" s="982"/>
      <c r="G946" s="981"/>
      <c r="H946" s="157"/>
    </row>
    <row r="947" spans="1:11" ht="15" customHeight="1">
      <c r="A947" s="161"/>
      <c r="B947" s="165"/>
      <c r="C947" s="934"/>
      <c r="D947" s="934"/>
      <c r="E947" s="981"/>
      <c r="F947" s="982"/>
      <c r="G947" s="981"/>
      <c r="H947" s="157"/>
      <c r="K947" s="2"/>
    </row>
    <row r="948" spans="1:11" ht="15" customHeight="1">
      <c r="A948" s="161"/>
      <c r="B948" s="165"/>
      <c r="C948" s="934"/>
      <c r="D948" s="934"/>
      <c r="E948" s="981"/>
      <c r="F948" s="982"/>
      <c r="G948" s="981"/>
      <c r="H948" s="157"/>
    </row>
    <row r="949" spans="1:11" ht="15" customHeight="1">
      <c r="A949" s="161"/>
      <c r="B949" s="165"/>
      <c r="C949" s="934"/>
      <c r="D949" s="934"/>
      <c r="E949" s="981"/>
      <c r="F949" s="982"/>
      <c r="G949" s="981"/>
      <c r="H949" s="157"/>
    </row>
    <row r="950" spans="1:11" ht="15" customHeight="1">
      <c r="A950" s="161"/>
      <c r="B950" s="165"/>
      <c r="C950" s="934"/>
      <c r="D950" s="934"/>
      <c r="E950" s="981"/>
      <c r="F950" s="982"/>
      <c r="G950" s="981"/>
      <c r="H950" s="157"/>
    </row>
    <row r="951" spans="1:11" ht="15" customHeight="1">
      <c r="A951" s="161"/>
      <c r="B951" s="165"/>
      <c r="C951" s="934"/>
      <c r="D951" s="934"/>
      <c r="E951" s="981"/>
      <c r="F951" s="982"/>
      <c r="G951" s="981"/>
      <c r="H951" s="157"/>
    </row>
    <row r="952" spans="1:11" ht="15" customHeight="1">
      <c r="A952" s="161"/>
      <c r="B952" s="165"/>
      <c r="C952" s="934"/>
      <c r="D952" s="934"/>
      <c r="E952" s="981"/>
      <c r="F952" s="982"/>
      <c r="G952" s="981"/>
      <c r="H952" s="157"/>
    </row>
    <row r="953" spans="1:11" ht="15" customHeight="1">
      <c r="A953" s="161"/>
      <c r="B953" s="165"/>
      <c r="C953" s="934"/>
      <c r="D953" s="934"/>
      <c r="E953" s="981"/>
      <c r="F953" s="982"/>
      <c r="G953" s="981"/>
      <c r="H953" s="157"/>
      <c r="K953" s="2"/>
    </row>
    <row r="954" spans="1:11" ht="15" customHeight="1">
      <c r="A954" s="161"/>
      <c r="B954" s="165"/>
      <c r="C954" s="934"/>
      <c r="D954" s="934"/>
      <c r="E954" s="981"/>
      <c r="F954" s="982"/>
      <c r="G954" s="981"/>
      <c r="H954" s="157"/>
    </row>
    <row r="955" spans="1:11" ht="15" customHeight="1">
      <c r="A955" s="161"/>
      <c r="B955" s="165"/>
      <c r="C955" s="934"/>
      <c r="D955" s="934"/>
      <c r="E955" s="981"/>
      <c r="F955" s="982"/>
      <c r="G955" s="981"/>
      <c r="H955" s="157"/>
    </row>
    <row r="956" spans="1:11" ht="15" customHeight="1">
      <c r="A956" s="161"/>
      <c r="B956" s="165"/>
      <c r="C956" s="934"/>
      <c r="D956" s="934"/>
      <c r="E956" s="981"/>
      <c r="F956" s="982"/>
      <c r="G956" s="981"/>
      <c r="H956" s="157"/>
      <c r="K956" s="2"/>
    </row>
    <row r="957" spans="1:11" ht="15" customHeight="1">
      <c r="A957" s="161"/>
      <c r="B957" s="165"/>
      <c r="C957" s="934"/>
      <c r="D957" s="934"/>
      <c r="E957" s="981"/>
      <c r="F957" s="982"/>
      <c r="G957" s="981"/>
      <c r="H957" s="157"/>
    </row>
    <row r="958" spans="1:11" ht="15" customHeight="1">
      <c r="A958" s="161"/>
      <c r="B958" s="165"/>
      <c r="C958" s="934"/>
      <c r="D958" s="934"/>
      <c r="E958" s="981"/>
      <c r="F958" s="982"/>
      <c r="G958" s="981"/>
      <c r="H958" s="157"/>
    </row>
    <row r="959" spans="1:11" ht="15" customHeight="1">
      <c r="A959" s="161"/>
      <c r="B959" s="165"/>
      <c r="C959" s="934"/>
      <c r="D959" s="934"/>
      <c r="E959" s="981"/>
      <c r="F959" s="982"/>
      <c r="G959" s="981"/>
      <c r="H959" s="157"/>
    </row>
    <row r="960" spans="1:11" ht="15" customHeight="1">
      <c r="A960" s="161"/>
      <c r="B960" s="165"/>
      <c r="C960" s="934"/>
      <c r="D960" s="934"/>
      <c r="E960" s="981"/>
      <c r="F960" s="982"/>
      <c r="G960" s="981"/>
      <c r="H960" s="157"/>
    </row>
    <row r="961" spans="1:29" ht="15" customHeight="1">
      <c r="A961" s="161"/>
      <c r="B961" s="165"/>
      <c r="C961" s="934"/>
      <c r="D961" s="934"/>
      <c r="E961" s="981"/>
      <c r="F961" s="982"/>
      <c r="G961" s="981"/>
      <c r="H961" s="157"/>
    </row>
    <row r="962" spans="1:29" ht="15" customHeight="1">
      <c r="A962" s="161"/>
      <c r="B962" s="165"/>
      <c r="C962" s="934"/>
      <c r="D962" s="934"/>
      <c r="E962" s="981"/>
      <c r="F962" s="982"/>
      <c r="G962" s="981"/>
      <c r="H962" s="157"/>
    </row>
    <row r="963" spans="1:29" ht="15" customHeight="1">
      <c r="A963" s="161"/>
      <c r="B963" s="165"/>
      <c r="C963" s="934"/>
      <c r="D963" s="934"/>
      <c r="E963" s="981"/>
      <c r="F963" s="982"/>
      <c r="G963" s="981"/>
      <c r="H963" s="157"/>
    </row>
    <row r="964" spans="1:29" ht="15" customHeight="1">
      <c r="A964" s="161"/>
      <c r="B964" s="165"/>
      <c r="C964" s="934"/>
      <c r="D964" s="934"/>
      <c r="E964" s="981"/>
      <c r="F964" s="982"/>
      <c r="G964" s="981"/>
      <c r="H964" s="157"/>
    </row>
    <row r="965" spans="1:29" ht="15" customHeight="1">
      <c r="A965" s="161"/>
      <c r="B965" s="165"/>
      <c r="C965" s="934"/>
      <c r="D965" s="934"/>
      <c r="E965" s="981"/>
      <c r="F965" s="982"/>
      <c r="G965" s="981"/>
      <c r="H965" s="157"/>
    </row>
    <row r="966" spans="1:29" ht="15" customHeight="1">
      <c r="A966" s="161"/>
      <c r="B966" s="165"/>
      <c r="C966" s="934"/>
      <c r="D966" s="934"/>
      <c r="E966" s="981"/>
      <c r="F966" s="982"/>
      <c r="G966" s="981"/>
      <c r="H966" s="159"/>
      <c r="I966" s="2"/>
      <c r="J966" s="2"/>
      <c r="L966" s="2"/>
      <c r="M966" s="2"/>
      <c r="N966" s="2"/>
      <c r="O966" s="2"/>
      <c r="P966" s="2"/>
      <c r="Q966" s="2"/>
      <c r="R966" s="2"/>
      <c r="S966" s="2"/>
      <c r="T966" s="2"/>
      <c r="U966" s="2"/>
      <c r="V966" s="2"/>
      <c r="W966" s="2"/>
      <c r="X966" s="2"/>
      <c r="Y966" s="2"/>
      <c r="Z966" s="2"/>
      <c r="AA966" s="2"/>
      <c r="AB966" s="2"/>
      <c r="AC966" s="2"/>
    </row>
    <row r="967" spans="1:29" ht="15" customHeight="1">
      <c r="A967" s="1003"/>
      <c r="B967" s="166"/>
      <c r="C967" s="934"/>
      <c r="D967" s="934"/>
      <c r="E967" s="981"/>
      <c r="F967" s="982"/>
      <c r="G967" s="981"/>
      <c r="H967" s="157"/>
    </row>
    <row r="968" spans="1:29" ht="15" customHeight="1">
      <c r="A968" s="161"/>
      <c r="B968" s="165"/>
      <c r="C968" s="934"/>
      <c r="D968" s="934"/>
      <c r="E968" s="981"/>
      <c r="F968" s="982"/>
      <c r="G968" s="981"/>
      <c r="H968" s="157"/>
    </row>
    <row r="969" spans="1:29" ht="15" customHeight="1">
      <c r="A969" s="161"/>
      <c r="B969" s="165"/>
      <c r="C969" s="934"/>
      <c r="D969" s="934"/>
      <c r="E969" s="981"/>
      <c r="F969" s="982"/>
      <c r="G969" s="981"/>
      <c r="H969" s="157"/>
    </row>
    <row r="970" spans="1:29" ht="15" customHeight="1">
      <c r="A970" s="161"/>
      <c r="B970" s="165"/>
      <c r="C970" s="934"/>
      <c r="D970" s="934"/>
      <c r="E970" s="981"/>
      <c r="F970" s="982"/>
      <c r="G970" s="981"/>
      <c r="H970" s="157"/>
    </row>
    <row r="971" spans="1:29" ht="15" customHeight="1">
      <c r="A971" s="161"/>
      <c r="B971" s="165"/>
      <c r="C971" s="934"/>
      <c r="D971" s="934"/>
      <c r="E971" s="981"/>
      <c r="F971" s="982"/>
      <c r="G971" s="981"/>
      <c r="H971" s="157"/>
    </row>
    <row r="972" spans="1:29" ht="15" customHeight="1">
      <c r="A972" s="161"/>
      <c r="B972" s="165"/>
      <c r="C972" s="934"/>
      <c r="D972" s="934"/>
      <c r="E972" s="981"/>
      <c r="F972" s="982"/>
      <c r="G972" s="981"/>
      <c r="H972" s="157"/>
    </row>
    <row r="973" spans="1:29" ht="15" customHeight="1">
      <c r="A973" s="161"/>
      <c r="B973" s="165"/>
      <c r="C973" s="934"/>
      <c r="D973" s="934"/>
      <c r="E973" s="981"/>
      <c r="F973" s="982"/>
      <c r="G973" s="981"/>
      <c r="H973" s="157"/>
    </row>
    <row r="974" spans="1:29" ht="15" customHeight="1">
      <c r="A974" s="161"/>
      <c r="B974" s="165"/>
      <c r="C974" s="934"/>
      <c r="D974" s="934"/>
      <c r="E974" s="981"/>
      <c r="F974" s="982"/>
      <c r="G974" s="981"/>
      <c r="H974" s="157"/>
    </row>
    <row r="975" spans="1:29" ht="15" customHeight="1">
      <c r="A975" s="161"/>
      <c r="B975" s="165"/>
      <c r="C975" s="934"/>
      <c r="D975" s="934"/>
      <c r="E975" s="981"/>
      <c r="F975" s="982"/>
      <c r="G975" s="981"/>
      <c r="H975" s="157"/>
    </row>
    <row r="976" spans="1:29" ht="15" customHeight="1">
      <c r="A976" s="161"/>
      <c r="B976" s="165"/>
      <c r="C976" s="934"/>
      <c r="D976" s="934"/>
      <c r="E976" s="981"/>
      <c r="F976" s="982"/>
      <c r="G976" s="981"/>
      <c r="H976" s="157"/>
    </row>
    <row r="977" spans="1:15" ht="15" customHeight="1">
      <c r="A977" s="161"/>
      <c r="B977" s="165"/>
      <c r="C977" s="934"/>
      <c r="D977" s="934"/>
      <c r="E977" s="981"/>
      <c r="F977" s="982"/>
      <c r="G977" s="981"/>
      <c r="H977" s="157"/>
      <c r="M977" s="2"/>
      <c r="N977" s="2"/>
      <c r="O977" s="2"/>
    </row>
    <row r="978" spans="1:15" ht="15" customHeight="1">
      <c r="A978" s="161"/>
      <c r="B978" s="165"/>
      <c r="C978" s="934"/>
      <c r="D978" s="934"/>
      <c r="E978" s="981"/>
      <c r="F978" s="982"/>
      <c r="G978" s="981"/>
      <c r="H978" s="157"/>
    </row>
    <row r="979" spans="1:15" ht="15" customHeight="1">
      <c r="A979" s="161"/>
      <c r="B979" s="165"/>
      <c r="C979" s="934"/>
      <c r="D979" s="934"/>
      <c r="E979" s="981"/>
      <c r="F979" s="982"/>
      <c r="G979" s="981"/>
      <c r="H979" s="157"/>
    </row>
    <row r="980" spans="1:15" ht="15" customHeight="1">
      <c r="A980" s="161"/>
      <c r="B980" s="165"/>
      <c r="C980" s="934"/>
      <c r="D980" s="934"/>
      <c r="E980" s="981"/>
      <c r="F980" s="982"/>
      <c r="G980" s="981"/>
      <c r="H980" s="157"/>
    </row>
    <row r="981" spans="1:15" ht="15" customHeight="1">
      <c r="A981" s="161"/>
      <c r="B981" s="165"/>
      <c r="C981" s="934"/>
      <c r="D981" s="934"/>
      <c r="E981" s="981"/>
      <c r="F981" s="982"/>
      <c r="G981" s="981"/>
      <c r="H981" s="157"/>
    </row>
    <row r="982" spans="1:15" ht="15" customHeight="1">
      <c r="A982" s="161"/>
      <c r="B982" s="165"/>
      <c r="C982" s="934"/>
      <c r="D982" s="934"/>
      <c r="E982" s="981"/>
      <c r="F982" s="982"/>
      <c r="G982" s="981"/>
      <c r="H982" s="157"/>
    </row>
    <row r="983" spans="1:15" ht="15" customHeight="1">
      <c r="A983" s="161"/>
      <c r="B983" s="165"/>
      <c r="C983" s="934"/>
      <c r="D983" s="934"/>
      <c r="E983" s="981"/>
      <c r="F983" s="982"/>
      <c r="G983" s="981"/>
      <c r="H983" s="157"/>
    </row>
    <row r="984" spans="1:15" ht="15" customHeight="1">
      <c r="A984" s="1003"/>
      <c r="B984" s="166"/>
      <c r="C984" s="934"/>
      <c r="D984" s="934"/>
      <c r="E984" s="981"/>
      <c r="F984" s="982"/>
      <c r="G984" s="981"/>
      <c r="H984" s="157"/>
    </row>
    <row r="985" spans="1:15" ht="15" customHeight="1">
      <c r="A985" s="161"/>
      <c r="B985" s="165"/>
      <c r="C985" s="934"/>
      <c r="D985" s="934"/>
      <c r="E985" s="981"/>
      <c r="F985" s="982"/>
      <c r="G985" s="981"/>
      <c r="H985" s="157"/>
    </row>
    <row r="986" spans="1:15" ht="15" customHeight="1">
      <c r="A986" s="161"/>
      <c r="B986" s="165"/>
      <c r="C986" s="934"/>
      <c r="D986" s="934"/>
      <c r="E986" s="981"/>
      <c r="F986" s="982"/>
      <c r="G986" s="981"/>
      <c r="H986" s="157"/>
    </row>
    <row r="987" spans="1:15" ht="15" customHeight="1">
      <c r="A987" s="161"/>
      <c r="B987" s="165"/>
      <c r="C987" s="934"/>
      <c r="D987" s="934"/>
      <c r="E987" s="981"/>
      <c r="F987" s="982"/>
      <c r="G987" s="981"/>
      <c r="H987" s="157"/>
    </row>
    <row r="988" spans="1:15" ht="15" customHeight="1">
      <c r="A988" s="161"/>
      <c r="B988" s="165"/>
      <c r="C988" s="934"/>
      <c r="D988" s="934"/>
      <c r="E988" s="981"/>
      <c r="F988" s="982"/>
      <c r="G988" s="981"/>
      <c r="H988" s="157"/>
    </row>
    <row r="989" spans="1:15" ht="15" customHeight="1">
      <c r="A989" s="161"/>
      <c r="B989" s="165"/>
      <c r="C989" s="934"/>
      <c r="D989" s="934"/>
      <c r="E989" s="981"/>
      <c r="F989" s="982"/>
      <c r="G989" s="981"/>
      <c r="H989" s="157"/>
    </row>
    <row r="990" spans="1:15" ht="15" customHeight="1">
      <c r="A990" s="161"/>
      <c r="B990" s="165"/>
      <c r="C990" s="934"/>
      <c r="D990" s="934"/>
      <c r="E990" s="981"/>
      <c r="F990" s="982"/>
      <c r="G990" s="981"/>
      <c r="H990" s="157"/>
    </row>
    <row r="991" spans="1:15" ht="15" customHeight="1">
      <c r="A991" s="161"/>
      <c r="B991" s="165"/>
      <c r="C991" s="934"/>
      <c r="D991" s="934"/>
      <c r="E991" s="981"/>
      <c r="F991" s="982"/>
      <c r="G991" s="981"/>
      <c r="H991" s="157"/>
    </row>
    <row r="992" spans="1:15" ht="15" customHeight="1">
      <c r="A992" s="161"/>
      <c r="B992" s="165"/>
      <c r="C992" s="934"/>
      <c r="D992" s="934"/>
      <c r="E992" s="981"/>
      <c r="F992" s="982"/>
      <c r="G992" s="981"/>
      <c r="H992" s="157"/>
    </row>
    <row r="993" spans="1:29" ht="15" customHeight="1">
      <c r="A993" s="161"/>
      <c r="B993" s="165"/>
      <c r="C993" s="934"/>
      <c r="D993" s="934"/>
      <c r="E993" s="981"/>
      <c r="F993" s="982"/>
      <c r="G993" s="981"/>
      <c r="H993" s="157"/>
    </row>
    <row r="994" spans="1:29" ht="15" customHeight="1">
      <c r="A994" s="161"/>
      <c r="B994" s="165"/>
      <c r="C994" s="934"/>
      <c r="D994" s="934"/>
      <c r="E994" s="981"/>
      <c r="F994" s="982"/>
      <c r="G994" s="981"/>
      <c r="H994" s="157"/>
    </row>
    <row r="995" spans="1:29" ht="15" customHeight="1">
      <c r="A995" s="161"/>
      <c r="B995" s="165"/>
      <c r="C995" s="934"/>
      <c r="D995" s="934"/>
      <c r="E995" s="981"/>
      <c r="F995" s="982"/>
      <c r="G995" s="981"/>
      <c r="H995" s="157"/>
    </row>
    <row r="996" spans="1:29" ht="15" customHeight="1">
      <c r="A996" s="161"/>
      <c r="B996" s="165"/>
      <c r="C996" s="934"/>
      <c r="D996" s="934"/>
      <c r="E996" s="981"/>
      <c r="F996" s="982"/>
      <c r="G996" s="981"/>
      <c r="H996" s="157"/>
    </row>
    <row r="997" spans="1:29" ht="15" customHeight="1">
      <c r="A997" s="161"/>
      <c r="B997" s="165"/>
      <c r="C997" s="934"/>
      <c r="D997" s="934"/>
      <c r="E997" s="981"/>
      <c r="F997" s="982"/>
      <c r="G997" s="981"/>
      <c r="H997" s="157"/>
    </row>
    <row r="998" spans="1:29" ht="15" customHeight="1">
      <c r="A998" s="161"/>
      <c r="B998" s="165"/>
      <c r="C998" s="934"/>
      <c r="D998" s="934"/>
      <c r="E998" s="981"/>
      <c r="F998" s="982"/>
      <c r="G998" s="981"/>
      <c r="H998" s="157"/>
    </row>
    <row r="999" spans="1:29" ht="15" customHeight="1">
      <c r="A999" s="161"/>
      <c r="B999" s="165"/>
      <c r="C999" s="934"/>
      <c r="D999" s="934"/>
      <c r="E999" s="981"/>
      <c r="F999" s="982"/>
      <c r="G999" s="981"/>
      <c r="H999" s="157"/>
    </row>
    <row r="1000" spans="1:29" ht="15" customHeight="1">
      <c r="A1000" s="161"/>
      <c r="B1000" s="165"/>
      <c r="C1000" s="934"/>
      <c r="D1000" s="934"/>
      <c r="E1000" s="981"/>
      <c r="F1000" s="982"/>
      <c r="G1000" s="981"/>
      <c r="H1000" s="157"/>
    </row>
    <row r="1001" spans="1:29" ht="15" customHeight="1">
      <c r="A1001" s="161"/>
      <c r="B1001" s="165"/>
      <c r="C1001" s="934"/>
      <c r="D1001" s="934"/>
      <c r="E1001" s="981"/>
      <c r="F1001" s="982"/>
      <c r="G1001" s="981"/>
      <c r="H1001" s="157"/>
    </row>
    <row r="1002" spans="1:29" ht="15" customHeight="1">
      <c r="A1002" s="161"/>
      <c r="B1002" s="934"/>
      <c r="C1002" s="934"/>
      <c r="D1002" s="934"/>
      <c r="E1002" s="981"/>
      <c r="F1002" s="982"/>
      <c r="G1002" s="981"/>
      <c r="H1002" s="159"/>
      <c r="I1002" s="2"/>
      <c r="J1002" s="2"/>
      <c r="L1002" s="2"/>
      <c r="M1002" s="2"/>
      <c r="N1002" s="2"/>
      <c r="O1002" s="2"/>
      <c r="P1002" s="2"/>
      <c r="Q1002" s="2"/>
      <c r="R1002" s="2"/>
      <c r="S1002" s="2"/>
      <c r="T1002" s="2"/>
      <c r="U1002" s="2"/>
      <c r="V1002" s="2"/>
      <c r="W1002" s="2"/>
      <c r="X1002" s="2"/>
      <c r="Y1002" s="2"/>
      <c r="Z1002" s="2"/>
      <c r="AA1002" s="2"/>
      <c r="AB1002" s="2"/>
      <c r="AC1002" s="2"/>
    </row>
    <row r="1003" spans="1:29" ht="15" customHeight="1">
      <c r="A1003" s="161"/>
      <c r="B1003" s="165"/>
      <c r="C1003" s="934"/>
      <c r="D1003" s="934"/>
      <c r="E1003" s="981"/>
      <c r="F1003" s="982"/>
      <c r="G1003" s="981"/>
      <c r="H1003" s="157"/>
    </row>
    <row r="1004" spans="1:29" ht="15" customHeight="1">
      <c r="A1004" s="161"/>
      <c r="B1004" s="165"/>
      <c r="C1004" s="934"/>
      <c r="D1004" s="934"/>
      <c r="E1004" s="981"/>
      <c r="F1004" s="982"/>
      <c r="G1004" s="981"/>
      <c r="H1004" s="157"/>
    </row>
    <row r="1005" spans="1:29" ht="15" customHeight="1">
      <c r="A1005" s="167"/>
      <c r="B1005" s="168"/>
      <c r="C1005" s="169"/>
      <c r="D1005" s="169"/>
      <c r="E1005" s="981"/>
      <c r="F1005" s="982"/>
      <c r="G1005" s="981"/>
      <c r="H1005" s="159"/>
      <c r="I1005" s="2"/>
      <c r="J1005" s="2"/>
      <c r="L1005" s="2"/>
      <c r="M1005" s="2"/>
      <c r="N1005" s="2"/>
      <c r="O1005" s="2"/>
      <c r="P1005" s="2"/>
      <c r="Q1005" s="2"/>
      <c r="R1005" s="2"/>
      <c r="S1005" s="2"/>
      <c r="T1005" s="2"/>
      <c r="U1005" s="2"/>
      <c r="V1005" s="2"/>
      <c r="W1005" s="2"/>
      <c r="X1005" s="2"/>
      <c r="Y1005" s="2"/>
      <c r="Z1005" s="2"/>
      <c r="AA1005" s="2"/>
      <c r="AB1005" s="2"/>
      <c r="AC1005" s="2"/>
    </row>
    <row r="1006" spans="1:29" ht="15" customHeight="1">
      <c r="A1006" s="161"/>
      <c r="B1006" s="165"/>
      <c r="C1006" s="934"/>
      <c r="D1006" s="934"/>
      <c r="E1006" s="981"/>
      <c r="F1006" s="982"/>
      <c r="G1006" s="981"/>
      <c r="H1006" s="159"/>
      <c r="I1006" s="2"/>
      <c r="J1006" s="2"/>
      <c r="L1006" s="2"/>
      <c r="M1006" s="2"/>
      <c r="N1006" s="2"/>
      <c r="O1006" s="2"/>
      <c r="P1006" s="2"/>
      <c r="Q1006" s="2"/>
      <c r="R1006" s="2"/>
      <c r="S1006" s="2"/>
      <c r="T1006" s="2"/>
      <c r="U1006" s="2"/>
      <c r="V1006" s="2"/>
      <c r="W1006" s="2"/>
      <c r="X1006" s="2"/>
      <c r="Y1006" s="2"/>
      <c r="Z1006" s="2"/>
      <c r="AA1006" s="2"/>
      <c r="AB1006" s="2"/>
      <c r="AC1006" s="2"/>
    </row>
    <row r="1007" spans="1:29" ht="15" customHeight="1">
      <c r="A1007" s="161"/>
      <c r="B1007" s="165"/>
      <c r="C1007" s="934"/>
      <c r="D1007" s="934"/>
      <c r="E1007" s="981"/>
      <c r="F1007" s="982"/>
      <c r="G1007" s="981"/>
      <c r="H1007" s="157"/>
    </row>
    <row r="1008" spans="1:29" ht="15" customHeight="1">
      <c r="A1008" s="161"/>
      <c r="B1008" s="165"/>
      <c r="C1008" s="934"/>
      <c r="D1008" s="934"/>
      <c r="E1008" s="981"/>
      <c r="F1008" s="982"/>
      <c r="G1008" s="981"/>
      <c r="H1008" s="157"/>
    </row>
    <row r="1009" spans="1:29" ht="15" customHeight="1">
      <c r="A1009" s="161"/>
      <c r="B1009" s="165"/>
      <c r="C1009" s="934"/>
      <c r="D1009" s="934"/>
      <c r="E1009" s="981"/>
      <c r="F1009" s="982"/>
      <c r="G1009" s="981"/>
      <c r="H1009" s="157"/>
      <c r="K1009" s="2"/>
    </row>
    <row r="1010" spans="1:29" ht="15" customHeight="1">
      <c r="A1010" s="161"/>
      <c r="B1010" s="165"/>
      <c r="C1010" s="934"/>
      <c r="D1010" s="934"/>
      <c r="E1010" s="981"/>
      <c r="F1010" s="982"/>
      <c r="G1010" s="981"/>
      <c r="H1010" s="157"/>
    </row>
    <row r="1011" spans="1:29" ht="15" customHeight="1">
      <c r="A1011" s="161"/>
      <c r="B1011" s="165"/>
      <c r="C1011" s="934"/>
      <c r="D1011" s="934"/>
      <c r="E1011" s="981"/>
      <c r="F1011" s="982"/>
      <c r="G1011" s="981"/>
      <c r="H1011" s="157"/>
    </row>
    <row r="1012" spans="1:29" ht="15" customHeight="1">
      <c r="A1012" s="161"/>
      <c r="B1012" s="165"/>
      <c r="C1012" s="934"/>
      <c r="D1012" s="934"/>
      <c r="E1012" s="981"/>
      <c r="F1012" s="982"/>
      <c r="G1012" s="981"/>
      <c r="H1012" s="159"/>
      <c r="I1012" s="2"/>
      <c r="J1012" s="2"/>
      <c r="L1012" s="2"/>
      <c r="M1012" s="2"/>
      <c r="N1012" s="2"/>
      <c r="O1012" s="2"/>
      <c r="P1012" s="2"/>
      <c r="Q1012" s="2"/>
      <c r="R1012" s="2"/>
      <c r="S1012" s="2"/>
      <c r="T1012" s="2"/>
      <c r="U1012" s="2"/>
      <c r="V1012" s="2"/>
      <c r="W1012" s="2"/>
      <c r="X1012" s="2"/>
      <c r="Y1012" s="2"/>
      <c r="Z1012" s="2"/>
      <c r="AA1012" s="2"/>
      <c r="AB1012" s="2"/>
      <c r="AC1012" s="2"/>
    </row>
    <row r="1013" spans="1:29" ht="15" customHeight="1">
      <c r="A1013" s="161"/>
      <c r="B1013" s="165"/>
      <c r="C1013" s="934"/>
      <c r="D1013" s="934"/>
      <c r="E1013" s="981"/>
      <c r="F1013" s="982"/>
      <c r="G1013" s="981"/>
      <c r="H1013" s="157"/>
    </row>
    <row r="1014" spans="1:29" ht="15" customHeight="1">
      <c r="A1014" s="161"/>
      <c r="B1014" s="165"/>
      <c r="C1014" s="934"/>
      <c r="D1014" s="934"/>
      <c r="E1014" s="981"/>
      <c r="F1014" s="982"/>
      <c r="G1014" s="981"/>
      <c r="H1014" s="157"/>
    </row>
    <row r="1015" spans="1:29" ht="15" customHeight="1">
      <c r="A1015" s="161"/>
      <c r="B1015" s="165"/>
      <c r="C1015" s="934"/>
      <c r="D1015" s="934"/>
      <c r="E1015" s="981"/>
      <c r="F1015" s="982"/>
      <c r="G1015" s="981"/>
      <c r="H1015" s="157"/>
    </row>
    <row r="1016" spans="1:29" ht="15" customHeight="1">
      <c r="A1016" s="161"/>
      <c r="B1016" s="165"/>
      <c r="C1016" s="934"/>
      <c r="D1016" s="934"/>
      <c r="E1016" s="981"/>
      <c r="F1016" s="982"/>
      <c r="G1016" s="981"/>
      <c r="H1016" s="157"/>
    </row>
    <row r="1017" spans="1:29" ht="15" customHeight="1">
      <c r="A1017" s="161"/>
      <c r="B1017" s="165"/>
      <c r="C1017" s="934"/>
      <c r="D1017" s="934"/>
      <c r="E1017" s="981"/>
      <c r="F1017" s="982"/>
      <c r="G1017" s="981"/>
      <c r="H1017" s="157"/>
      <c r="K1017" s="2"/>
    </row>
    <row r="1018" spans="1:29" ht="15" customHeight="1">
      <c r="A1018" s="161"/>
      <c r="B1018" s="165"/>
      <c r="C1018" s="934"/>
      <c r="D1018" s="934"/>
      <c r="E1018" s="981"/>
      <c r="F1018" s="982"/>
      <c r="G1018" s="981"/>
      <c r="H1018" s="157"/>
    </row>
    <row r="1019" spans="1:29" ht="15" customHeight="1">
      <c r="A1019" s="161"/>
      <c r="B1019" s="165"/>
      <c r="C1019" s="934"/>
      <c r="D1019" s="934"/>
      <c r="E1019" s="981"/>
      <c r="F1019" s="982"/>
      <c r="G1019" s="981"/>
      <c r="H1019" s="157"/>
    </row>
    <row r="1020" spans="1:29" ht="15" customHeight="1">
      <c r="A1020" s="161"/>
      <c r="B1020" s="165"/>
      <c r="C1020" s="934"/>
      <c r="D1020" s="934"/>
      <c r="E1020" s="981"/>
      <c r="F1020" s="982"/>
      <c r="G1020" s="981"/>
      <c r="H1020" s="157"/>
    </row>
    <row r="1021" spans="1:29" ht="15" customHeight="1">
      <c r="A1021" s="161"/>
      <c r="B1021" s="165"/>
      <c r="C1021" s="934"/>
      <c r="D1021" s="934"/>
      <c r="E1021" s="981"/>
      <c r="F1021" s="982"/>
      <c r="G1021" s="981"/>
      <c r="H1021" s="157"/>
    </row>
    <row r="1022" spans="1:29" ht="15" customHeight="1">
      <c r="A1022" s="161"/>
      <c r="B1022" s="165"/>
      <c r="C1022" s="934"/>
      <c r="D1022" s="934"/>
      <c r="E1022" s="981"/>
      <c r="F1022" s="982"/>
      <c r="G1022" s="981"/>
      <c r="H1022" s="157"/>
    </row>
    <row r="1023" spans="1:29" ht="15" customHeight="1">
      <c r="A1023" s="161"/>
      <c r="B1023" s="165"/>
      <c r="C1023" s="934"/>
      <c r="D1023" s="934"/>
      <c r="E1023" s="981"/>
      <c r="F1023" s="982"/>
      <c r="G1023" s="981"/>
      <c r="H1023" s="157"/>
    </row>
    <row r="1024" spans="1:29" ht="15" customHeight="1">
      <c r="A1024" s="161"/>
      <c r="B1024" s="165"/>
      <c r="C1024" s="934"/>
      <c r="D1024" s="934"/>
      <c r="E1024" s="981"/>
      <c r="F1024" s="982"/>
      <c r="G1024" s="981"/>
      <c r="H1024" s="157"/>
    </row>
    <row r="1025" spans="1:8" ht="15" customHeight="1">
      <c r="A1025" s="161"/>
      <c r="B1025" s="165"/>
      <c r="C1025" s="934"/>
      <c r="D1025" s="934"/>
      <c r="E1025" s="981"/>
      <c r="F1025" s="982"/>
      <c r="G1025" s="981"/>
      <c r="H1025" s="157"/>
    </row>
    <row r="1026" spans="1:8" ht="15" customHeight="1">
      <c r="A1026" s="161"/>
      <c r="B1026" s="165"/>
      <c r="C1026" s="934"/>
      <c r="D1026" s="934"/>
      <c r="E1026" s="981"/>
      <c r="F1026" s="982"/>
      <c r="G1026" s="981"/>
      <c r="H1026" s="157"/>
    </row>
    <row r="1027" spans="1:8" ht="15" customHeight="1">
      <c r="A1027" s="161"/>
      <c r="B1027" s="165"/>
      <c r="C1027" s="934"/>
      <c r="D1027" s="934"/>
      <c r="E1027" s="981"/>
      <c r="F1027" s="982"/>
      <c r="G1027" s="981"/>
      <c r="H1027" s="157"/>
    </row>
    <row r="1028" spans="1:8" ht="15" customHeight="1">
      <c r="A1028" s="161"/>
      <c r="B1028" s="165"/>
      <c r="C1028" s="934"/>
      <c r="D1028" s="934"/>
      <c r="E1028" s="981"/>
      <c r="F1028" s="982"/>
      <c r="G1028" s="981"/>
      <c r="H1028" s="157"/>
    </row>
    <row r="1029" spans="1:8" ht="15" customHeight="1">
      <c r="A1029" s="161"/>
      <c r="B1029" s="165"/>
      <c r="C1029" s="934"/>
      <c r="D1029" s="934"/>
      <c r="E1029" s="981"/>
      <c r="F1029" s="982"/>
      <c r="G1029" s="981"/>
      <c r="H1029" s="157"/>
    </row>
    <row r="1030" spans="1:8" ht="15" customHeight="1">
      <c r="A1030" s="161"/>
      <c r="B1030" s="165"/>
      <c r="C1030" s="934"/>
      <c r="D1030" s="934"/>
      <c r="E1030" s="981"/>
      <c r="F1030" s="982"/>
      <c r="G1030" s="981"/>
      <c r="H1030" s="157"/>
    </row>
    <row r="1031" spans="1:8" ht="15" customHeight="1">
      <c r="A1031" s="161"/>
      <c r="B1031" s="165"/>
      <c r="C1031" s="934"/>
      <c r="D1031" s="934"/>
      <c r="E1031" s="981"/>
      <c r="F1031" s="982"/>
      <c r="G1031" s="981"/>
      <c r="H1031" s="157"/>
    </row>
    <row r="1032" spans="1:8" ht="15" customHeight="1">
      <c r="A1032" s="161"/>
      <c r="B1032" s="165"/>
      <c r="C1032" s="934"/>
      <c r="D1032" s="934"/>
      <c r="E1032" s="981"/>
      <c r="F1032" s="982"/>
      <c r="G1032" s="981"/>
      <c r="H1032" s="157"/>
    </row>
    <row r="1033" spans="1:8" ht="15" customHeight="1">
      <c r="A1033" s="161"/>
      <c r="B1033" s="165"/>
      <c r="C1033" s="934"/>
      <c r="D1033" s="934"/>
      <c r="E1033" s="981"/>
      <c r="F1033" s="982"/>
      <c r="G1033" s="981"/>
      <c r="H1033" s="157"/>
    </row>
    <row r="1034" spans="1:8" ht="15" customHeight="1">
      <c r="A1034" s="161"/>
      <c r="B1034" s="165"/>
      <c r="C1034" s="934"/>
      <c r="D1034" s="934"/>
      <c r="E1034" s="981"/>
      <c r="F1034" s="982"/>
      <c r="G1034" s="981"/>
      <c r="H1034" s="157"/>
    </row>
    <row r="1035" spans="1:8" ht="15" customHeight="1">
      <c r="A1035" s="161"/>
      <c r="B1035" s="165"/>
      <c r="C1035" s="934"/>
      <c r="D1035" s="934"/>
      <c r="E1035" s="981"/>
      <c r="F1035" s="982"/>
      <c r="G1035" s="981"/>
      <c r="H1035" s="157"/>
    </row>
    <row r="1036" spans="1:8" ht="15" customHeight="1">
      <c r="A1036" s="161"/>
      <c r="B1036" s="165"/>
      <c r="C1036" s="934"/>
      <c r="D1036" s="934"/>
      <c r="E1036" s="981"/>
      <c r="F1036" s="982"/>
      <c r="G1036" s="981"/>
      <c r="H1036" s="157"/>
    </row>
    <row r="1037" spans="1:8" ht="15" customHeight="1">
      <c r="A1037" s="161"/>
      <c r="B1037" s="165"/>
      <c r="C1037" s="934"/>
      <c r="D1037" s="934"/>
      <c r="E1037" s="981"/>
      <c r="F1037" s="982"/>
      <c r="G1037" s="981"/>
      <c r="H1037" s="157"/>
    </row>
    <row r="1038" spans="1:8" ht="15" customHeight="1">
      <c r="A1038" s="943"/>
      <c r="B1038" s="992"/>
      <c r="C1038" s="993"/>
      <c r="D1038" s="934"/>
      <c r="E1038" s="981"/>
      <c r="F1038" s="982"/>
      <c r="G1038" s="981"/>
      <c r="H1038" s="157"/>
    </row>
    <row r="1039" spans="1:8" ht="15" customHeight="1">
      <c r="A1039" s="161"/>
      <c r="B1039" s="165"/>
      <c r="C1039" s="934"/>
      <c r="D1039" s="934"/>
      <c r="E1039" s="981"/>
      <c r="F1039" s="982"/>
      <c r="G1039" s="981"/>
      <c r="H1039" s="157"/>
    </row>
    <row r="1040" spans="1:8" ht="15" customHeight="1">
      <c r="A1040" s="161"/>
      <c r="B1040" s="165"/>
      <c r="C1040" s="934"/>
      <c r="D1040" s="934"/>
      <c r="E1040" s="981"/>
      <c r="F1040" s="982"/>
      <c r="G1040" s="981"/>
      <c r="H1040" s="157"/>
    </row>
    <row r="1041" spans="1:11" ht="15" customHeight="1">
      <c r="A1041" s="161"/>
      <c r="B1041" s="165"/>
      <c r="C1041" s="934"/>
      <c r="D1041" s="934"/>
      <c r="E1041" s="981"/>
      <c r="F1041" s="982"/>
      <c r="G1041" s="981"/>
      <c r="H1041" s="157"/>
    </row>
    <row r="1042" spans="1:11" ht="15" customHeight="1">
      <c r="A1042" s="161"/>
      <c r="B1042" s="165"/>
      <c r="C1042" s="934"/>
      <c r="D1042" s="934"/>
      <c r="E1042" s="981"/>
      <c r="F1042" s="982"/>
      <c r="G1042" s="981"/>
      <c r="H1042" s="157"/>
    </row>
    <row r="1043" spans="1:11" ht="15" customHeight="1">
      <c r="A1043" s="161"/>
      <c r="B1043" s="165"/>
      <c r="C1043" s="934"/>
      <c r="D1043" s="934"/>
      <c r="E1043" s="981"/>
      <c r="F1043" s="982"/>
      <c r="G1043" s="981"/>
      <c r="H1043" s="157"/>
    </row>
    <row r="1044" spans="1:11" ht="15" customHeight="1">
      <c r="A1044" s="161"/>
      <c r="B1044" s="165"/>
      <c r="C1044" s="934"/>
      <c r="D1044" s="934"/>
      <c r="E1044" s="981"/>
      <c r="F1044" s="982"/>
      <c r="G1044" s="981"/>
      <c r="H1044" s="157"/>
    </row>
    <row r="1045" spans="1:11" ht="15" customHeight="1">
      <c r="A1045" s="161"/>
      <c r="B1045" s="165"/>
      <c r="C1045" s="934"/>
      <c r="D1045" s="934"/>
      <c r="E1045" s="981"/>
      <c r="F1045" s="982"/>
      <c r="G1045" s="981"/>
      <c r="H1045" s="157"/>
    </row>
    <row r="1046" spans="1:11" ht="15" customHeight="1">
      <c r="A1046" s="161"/>
      <c r="B1046" s="165"/>
      <c r="C1046" s="934"/>
      <c r="D1046" s="934"/>
      <c r="E1046" s="981"/>
      <c r="F1046" s="982"/>
      <c r="G1046" s="981"/>
      <c r="H1046" s="157"/>
    </row>
    <row r="1047" spans="1:11" ht="15" customHeight="1">
      <c r="A1047" s="161"/>
      <c r="B1047" s="165"/>
      <c r="C1047" s="934"/>
      <c r="D1047" s="934"/>
      <c r="E1047" s="981"/>
      <c r="F1047" s="982"/>
      <c r="G1047" s="981"/>
      <c r="H1047" s="157"/>
    </row>
    <row r="1048" spans="1:11" ht="15" customHeight="1">
      <c r="A1048" s="161"/>
      <c r="B1048" s="165"/>
      <c r="C1048" s="934"/>
      <c r="D1048" s="934"/>
      <c r="E1048" s="981"/>
      <c r="F1048" s="982"/>
      <c r="G1048" s="981"/>
      <c r="H1048" s="157"/>
    </row>
    <row r="1049" spans="1:11" ht="15" customHeight="1">
      <c r="A1049" s="161"/>
      <c r="B1049" s="165"/>
      <c r="C1049" s="934"/>
      <c r="D1049" s="934"/>
      <c r="E1049" s="981"/>
      <c r="F1049" s="982"/>
      <c r="G1049" s="981"/>
      <c r="H1049" s="157"/>
    </row>
    <row r="1050" spans="1:11" ht="15" customHeight="1">
      <c r="A1050" s="161"/>
      <c r="B1050" s="165"/>
      <c r="C1050" s="934"/>
      <c r="D1050" s="934"/>
      <c r="E1050" s="981"/>
      <c r="F1050" s="982"/>
      <c r="G1050" s="981"/>
      <c r="H1050" s="157"/>
    </row>
    <row r="1051" spans="1:11" ht="15" customHeight="1">
      <c r="A1051" s="161"/>
      <c r="B1051" s="165"/>
      <c r="C1051" s="934"/>
      <c r="D1051" s="934"/>
      <c r="E1051" s="981"/>
      <c r="F1051" s="982"/>
      <c r="G1051" s="981"/>
      <c r="H1051" s="157"/>
    </row>
    <row r="1052" spans="1:11" ht="15" customHeight="1">
      <c r="A1052" s="161"/>
      <c r="B1052" s="165"/>
      <c r="C1052" s="934"/>
      <c r="D1052" s="934"/>
      <c r="E1052" s="981"/>
      <c r="F1052" s="982"/>
      <c r="G1052" s="981"/>
      <c r="H1052" s="157"/>
    </row>
    <row r="1053" spans="1:11" ht="15" customHeight="1">
      <c r="A1053" s="161"/>
      <c r="B1053" s="165"/>
      <c r="C1053" s="934"/>
      <c r="D1053" s="934"/>
      <c r="E1053" s="981"/>
      <c r="F1053" s="982"/>
      <c r="G1053" s="981"/>
      <c r="H1053" s="157"/>
    </row>
    <row r="1054" spans="1:11" ht="15" customHeight="1">
      <c r="A1054" s="161"/>
      <c r="B1054" s="165"/>
      <c r="C1054" s="934"/>
      <c r="D1054" s="934"/>
      <c r="E1054" s="981"/>
      <c r="F1054" s="982"/>
      <c r="G1054" s="981"/>
      <c r="H1054" s="157"/>
    </row>
    <row r="1055" spans="1:11" ht="15" customHeight="1">
      <c r="A1055" s="161"/>
      <c r="B1055" s="165"/>
      <c r="C1055" s="934"/>
      <c r="D1055" s="934"/>
      <c r="E1055" s="981"/>
      <c r="F1055" s="982"/>
      <c r="G1055" s="981"/>
      <c r="H1055" s="157"/>
    </row>
    <row r="1056" spans="1:11" ht="15" customHeight="1">
      <c r="A1056" s="161"/>
      <c r="B1056" s="165"/>
      <c r="C1056" s="934"/>
      <c r="D1056" s="934"/>
      <c r="E1056" s="981"/>
      <c r="F1056" s="982"/>
      <c r="G1056" s="981"/>
      <c r="H1056" s="157"/>
      <c r="K1056" s="2"/>
    </row>
    <row r="1057" spans="1:29" ht="15" customHeight="1">
      <c r="A1057" s="161"/>
      <c r="B1057" s="165"/>
      <c r="C1057" s="934"/>
      <c r="D1057" s="934"/>
      <c r="E1057" s="981"/>
      <c r="F1057" s="982"/>
      <c r="G1057" s="981"/>
      <c r="H1057" s="157"/>
      <c r="K1057" s="2"/>
    </row>
    <row r="1058" spans="1:29" ht="15" customHeight="1">
      <c r="A1058" s="161"/>
      <c r="B1058" s="165"/>
      <c r="C1058" s="934"/>
      <c r="D1058" s="934"/>
      <c r="E1058" s="981"/>
      <c r="F1058" s="982"/>
      <c r="G1058" s="981"/>
      <c r="H1058" s="157"/>
    </row>
    <row r="1059" spans="1:29" ht="15" customHeight="1">
      <c r="A1059" s="161"/>
      <c r="B1059" s="165"/>
      <c r="C1059" s="934"/>
      <c r="D1059" s="934"/>
      <c r="E1059" s="981"/>
      <c r="F1059" s="982"/>
      <c r="G1059" s="981"/>
      <c r="H1059" s="157"/>
    </row>
    <row r="1060" spans="1:29" ht="15" customHeight="1">
      <c r="A1060" s="161"/>
      <c r="B1060" s="165"/>
      <c r="C1060" s="934"/>
      <c r="D1060" s="934"/>
      <c r="E1060" s="981"/>
      <c r="F1060" s="982"/>
      <c r="G1060" s="981"/>
      <c r="H1060" s="157"/>
    </row>
    <row r="1061" spans="1:29" ht="15" customHeight="1">
      <c r="A1061" s="161"/>
      <c r="B1061" s="166"/>
      <c r="C1061" s="934"/>
      <c r="D1061" s="934"/>
      <c r="E1061" s="981"/>
      <c r="F1061" s="982"/>
      <c r="G1061" s="981"/>
      <c r="H1061" s="157"/>
    </row>
    <row r="1062" spans="1:29" ht="15.75" customHeight="1">
      <c r="A1062" s="161"/>
      <c r="B1062" s="165"/>
      <c r="C1062" s="934"/>
      <c r="D1062" s="934"/>
      <c r="E1062" s="981"/>
      <c r="F1062" s="982"/>
      <c r="G1062" s="981"/>
      <c r="H1062" s="157"/>
    </row>
    <row r="1063" spans="1:29" ht="15.75" customHeight="1">
      <c r="A1063" s="161"/>
      <c r="B1063" s="165"/>
      <c r="C1063" s="934"/>
      <c r="D1063" s="934"/>
      <c r="E1063" s="981"/>
      <c r="F1063" s="982"/>
      <c r="G1063" s="981"/>
      <c r="H1063" s="157"/>
      <c r="K1063" s="2"/>
    </row>
    <row r="1064" spans="1:29" ht="15.75" customHeight="1">
      <c r="A1064" s="161"/>
      <c r="B1064" s="165"/>
      <c r="C1064" s="934"/>
      <c r="D1064" s="934"/>
      <c r="E1064" s="981"/>
      <c r="F1064" s="982"/>
      <c r="G1064" s="981"/>
      <c r="H1064" s="157"/>
    </row>
    <row r="1065" spans="1:29" ht="15.75" customHeight="1">
      <c r="A1065" s="161"/>
      <c r="B1065" s="165"/>
      <c r="C1065" s="934"/>
      <c r="D1065" s="934"/>
      <c r="E1065" s="981"/>
      <c r="F1065" s="982"/>
      <c r="G1065" s="981"/>
      <c r="H1065" s="157"/>
    </row>
    <row r="1066" spans="1:29" ht="15.75" customHeight="1">
      <c r="A1066" s="161"/>
      <c r="B1066" s="165"/>
      <c r="C1066" s="934"/>
      <c r="D1066" s="934"/>
      <c r="E1066" s="981"/>
      <c r="F1066" s="982"/>
      <c r="G1066" s="981"/>
      <c r="H1066" s="157"/>
    </row>
    <row r="1067" spans="1:29" ht="15.75" customHeight="1">
      <c r="A1067" s="161"/>
      <c r="B1067" s="165"/>
      <c r="C1067" s="934"/>
      <c r="D1067" s="934"/>
      <c r="E1067" s="981"/>
      <c r="F1067" s="982"/>
      <c r="G1067" s="981"/>
      <c r="H1067" s="157"/>
    </row>
    <row r="1068" spans="1:29" ht="15.75" customHeight="1">
      <c r="A1068" s="161"/>
      <c r="B1068" s="165"/>
      <c r="C1068" s="934"/>
      <c r="D1068" s="934"/>
      <c r="E1068" s="981"/>
      <c r="F1068" s="982"/>
      <c r="G1068" s="981"/>
      <c r="H1068" s="157"/>
    </row>
    <row r="1069" spans="1:29" ht="15.75" customHeight="1">
      <c r="A1069" s="161"/>
      <c r="B1069" s="165"/>
      <c r="C1069" s="934"/>
      <c r="D1069" s="934"/>
      <c r="E1069" s="981"/>
      <c r="F1069" s="982"/>
      <c r="G1069" s="981"/>
      <c r="H1069" s="159"/>
      <c r="I1069" s="2"/>
      <c r="J1069" s="2"/>
      <c r="L1069" s="2"/>
      <c r="M1069" s="2"/>
      <c r="N1069" s="2"/>
      <c r="O1069" s="2"/>
      <c r="P1069" s="2"/>
      <c r="Q1069" s="2"/>
      <c r="R1069" s="2"/>
      <c r="S1069" s="2"/>
      <c r="T1069" s="2"/>
      <c r="U1069" s="2"/>
      <c r="V1069" s="2"/>
      <c r="W1069" s="2"/>
      <c r="X1069" s="2"/>
      <c r="Y1069" s="2"/>
      <c r="Z1069" s="2"/>
      <c r="AA1069" s="2"/>
      <c r="AB1069" s="2"/>
      <c r="AC1069" s="2"/>
    </row>
    <row r="1070" spans="1:29" ht="15.75" customHeight="1">
      <c r="A1070" s="161"/>
      <c r="B1070" s="165"/>
      <c r="C1070" s="934"/>
      <c r="D1070" s="934"/>
      <c r="E1070" s="981"/>
      <c r="F1070" s="982"/>
      <c r="G1070" s="981"/>
      <c r="H1070" s="157"/>
    </row>
    <row r="1071" spans="1:29" ht="15.75" customHeight="1">
      <c r="A1071" s="161"/>
      <c r="B1071" s="165"/>
      <c r="C1071" s="934"/>
      <c r="D1071" s="934"/>
      <c r="E1071" s="981"/>
      <c r="F1071" s="982"/>
      <c r="G1071" s="981"/>
      <c r="H1071" s="157"/>
    </row>
    <row r="1072" spans="1:29" ht="15.75" customHeight="1">
      <c r="A1072" s="161"/>
      <c r="B1072" s="165"/>
      <c r="C1072" s="934"/>
      <c r="D1072" s="934"/>
      <c r="E1072" s="981"/>
      <c r="F1072" s="982"/>
      <c r="G1072" s="981"/>
      <c r="H1072" s="157"/>
    </row>
    <row r="1073" spans="1:11" ht="15.75" customHeight="1">
      <c r="A1073" s="161"/>
      <c r="B1073" s="165"/>
      <c r="C1073" s="934"/>
      <c r="D1073" s="934"/>
      <c r="E1073" s="981"/>
      <c r="F1073" s="982"/>
      <c r="G1073" s="981"/>
      <c r="H1073" s="157"/>
    </row>
    <row r="1074" spans="1:11" ht="15.75" customHeight="1">
      <c r="A1074" s="161"/>
      <c r="B1074" s="165"/>
      <c r="C1074" s="934"/>
      <c r="D1074" s="934"/>
      <c r="E1074" s="981"/>
      <c r="F1074" s="982"/>
      <c r="G1074" s="981"/>
      <c r="H1074" s="157"/>
    </row>
    <row r="1075" spans="1:11" ht="15.75" customHeight="1">
      <c r="A1075" s="161"/>
      <c r="B1075" s="165"/>
      <c r="C1075" s="934"/>
      <c r="D1075" s="934"/>
      <c r="E1075" s="981"/>
      <c r="F1075" s="982"/>
      <c r="G1075" s="981"/>
      <c r="H1075" s="157"/>
    </row>
    <row r="1076" spans="1:11" ht="15.75" customHeight="1">
      <c r="A1076" s="161"/>
      <c r="B1076" s="165"/>
      <c r="C1076" s="934"/>
      <c r="D1076" s="934"/>
      <c r="E1076" s="981"/>
      <c r="F1076" s="982"/>
      <c r="G1076" s="981"/>
      <c r="H1076" s="157"/>
      <c r="K1076" s="2"/>
    </row>
    <row r="1077" spans="1:11" ht="15.75" customHeight="1">
      <c r="A1077" s="161"/>
      <c r="B1077" s="165"/>
      <c r="C1077" s="934"/>
      <c r="D1077" s="934"/>
      <c r="E1077" s="981"/>
      <c r="F1077" s="982"/>
      <c r="G1077" s="981"/>
      <c r="H1077" s="157"/>
    </row>
    <row r="1078" spans="1:11" ht="15.75" customHeight="1">
      <c r="A1078" s="161"/>
      <c r="B1078" s="165"/>
      <c r="C1078" s="934"/>
      <c r="D1078" s="934"/>
      <c r="E1078" s="981"/>
      <c r="F1078" s="982"/>
      <c r="G1078" s="981"/>
      <c r="H1078" s="157"/>
    </row>
    <row r="1079" spans="1:11" ht="15.75" customHeight="1">
      <c r="A1079" s="161"/>
      <c r="B1079" s="165"/>
      <c r="C1079" s="934"/>
      <c r="D1079" s="934"/>
      <c r="E1079" s="981"/>
      <c r="F1079" s="982"/>
      <c r="G1079" s="981"/>
      <c r="H1079" s="157"/>
    </row>
    <row r="1080" spans="1:11" ht="15.75" customHeight="1">
      <c r="A1080" s="161"/>
      <c r="B1080" s="165"/>
      <c r="C1080" s="934"/>
      <c r="D1080" s="934"/>
      <c r="E1080" s="981"/>
      <c r="F1080" s="982"/>
      <c r="G1080" s="981"/>
      <c r="H1080" s="157"/>
    </row>
    <row r="1081" spans="1:11" ht="15.75" customHeight="1">
      <c r="A1081" s="161"/>
      <c r="B1081" s="165"/>
      <c r="C1081" s="934"/>
      <c r="D1081" s="934"/>
      <c r="E1081" s="981"/>
      <c r="F1081" s="982"/>
      <c r="G1081" s="981"/>
      <c r="H1081" s="157"/>
    </row>
    <row r="1082" spans="1:11" ht="15.75" customHeight="1">
      <c r="A1082" s="161"/>
      <c r="B1082" s="165"/>
      <c r="C1082" s="934"/>
      <c r="D1082" s="934"/>
      <c r="E1082" s="981"/>
      <c r="F1082" s="982"/>
      <c r="G1082" s="981"/>
      <c r="H1082" s="157"/>
    </row>
    <row r="1083" spans="1:11" ht="15.75" customHeight="1">
      <c r="A1083" s="161"/>
      <c r="B1083" s="165"/>
      <c r="C1083" s="934"/>
      <c r="D1083" s="934"/>
      <c r="E1083" s="981"/>
      <c r="F1083" s="982"/>
      <c r="G1083" s="981"/>
      <c r="H1083" s="157"/>
    </row>
    <row r="1084" spans="1:11" ht="15.75" customHeight="1">
      <c r="A1084" s="161"/>
      <c r="B1084" s="165"/>
      <c r="C1084" s="934"/>
      <c r="D1084" s="934"/>
      <c r="E1084" s="981"/>
      <c r="F1084" s="982"/>
      <c r="G1084" s="981"/>
      <c r="H1084" s="157"/>
    </row>
    <row r="1085" spans="1:11" ht="15.75" customHeight="1">
      <c r="A1085" s="161"/>
      <c r="B1085" s="165"/>
      <c r="C1085" s="934"/>
      <c r="D1085" s="934"/>
      <c r="E1085" s="981"/>
      <c r="F1085" s="982"/>
      <c r="G1085" s="981"/>
      <c r="H1085" s="157"/>
    </row>
    <row r="1086" spans="1:11" ht="15.75" customHeight="1">
      <c r="A1086" s="161"/>
      <c r="B1086" s="165"/>
      <c r="C1086" s="934"/>
      <c r="D1086" s="934"/>
      <c r="E1086" s="981"/>
      <c r="F1086" s="982"/>
      <c r="G1086" s="981"/>
      <c r="H1086" s="157"/>
    </row>
    <row r="1087" spans="1:11" ht="15.75" customHeight="1">
      <c r="A1087" s="161"/>
      <c r="B1087" s="165"/>
      <c r="C1087" s="934"/>
      <c r="D1087" s="934"/>
      <c r="E1087" s="981"/>
      <c r="F1087" s="982"/>
      <c r="G1087" s="981"/>
      <c r="H1087" s="157"/>
    </row>
    <row r="1088" spans="1:11" ht="15.75" customHeight="1">
      <c r="A1088" s="161"/>
      <c r="B1088" s="165"/>
      <c r="C1088" s="934"/>
      <c r="D1088" s="934"/>
      <c r="E1088" s="981"/>
      <c r="F1088" s="982"/>
      <c r="G1088" s="981"/>
      <c r="H1088" s="157"/>
    </row>
    <row r="1089" spans="1:8" ht="15.75" customHeight="1">
      <c r="A1089" s="161"/>
      <c r="B1089" s="165"/>
      <c r="C1089" s="934"/>
      <c r="D1089" s="934"/>
      <c r="E1089" s="981"/>
      <c r="F1089" s="982"/>
      <c r="G1089" s="981"/>
      <c r="H1089" s="157"/>
    </row>
    <row r="1090" spans="1:8" ht="15" customHeight="1">
      <c r="A1090" s="161"/>
      <c r="B1090" s="165"/>
      <c r="C1090" s="934"/>
      <c r="D1090" s="934"/>
      <c r="E1090" s="981"/>
      <c r="F1090" s="982"/>
      <c r="G1090" s="981"/>
    </row>
    <row r="1091" spans="1:8" ht="15" customHeight="1">
      <c r="A1091" s="161"/>
      <c r="B1091" s="165"/>
      <c r="C1091" s="934"/>
      <c r="D1091" s="934"/>
      <c r="E1091" s="981"/>
      <c r="F1091" s="982"/>
      <c r="G1091" s="981"/>
    </row>
    <row r="1092" spans="1:8" ht="15" customHeight="1">
      <c r="A1092" s="943"/>
      <c r="B1092" s="934"/>
      <c r="C1092" s="934"/>
      <c r="D1092" s="934"/>
      <c r="E1092" s="981"/>
      <c r="F1092" s="982"/>
      <c r="G1092" s="981"/>
    </row>
    <row r="1093" spans="1:8" ht="15" customHeight="1">
      <c r="A1093" s="161"/>
      <c r="B1093" s="165"/>
      <c r="C1093" s="934"/>
      <c r="D1093" s="934"/>
      <c r="E1093" s="981"/>
      <c r="F1093" s="982"/>
      <c r="G1093" s="981"/>
    </row>
    <row r="1094" spans="1:8" ht="15" customHeight="1">
      <c r="A1094" s="161"/>
      <c r="B1094" s="165"/>
      <c r="C1094" s="934"/>
      <c r="D1094" s="934"/>
      <c r="E1094" s="981"/>
      <c r="F1094" s="982"/>
      <c r="G1094" s="981"/>
    </row>
    <row r="1095" spans="1:8" ht="15" customHeight="1">
      <c r="A1095" s="161"/>
      <c r="B1095" s="165"/>
      <c r="C1095" s="934"/>
      <c r="D1095" s="934"/>
      <c r="E1095" s="981"/>
      <c r="F1095" s="982"/>
      <c r="G1095" s="981"/>
    </row>
    <row r="1096" spans="1:8" ht="15" customHeight="1">
      <c r="A1096" s="161"/>
      <c r="B1096" s="165"/>
      <c r="C1096" s="934"/>
      <c r="D1096" s="934"/>
      <c r="E1096" s="981"/>
      <c r="F1096" s="982"/>
      <c r="G1096" s="981"/>
    </row>
    <row r="1097" spans="1:8" ht="15" customHeight="1">
      <c r="A1097" s="161"/>
      <c r="B1097" s="165"/>
      <c r="C1097" s="934"/>
      <c r="D1097" s="934"/>
      <c r="E1097" s="981"/>
      <c r="F1097" s="982"/>
      <c r="G1097" s="981"/>
    </row>
    <row r="1098" spans="1:8" ht="15" customHeight="1">
      <c r="A1098" s="161"/>
      <c r="B1098" s="165"/>
      <c r="C1098" s="934"/>
      <c r="D1098" s="934"/>
      <c r="E1098" s="981"/>
      <c r="F1098" s="982"/>
      <c r="G1098" s="981"/>
    </row>
    <row r="1099" spans="1:8" ht="15" customHeight="1">
      <c r="A1099" s="161"/>
      <c r="B1099" s="165"/>
      <c r="C1099" s="934"/>
      <c r="D1099" s="934"/>
      <c r="E1099" s="981"/>
      <c r="F1099" s="982"/>
      <c r="G1099" s="981"/>
    </row>
    <row r="1100" spans="1:8" ht="15" customHeight="1">
      <c r="A1100" s="161"/>
      <c r="B1100" s="165"/>
      <c r="C1100" s="934"/>
      <c r="D1100" s="934"/>
      <c r="E1100" s="981"/>
      <c r="F1100" s="982"/>
      <c r="G1100" s="981"/>
    </row>
    <row r="1101" spans="1:8" ht="15" customHeight="1">
      <c r="A1101" s="161"/>
      <c r="B1101" s="165"/>
      <c r="C1101" s="934"/>
      <c r="D1101" s="934"/>
      <c r="E1101" s="981"/>
      <c r="F1101" s="982"/>
      <c r="G1101" s="981"/>
    </row>
    <row r="1102" spans="1:8" ht="15" customHeight="1">
      <c r="A1102" s="942"/>
      <c r="B1102" s="165"/>
      <c r="C1102" s="934"/>
      <c r="D1102" s="934"/>
      <c r="E1102" s="981"/>
      <c r="F1102" s="982"/>
      <c r="G1102" s="981"/>
    </row>
  </sheetData>
  <autoFilter ref="A1:G905" xr:uid="{00000000-0001-0000-0B00-000000000000}"/>
  <dataValidations count="3">
    <dataValidation type="list" allowBlank="1" showErrorMessage="1" sqref="D1" xr:uid="{00000000-0002-0000-0B00-000000000000}">
      <formula1>$K$1:$K$155</formula1>
    </dataValidation>
    <dataValidation type="list" allowBlank="1" showErrorMessage="1" sqref="C2:C1102" xr:uid="{00000000-0002-0000-0B00-000001000000}">
      <formula1>$I$1:$I$11</formula1>
    </dataValidation>
    <dataValidation type="list" allowBlank="1" showInputMessage="1" showErrorMessage="1" sqref="D2:D1196" xr:uid="{00000000-0002-0000-0B00-000002000000}">
      <formula1>$K$3:$K$155</formula1>
    </dataValidation>
  </dataValidations>
  <hyperlinks>
    <hyperlink ref="A524" r:id="rId1" xr:uid="{00000000-0004-0000-0B00-000000000000}"/>
    <hyperlink ref="A513" r:id="rId2" xr:uid="{00000000-0004-0000-0B00-000001000000}"/>
    <hyperlink ref="A522" r:id="rId3" xr:uid="{00000000-0004-0000-0B00-000002000000}"/>
    <hyperlink ref="A552" r:id="rId4" xr:uid="{00000000-0004-0000-0B00-000003000000}"/>
    <hyperlink ref="A544" r:id="rId5" xr:uid="{00000000-0004-0000-0B00-000004000000}"/>
  </hyperlinks>
  <pageMargins left="0.7" right="0.7" top="0.75" bottom="0.75" header="0" footer="0"/>
  <pageSetup orientation="landscape" r:id="rId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outlinePr summaryBelow="0"/>
  </sheetPr>
  <dimension ref="A1:X1055"/>
  <sheetViews>
    <sheetView workbookViewId="0"/>
  </sheetViews>
  <sheetFormatPr baseColWidth="10" defaultColWidth="12.59765625" defaultRowHeight="15" customHeight="1"/>
  <cols>
    <col min="1" max="1" width="29.19921875" style="509" customWidth="1"/>
    <col min="2" max="2" width="31.19921875" style="509" customWidth="1"/>
    <col min="3" max="3" width="14.59765625" style="509" customWidth="1"/>
    <col min="4" max="11" width="12.8984375" style="509" customWidth="1"/>
    <col min="12" max="12" width="12.8984375" style="564" customWidth="1"/>
    <col min="13" max="13" width="39.69921875" style="564" customWidth="1"/>
    <col min="14" max="14" width="14.8984375" style="564" customWidth="1"/>
    <col min="15" max="15" width="12.8984375" style="572" customWidth="1"/>
    <col min="16" max="16" width="12.8984375" style="564" customWidth="1"/>
    <col min="17" max="17" width="17.3984375" style="564" customWidth="1"/>
    <col min="18" max="19" width="12.8984375" style="564" customWidth="1"/>
    <col min="20" max="20" width="13" style="564" customWidth="1"/>
    <col min="21" max="21" width="42.69921875" style="564" customWidth="1"/>
    <col min="22" max="22" width="25.3984375" style="564" customWidth="1"/>
    <col min="23" max="23" width="16.8984375" style="564" customWidth="1"/>
    <col min="24" max="24" width="8.8984375" style="564" customWidth="1"/>
    <col min="25" max="16384" width="12.59765625" style="564"/>
  </cols>
  <sheetData>
    <row r="1" spans="1:24" ht="30" customHeight="1">
      <c r="A1" s="1234" t="s">
        <v>265</v>
      </c>
      <c r="B1" s="1234" t="s">
        <v>266</v>
      </c>
      <c r="C1" s="1235" t="s">
        <v>267</v>
      </c>
      <c r="D1" s="1235" t="s">
        <v>268</v>
      </c>
      <c r="E1" s="1235" t="s">
        <v>269</v>
      </c>
      <c r="F1" s="1234" t="s">
        <v>270</v>
      </c>
      <c r="G1" s="1234" t="s">
        <v>271</v>
      </c>
      <c r="H1" s="1234" t="s">
        <v>272</v>
      </c>
      <c r="I1" s="1235" t="s">
        <v>3431</v>
      </c>
      <c r="J1" s="1235" t="s">
        <v>3432</v>
      </c>
      <c r="K1" s="1235" t="s">
        <v>3433</v>
      </c>
      <c r="L1" s="148" t="s">
        <v>266</v>
      </c>
      <c r="M1" s="148" t="s">
        <v>265</v>
      </c>
      <c r="N1" s="148" t="s">
        <v>267</v>
      </c>
      <c r="O1" s="568" t="s">
        <v>268</v>
      </c>
      <c r="P1" s="148" t="s">
        <v>269</v>
      </c>
      <c r="Q1" s="148" t="s">
        <v>270</v>
      </c>
      <c r="R1" s="148" t="s">
        <v>271</v>
      </c>
      <c r="S1" s="148" t="s">
        <v>272</v>
      </c>
      <c r="T1" s="149" t="s">
        <v>273</v>
      </c>
      <c r="U1" s="149" t="s">
        <v>274</v>
      </c>
      <c r="V1" s="149" t="s">
        <v>275</v>
      </c>
      <c r="W1" s="149" t="s">
        <v>276</v>
      </c>
      <c r="X1" s="149" t="s">
        <v>1914</v>
      </c>
    </row>
    <row r="2" spans="1:24" ht="15" customHeight="1">
      <c r="A2" s="1236" t="s">
        <v>2198</v>
      </c>
      <c r="B2" s="1237">
        <v>10</v>
      </c>
      <c r="C2" s="1238"/>
      <c r="D2" s="1238"/>
      <c r="E2" s="1238"/>
      <c r="F2" s="1236" t="s">
        <v>1</v>
      </c>
      <c r="G2" s="1236" t="s">
        <v>2200</v>
      </c>
      <c r="H2" s="1238"/>
      <c r="I2" s="1239">
        <v>32869</v>
      </c>
      <c r="J2" s="1239">
        <v>0</v>
      </c>
      <c r="K2" s="1239">
        <v>32869</v>
      </c>
      <c r="L2" s="150">
        <f t="shared" ref="L2:L256" si="0">+B2</f>
        <v>10</v>
      </c>
      <c r="M2" s="151" t="str">
        <f t="shared" ref="M2:M256" si="1">+A2</f>
        <v>PROFIT/PERTES JANVIER</v>
      </c>
      <c r="N2" s="152">
        <f>+IF(OR($Q2=Parametres!$G$2,$Q2=Parametres!$G$3),I2,C2)</f>
        <v>32869</v>
      </c>
      <c r="O2" s="152">
        <f>+IF(OR($Q2=Parametres!$G$2,$Q2=Parametres!$G$3),J2,D2)</f>
        <v>0</v>
      </c>
      <c r="P2" s="152">
        <f>+IF(OR($Q2=Parametres!$G$2,$Q2=Parametres!$G$3),K2,E2)</f>
        <v>32869</v>
      </c>
      <c r="Q2" s="151" t="str">
        <f t="shared" ref="Q2:S17" si="2">+F2</f>
        <v>1-Mémo</v>
      </c>
      <c r="R2" s="150" t="str">
        <f t="shared" si="2"/>
        <v>1</v>
      </c>
      <c r="S2" s="151">
        <f t="shared" si="2"/>
        <v>0</v>
      </c>
      <c r="T2" s="153">
        <f>+VLOOKUP($L2,Data_Validation!$A:$E,1,0)</f>
        <v>10</v>
      </c>
      <c r="U2" s="153">
        <f>+VLOOKUP($L2,Data_Validation!$A:$E,3,0)</f>
        <v>0</v>
      </c>
      <c r="V2" s="153">
        <f>+VLOOKUP($L2,Data_Validation!$A:$E,4,0)</f>
        <v>0</v>
      </c>
      <c r="W2" s="153">
        <f>VLOOKUP($L2,Data_Validation!$A:$E,5,FALSE)</f>
        <v>0</v>
      </c>
      <c r="X2" s="153">
        <f>+VLOOKUP($L2,Data_Validation!$A:$F,6,0)</f>
        <v>0</v>
      </c>
    </row>
    <row r="3" spans="1:24" ht="15" customHeight="1">
      <c r="A3" s="1236" t="s">
        <v>2201</v>
      </c>
      <c r="B3" s="1237">
        <v>20</v>
      </c>
      <c r="C3" s="1238"/>
      <c r="D3" s="1238"/>
      <c r="E3" s="1238"/>
      <c r="F3" s="1236" t="s">
        <v>1</v>
      </c>
      <c r="G3" s="1236" t="s">
        <v>2200</v>
      </c>
      <c r="H3" s="1238"/>
      <c r="I3" s="1239">
        <v>112899</v>
      </c>
      <c r="J3" s="1239">
        <v>0</v>
      </c>
      <c r="K3" s="1239">
        <v>112899</v>
      </c>
      <c r="L3" s="150">
        <f t="shared" si="0"/>
        <v>20</v>
      </c>
      <c r="M3" s="151" t="str">
        <f t="shared" si="1"/>
        <v>PROFIT/PERTES FEVRIER</v>
      </c>
      <c r="N3" s="152">
        <f>+IF(OR($Q3=Parametres!$G$2,$Q3=Parametres!$G$3),I3,C3)</f>
        <v>112899</v>
      </c>
      <c r="O3" s="569">
        <f>+IF(OR($Q3=Parametres!$G$2,$Q3=Parametres!$G$3),J3,D3)</f>
        <v>0</v>
      </c>
      <c r="P3" s="152">
        <f>+IF(OR($Q3=Parametres!$G$2,$Q3=Parametres!$G$3),K3,E3)</f>
        <v>112899</v>
      </c>
      <c r="Q3" s="151" t="str">
        <f t="shared" si="2"/>
        <v>1-Mémo</v>
      </c>
      <c r="R3" s="150" t="str">
        <f t="shared" si="2"/>
        <v>1</v>
      </c>
      <c r="S3" s="151">
        <f t="shared" si="2"/>
        <v>0</v>
      </c>
      <c r="T3" s="153">
        <f>+VLOOKUP($L3,Data_Validation!$A:$D,1,0)</f>
        <v>20</v>
      </c>
      <c r="U3" s="153">
        <f>+VLOOKUP($L3,Data_Validation!$A:$D,3,0)</f>
        <v>0</v>
      </c>
      <c r="V3" s="153">
        <f>+VLOOKUP($L3,Data_Validation!$A:$D,4,0)</f>
        <v>0</v>
      </c>
      <c r="W3" s="153">
        <f>+VLOOKUP($L3,Data_Validation!$A:$E,5,0)</f>
        <v>0</v>
      </c>
      <c r="X3" s="153">
        <f>+VLOOKUP($L3,Data_Validation!$A:$F,6,0)</f>
        <v>0</v>
      </c>
    </row>
    <row r="4" spans="1:24" ht="15" customHeight="1">
      <c r="A4" s="1236" t="s">
        <v>2203</v>
      </c>
      <c r="B4" s="1237">
        <v>30</v>
      </c>
      <c r="C4" s="1238"/>
      <c r="D4" s="1238"/>
      <c r="E4" s="1238"/>
      <c r="F4" s="1236" t="s">
        <v>1</v>
      </c>
      <c r="G4" s="1236" t="s">
        <v>2200</v>
      </c>
      <c r="H4" s="1238"/>
      <c r="I4" s="1239">
        <v>227808</v>
      </c>
      <c r="J4" s="1239">
        <v>0</v>
      </c>
      <c r="K4" s="1239">
        <v>227808</v>
      </c>
      <c r="L4" s="150">
        <f t="shared" si="0"/>
        <v>30</v>
      </c>
      <c r="M4" s="151" t="str">
        <f t="shared" si="1"/>
        <v>PROFIT/PERTES MARS</v>
      </c>
      <c r="N4" s="152">
        <f>+IF(OR($Q4=Parametres!$G$2,$Q4=Parametres!$G$3),I4,C4)</f>
        <v>227808</v>
      </c>
      <c r="O4" s="569">
        <f>+IF(OR($Q4=Parametres!$G$2,$Q4=Parametres!$G$3),J4,D4)</f>
        <v>0</v>
      </c>
      <c r="P4" s="152">
        <f>+IF(OR($Q4=Parametres!$G$2,$Q4=Parametres!$G$3),K4,E4)</f>
        <v>227808</v>
      </c>
      <c r="Q4" s="151" t="str">
        <f t="shared" si="2"/>
        <v>1-Mémo</v>
      </c>
      <c r="R4" s="150" t="str">
        <f t="shared" si="2"/>
        <v>1</v>
      </c>
      <c r="S4" s="151">
        <f t="shared" si="2"/>
        <v>0</v>
      </c>
      <c r="T4" s="153">
        <f>+VLOOKUP($L4,Data_Validation!$A:$D,1,0)</f>
        <v>30</v>
      </c>
      <c r="U4" s="153">
        <f>+VLOOKUP($L4,Data_Validation!$A:$D,3,0)</f>
        <v>0</v>
      </c>
      <c r="V4" s="153">
        <f>+VLOOKUP($L4,Data_Validation!$A:$D,4,0)</f>
        <v>0</v>
      </c>
      <c r="W4" s="153">
        <f>+VLOOKUP($L4,Data_Validation!$A:$E,5,0)</f>
        <v>0</v>
      </c>
      <c r="X4" s="153">
        <f>+VLOOKUP($L4,Data_Validation!$A:$F,6,0)</f>
        <v>0</v>
      </c>
    </row>
    <row r="5" spans="1:24" ht="15.75" customHeight="1">
      <c r="A5" s="1236" t="s">
        <v>2205</v>
      </c>
      <c r="B5" s="1237">
        <v>40</v>
      </c>
      <c r="C5" s="1238"/>
      <c r="D5" s="1238"/>
      <c r="E5" s="1238"/>
      <c r="F5" s="1236" t="s">
        <v>1</v>
      </c>
      <c r="G5" s="1236" t="s">
        <v>2200</v>
      </c>
      <c r="H5" s="1238"/>
      <c r="I5" s="1239">
        <v>187231.25</v>
      </c>
      <c r="J5" s="1239">
        <v>0</v>
      </c>
      <c r="K5" s="1239">
        <v>187231.25</v>
      </c>
      <c r="L5" s="150">
        <f t="shared" si="0"/>
        <v>40</v>
      </c>
      <c r="M5" s="151" t="str">
        <f t="shared" si="1"/>
        <v>PROFIT/PERTES AVRIL</v>
      </c>
      <c r="N5" s="152">
        <f>+IF(OR($Q5=Parametres!$G$2,$Q5=Parametres!$G$3),I5,C5)</f>
        <v>187231.25</v>
      </c>
      <c r="O5" s="569">
        <f>+IF(OR($Q5=Parametres!$G$2,$Q5=Parametres!$G$3),J5,D5)</f>
        <v>0</v>
      </c>
      <c r="P5" s="152">
        <f>+IF(OR($Q5=Parametres!$G$2,$Q5=Parametres!$G$3),K5,E5)</f>
        <v>187231.25</v>
      </c>
      <c r="Q5" s="151" t="str">
        <f t="shared" si="2"/>
        <v>1-Mémo</v>
      </c>
      <c r="R5" s="150" t="str">
        <f t="shared" si="2"/>
        <v>1</v>
      </c>
      <c r="S5" s="151">
        <f t="shared" si="2"/>
        <v>0</v>
      </c>
      <c r="T5" s="153">
        <f>+VLOOKUP($L5,Data_Validation!$A:$D,1,0)</f>
        <v>40</v>
      </c>
      <c r="U5" s="153">
        <f>+VLOOKUP($L5,Data_Validation!$A:$D,3,0)</f>
        <v>0</v>
      </c>
      <c r="V5" s="153">
        <f>+VLOOKUP($L5,Data_Validation!$A:$D,4,0)</f>
        <v>0</v>
      </c>
      <c r="W5" s="153">
        <f>+VLOOKUP($L5,Data_Validation!$A:$E,5,0)</f>
        <v>0</v>
      </c>
      <c r="X5" s="153">
        <f>+VLOOKUP($L5,Data_Validation!$A:$F,6,0)</f>
        <v>0</v>
      </c>
    </row>
    <row r="6" spans="1:24" ht="15.75" customHeight="1">
      <c r="A6" s="1236" t="s">
        <v>2221</v>
      </c>
      <c r="B6" s="1237">
        <v>229</v>
      </c>
      <c r="C6" s="1238"/>
      <c r="D6" s="1238"/>
      <c r="E6" s="1238"/>
      <c r="F6" s="1236" t="s">
        <v>1</v>
      </c>
      <c r="G6" s="1236" t="s">
        <v>2223</v>
      </c>
      <c r="H6" s="1238"/>
      <c r="I6" s="1239">
        <v>2.44</v>
      </c>
      <c r="J6" s="1239">
        <v>0</v>
      </c>
      <c r="K6" s="1239">
        <v>2.44</v>
      </c>
      <c r="L6" s="150">
        <f t="shared" si="0"/>
        <v>229</v>
      </c>
      <c r="M6" s="151" t="str">
        <f t="shared" si="1"/>
        <v>CUMUL. VIS. CARR. VW</v>
      </c>
      <c r="N6" s="152">
        <f>+IF(OR($Q6=Parametres!$G$2,$Q6=Parametres!$G$3),I6,C6)</f>
        <v>2.44</v>
      </c>
      <c r="O6" s="152">
        <f>+IF(OR($Q6=Parametres!$G$2,$Q6=Parametres!$G$3),J6,D6)</f>
        <v>0</v>
      </c>
      <c r="P6" s="152">
        <f>+IF(OR($Q6=Parametres!$G$2,$Q6=Parametres!$G$3),K6,E6)</f>
        <v>2.44</v>
      </c>
      <c r="Q6" s="151" t="str">
        <f t="shared" si="2"/>
        <v>1-Mémo</v>
      </c>
      <c r="R6" s="150" t="str">
        <f t="shared" si="2"/>
        <v>23</v>
      </c>
      <c r="S6" s="151">
        <f t="shared" si="2"/>
        <v>0</v>
      </c>
      <c r="T6" s="153">
        <f>+VLOOKUP($L6,Data_Validation!$A:$D,1,0)</f>
        <v>229</v>
      </c>
      <c r="U6" s="153">
        <f>+VLOOKUP($L6,Data_Validation!$A:$D,3,0)</f>
        <v>0</v>
      </c>
      <c r="V6" s="153">
        <f>+VLOOKUP($L6,Data_Validation!$A:$D,4,0)</f>
        <v>0</v>
      </c>
      <c r="W6" s="153">
        <f>+VLOOKUP($L6,Data_Validation!$A:$E,5,0)</f>
        <v>0</v>
      </c>
      <c r="X6" s="153">
        <f>+VLOOKUP($L6,Data_Validation!$A:$F,6,0)</f>
        <v>0</v>
      </c>
    </row>
    <row r="7" spans="1:24" ht="15" customHeight="1">
      <c r="A7" s="1236" t="s">
        <v>2224</v>
      </c>
      <c r="B7" s="1237">
        <v>230</v>
      </c>
      <c r="C7" s="1238"/>
      <c r="D7" s="1238"/>
      <c r="E7" s="1238"/>
      <c r="F7" s="1236" t="s">
        <v>1</v>
      </c>
      <c r="G7" s="1236" t="s">
        <v>2223</v>
      </c>
      <c r="H7" s="1238"/>
      <c r="I7" s="1239">
        <v>37.229999999999997</v>
      </c>
      <c r="J7" s="1239">
        <v>0</v>
      </c>
      <c r="K7" s="1239">
        <v>37.229999999999997</v>
      </c>
      <c r="L7" s="150">
        <f t="shared" si="0"/>
        <v>230</v>
      </c>
      <c r="M7" s="151" t="str">
        <f t="shared" si="1"/>
        <v>CUMUL. VIS. VEH. SERV. VW</v>
      </c>
      <c r="N7" s="152">
        <f>+IF(OR($Q7=Parametres!$G$2,$Q7=Parametres!$G$3),I7,C7)</f>
        <v>37.229999999999997</v>
      </c>
      <c r="O7" s="569">
        <f>+IF(OR($Q7=Parametres!$G$2,$Q7=Parametres!$G$3),J7,D7)</f>
        <v>0</v>
      </c>
      <c r="P7" s="152">
        <f>+IF(OR($Q7=Parametres!$G$2,$Q7=Parametres!$G$3),K7,E7)</f>
        <v>37.229999999999997</v>
      </c>
      <c r="Q7" s="151" t="str">
        <f t="shared" si="2"/>
        <v>1-Mémo</v>
      </c>
      <c r="R7" s="150" t="str">
        <f t="shared" si="2"/>
        <v>23</v>
      </c>
      <c r="S7" s="151">
        <f t="shared" si="2"/>
        <v>0</v>
      </c>
      <c r="T7" s="153">
        <f>+VLOOKUP($L7,Data_Validation!$A:$D,1,0)</f>
        <v>230</v>
      </c>
      <c r="U7" s="153">
        <f>+VLOOKUP($L7,Data_Validation!$A:$D,3,0)</f>
        <v>0</v>
      </c>
      <c r="V7" s="153">
        <f>+VLOOKUP($L7,Data_Validation!$A:$D,4,0)</f>
        <v>0</v>
      </c>
      <c r="W7" s="153" t="str">
        <f>+VLOOKUP($L7,Data_Validation!$A:$E,5,0)</f>
        <v>$</v>
      </c>
      <c r="X7" s="153">
        <f>+VLOOKUP($L7,Data_Validation!$A:$F,6,0)</f>
        <v>0</v>
      </c>
    </row>
    <row r="8" spans="1:24" ht="15" customHeight="1">
      <c r="A8" s="1236" t="s">
        <v>2226</v>
      </c>
      <c r="B8" s="1237">
        <v>234</v>
      </c>
      <c r="C8" s="1238"/>
      <c r="D8" s="1238"/>
      <c r="E8" s="1238"/>
      <c r="F8" s="1236" t="s">
        <v>1</v>
      </c>
      <c r="G8" s="1236" t="s">
        <v>2223</v>
      </c>
      <c r="H8" s="1238"/>
      <c r="I8" s="1239">
        <v>59.37</v>
      </c>
      <c r="J8" s="1239">
        <v>0</v>
      </c>
      <c r="K8" s="1239">
        <v>59.37</v>
      </c>
      <c r="L8" s="150">
        <f t="shared" si="0"/>
        <v>234</v>
      </c>
      <c r="M8" s="151" t="str">
        <f t="shared" si="1"/>
        <v>TOTAL HRES PROD. SERVICE</v>
      </c>
      <c r="N8" s="152">
        <f>+IF(OR($Q8=Parametres!$G$2,$Q8=Parametres!$G$3),I8,C8)</f>
        <v>59.37</v>
      </c>
      <c r="O8" s="569">
        <f>+IF(OR($Q8=Parametres!$G$2,$Q8=Parametres!$G$3),J8,D8)</f>
        <v>0</v>
      </c>
      <c r="P8" s="152">
        <f>+IF(OR($Q8=Parametres!$G$2,$Q8=Parametres!$G$3),K8,E8)</f>
        <v>59.37</v>
      </c>
      <c r="Q8" s="151" t="str">
        <f t="shared" si="2"/>
        <v>1-Mémo</v>
      </c>
      <c r="R8" s="150" t="str">
        <f t="shared" si="2"/>
        <v>23</v>
      </c>
      <c r="S8" s="151">
        <f t="shared" si="2"/>
        <v>0</v>
      </c>
      <c r="T8" s="153">
        <f>+VLOOKUP($L8,Data_Validation!$A:$D,1,0)</f>
        <v>234</v>
      </c>
      <c r="U8" s="153">
        <f>+VLOOKUP($L8,Data_Validation!$A:$D,3,0)</f>
        <v>0</v>
      </c>
      <c r="V8" s="153">
        <f>+VLOOKUP($L8,Data_Validation!$A:$D,4,0)</f>
        <v>0</v>
      </c>
      <c r="W8" s="153">
        <f>+VLOOKUP($L8,Data_Validation!$A:$E,5,0)</f>
        <v>0</v>
      </c>
      <c r="X8" s="153">
        <f>+VLOOKUP($L8,Data_Validation!$A:$F,6,0)</f>
        <v>0</v>
      </c>
    </row>
    <row r="9" spans="1:24" ht="15" customHeight="1">
      <c r="A9" s="1236" t="s">
        <v>2228</v>
      </c>
      <c r="B9" s="1237">
        <v>236</v>
      </c>
      <c r="C9" s="1238"/>
      <c r="D9" s="1238"/>
      <c r="E9" s="1238"/>
      <c r="F9" s="1236" t="s">
        <v>1</v>
      </c>
      <c r="G9" s="1236" t="s">
        <v>2223</v>
      </c>
      <c r="H9" s="1238"/>
      <c r="I9" s="1239">
        <v>59.95</v>
      </c>
      <c r="J9" s="1239">
        <v>0</v>
      </c>
      <c r="K9" s="1239">
        <v>59.95</v>
      </c>
      <c r="L9" s="150">
        <f t="shared" si="0"/>
        <v>236</v>
      </c>
      <c r="M9" s="151" t="str">
        <f t="shared" si="1"/>
        <v>HEURES VENDU VW - SERVICE</v>
      </c>
      <c r="N9" s="152">
        <f>+IF(OR($Q9=Parametres!$G$2,$Q9=Parametres!$G$3),I9,C9)</f>
        <v>59.95</v>
      </c>
      <c r="O9" s="569">
        <f>+IF(OR($Q9=Parametres!$G$2,$Q9=Parametres!$G$3),J9,D9)</f>
        <v>0</v>
      </c>
      <c r="P9" s="152">
        <f>+IF(OR($Q9=Parametres!$G$2,$Q9=Parametres!$G$3),K9,E9)</f>
        <v>59.95</v>
      </c>
      <c r="Q9" s="151" t="str">
        <f t="shared" si="2"/>
        <v>1-Mémo</v>
      </c>
      <c r="R9" s="150" t="str">
        <f t="shared" si="2"/>
        <v>23</v>
      </c>
      <c r="S9" s="151">
        <f t="shared" si="2"/>
        <v>0</v>
      </c>
      <c r="T9" s="153">
        <f>+VLOOKUP($L9,Data_Validation!$A:$D,1,0)</f>
        <v>236</v>
      </c>
      <c r="U9" s="153">
        <f>+VLOOKUP($L9,Data_Validation!$A:$D,3,0)</f>
        <v>0</v>
      </c>
      <c r="V9" s="153">
        <f>+VLOOKUP($L9,Data_Validation!$A:$D,4,0)</f>
        <v>0</v>
      </c>
      <c r="W9" s="153">
        <f>+VLOOKUP($L9,Data_Validation!$A:$E,5,0)</f>
        <v>0</v>
      </c>
      <c r="X9" s="153">
        <f>+VLOOKUP($L9,Data_Validation!$A:$F,6,0)</f>
        <v>0</v>
      </c>
    </row>
    <row r="10" spans="1:24" ht="15" customHeight="1">
      <c r="A10" s="1236" t="s">
        <v>2230</v>
      </c>
      <c r="B10" s="1237">
        <v>238</v>
      </c>
      <c r="C10" s="1238"/>
      <c r="D10" s="1238"/>
      <c r="E10" s="1238"/>
      <c r="F10" s="1236" t="s">
        <v>1</v>
      </c>
      <c r="G10" s="1236" t="s">
        <v>2223</v>
      </c>
      <c r="H10" s="1238"/>
      <c r="I10" s="1239">
        <v>63.7</v>
      </c>
      <c r="J10" s="1239">
        <v>0</v>
      </c>
      <c r="K10" s="1239">
        <v>63.7</v>
      </c>
      <c r="L10" s="150">
        <f t="shared" si="0"/>
        <v>238</v>
      </c>
      <c r="M10" s="151" t="str">
        <f t="shared" si="1"/>
        <v>TOT. HEURES DISP. SERVICE</v>
      </c>
      <c r="N10" s="152">
        <f>+IF(OR($Q10=Parametres!$G$2,$Q10=Parametres!$G$3),I10,C10)</f>
        <v>63.7</v>
      </c>
      <c r="O10" s="570">
        <f>+IF(OR($Q10=Parametres!$G$2,$Q10=Parametres!$G$3),J10,D10)</f>
        <v>0</v>
      </c>
      <c r="P10" s="152">
        <f>+IF(OR($Q10=Parametres!$G$2,$Q10=Parametres!$G$3),K10,E10)</f>
        <v>63.7</v>
      </c>
      <c r="Q10" s="151" t="str">
        <f t="shared" si="2"/>
        <v>1-Mémo</v>
      </c>
      <c r="R10" s="150" t="str">
        <f t="shared" si="2"/>
        <v>23</v>
      </c>
      <c r="S10" s="151">
        <f t="shared" si="2"/>
        <v>0</v>
      </c>
      <c r="T10" s="153">
        <f>+VLOOKUP($L10,Data_Validation!$A:$D,1,0)</f>
        <v>238</v>
      </c>
      <c r="U10" s="153">
        <f>+VLOOKUP($L10,Data_Validation!$A:$D,3,0)</f>
        <v>0</v>
      </c>
      <c r="V10" s="153">
        <f>+VLOOKUP($L10,Data_Validation!$A:$D,4,0)</f>
        <v>0</v>
      </c>
      <c r="W10" s="153">
        <f>+VLOOKUP($L10,Data_Validation!$A:$E,5,0)</f>
        <v>0</v>
      </c>
      <c r="X10" s="153">
        <f>+VLOOKUP($L10,Data_Validation!$A:$F,6,0)</f>
        <v>0</v>
      </c>
    </row>
    <row r="11" spans="1:24" ht="15" customHeight="1">
      <c r="A11" s="1236" t="s">
        <v>2232</v>
      </c>
      <c r="B11" s="1237">
        <v>243</v>
      </c>
      <c r="C11" s="1238"/>
      <c r="D11" s="1238"/>
      <c r="E11" s="1238"/>
      <c r="F11" s="1236" t="s">
        <v>1</v>
      </c>
      <c r="G11" s="1236" t="s">
        <v>2234</v>
      </c>
      <c r="H11" s="1238"/>
      <c r="I11" s="1239">
        <v>134.94999999999999</v>
      </c>
      <c r="J11" s="1239">
        <v>0</v>
      </c>
      <c r="K11" s="1239">
        <v>134.94999999999999</v>
      </c>
      <c r="L11" s="150">
        <f t="shared" si="0"/>
        <v>243</v>
      </c>
      <c r="M11" s="151" t="str">
        <f t="shared" si="1"/>
        <v>TAUX M/O CLIENT VW</v>
      </c>
      <c r="N11" s="152">
        <f>+IF(OR($Q11=Parametres!$G$2,$Q11=Parametres!$G$3),I11,C11)</f>
        <v>134.94999999999999</v>
      </c>
      <c r="O11" s="152">
        <f>+IF(OR($Q11=Parametres!$G$2,$Q11=Parametres!$G$3),J11,D11)</f>
        <v>0</v>
      </c>
      <c r="P11" s="152">
        <f>+IF(OR($Q11=Parametres!$G$2,$Q11=Parametres!$G$3),K11,E11)</f>
        <v>134.94999999999999</v>
      </c>
      <c r="Q11" s="151" t="str">
        <f t="shared" si="2"/>
        <v>1-Mémo</v>
      </c>
      <c r="R11" s="150" t="str">
        <f t="shared" si="2"/>
        <v>24</v>
      </c>
      <c r="S11" s="151">
        <f t="shared" si="2"/>
        <v>0</v>
      </c>
      <c r="T11" s="153">
        <f>+VLOOKUP($L11,Data_Validation!$A:$D,1,0)</f>
        <v>243</v>
      </c>
      <c r="U11" s="153">
        <f>+VLOOKUP($L11,Data_Validation!$A:$D,3,0)</f>
        <v>0</v>
      </c>
      <c r="V11" s="153">
        <f>+VLOOKUP($L11,Data_Validation!$A:$D,4,0)</f>
        <v>0</v>
      </c>
      <c r="W11" s="153">
        <f>+VLOOKUP($L11,Data_Validation!$A:$E,5,0)</f>
        <v>0</v>
      </c>
      <c r="X11" s="153">
        <f>+VLOOKUP($L11,Data_Validation!$A:$F,6,0)</f>
        <v>0</v>
      </c>
    </row>
    <row r="12" spans="1:24" ht="15" customHeight="1">
      <c r="A12" s="1236" t="s">
        <v>2235</v>
      </c>
      <c r="B12" s="1237">
        <v>244</v>
      </c>
      <c r="C12" s="1238"/>
      <c r="D12" s="1238"/>
      <c r="E12" s="1238"/>
      <c r="F12" s="1236" t="s">
        <v>1</v>
      </c>
      <c r="G12" s="1236" t="s">
        <v>2234</v>
      </c>
      <c r="H12" s="1238"/>
      <c r="I12" s="1239">
        <v>119.44</v>
      </c>
      <c r="J12" s="1239">
        <v>0</v>
      </c>
      <c r="K12" s="1239">
        <v>119.44</v>
      </c>
      <c r="L12" s="150">
        <f t="shared" si="0"/>
        <v>244</v>
      </c>
      <c r="M12" s="151" t="str">
        <f t="shared" si="1"/>
        <v>TAUX M/O GARANTIE VW</v>
      </c>
      <c r="N12" s="152">
        <f>+IF(OR($Q12=Parametres!$G$2,$Q12=Parametres!$G$3),I12,C12)</f>
        <v>119.44</v>
      </c>
      <c r="O12" s="152">
        <f>+IF(OR($Q12=Parametres!$G$2,$Q12=Parametres!$G$3),J12,D12)</f>
        <v>0</v>
      </c>
      <c r="P12" s="152">
        <f>+IF(OR($Q12=Parametres!$G$2,$Q12=Parametres!$G$3),K12,E12)</f>
        <v>119.44</v>
      </c>
      <c r="Q12" s="151" t="str">
        <f t="shared" si="2"/>
        <v>1-Mémo</v>
      </c>
      <c r="R12" s="150" t="str">
        <f t="shared" si="2"/>
        <v>24</v>
      </c>
      <c r="S12" s="151">
        <f t="shared" si="2"/>
        <v>0</v>
      </c>
      <c r="T12" s="153">
        <f>+VLOOKUP($L12,Data_Validation!$A:$D,1,0)</f>
        <v>244</v>
      </c>
      <c r="U12" s="153">
        <f>+VLOOKUP($L12,Data_Validation!$A:$D,3,0)</f>
        <v>0</v>
      </c>
      <c r="V12" s="153">
        <f>+VLOOKUP($L12,Data_Validation!$A:$D,4,0)</f>
        <v>0</v>
      </c>
      <c r="W12" s="153">
        <f>+VLOOKUP($L12,Data_Validation!$A:$E,5,0)</f>
        <v>0</v>
      </c>
      <c r="X12" s="153">
        <f>+VLOOKUP($L12,Data_Validation!$A:$F,6,0)</f>
        <v>0</v>
      </c>
    </row>
    <row r="13" spans="1:24" ht="15" customHeight="1">
      <c r="A13" s="1236" t="s">
        <v>2237</v>
      </c>
      <c r="B13" s="1237">
        <v>245</v>
      </c>
      <c r="C13" s="1238"/>
      <c r="D13" s="1238"/>
      <c r="E13" s="1238"/>
      <c r="F13" s="1236" t="s">
        <v>1</v>
      </c>
      <c r="G13" s="1236" t="s">
        <v>2234</v>
      </c>
      <c r="H13" s="1238"/>
      <c r="I13" s="1239">
        <v>134.94999999999999</v>
      </c>
      <c r="J13" s="1239">
        <v>0</v>
      </c>
      <c r="K13" s="1239">
        <v>134.94999999999999</v>
      </c>
      <c r="L13" s="150">
        <f t="shared" si="0"/>
        <v>245</v>
      </c>
      <c r="M13" s="151" t="str">
        <f t="shared" si="1"/>
        <v>TAUX M/O INTERNE VW</v>
      </c>
      <c r="N13" s="152">
        <f>+IF(OR($Q13=Parametres!$G$2,$Q13=Parametres!$G$3),I13,C13)</f>
        <v>134.94999999999999</v>
      </c>
      <c r="O13" s="569">
        <f>+IF(OR($Q13=Parametres!$G$2,$Q13=Parametres!$G$3),J13,D13)</f>
        <v>0</v>
      </c>
      <c r="P13" s="152">
        <f>+IF(OR($Q13=Parametres!$G$2,$Q13=Parametres!$G$3),K13,E13)</f>
        <v>134.94999999999999</v>
      </c>
      <c r="Q13" s="151" t="str">
        <f t="shared" si="2"/>
        <v>1-Mémo</v>
      </c>
      <c r="R13" s="150" t="str">
        <f t="shared" si="2"/>
        <v>24</v>
      </c>
      <c r="S13" s="151">
        <f t="shared" si="2"/>
        <v>0</v>
      </c>
      <c r="T13" s="153">
        <f>+VLOOKUP($L13,Data_Validation!$A:$D,1,0)</f>
        <v>245</v>
      </c>
      <c r="U13" s="153">
        <f>+VLOOKUP($L13,Data_Validation!$A:$D,3,0)</f>
        <v>0</v>
      </c>
      <c r="V13" s="153">
        <f>+VLOOKUP($L13,Data_Validation!$A:$D,4,0)</f>
        <v>0</v>
      </c>
      <c r="W13" s="153">
        <f>+VLOOKUP($L13,Data_Validation!$A:$E,5,0)</f>
        <v>0</v>
      </c>
      <c r="X13" s="153">
        <f>+VLOOKUP($L13,Data_Validation!$A:$F,6,0)</f>
        <v>0</v>
      </c>
    </row>
    <row r="14" spans="1:24" ht="15" customHeight="1">
      <c r="A14" s="1236" t="s">
        <v>2239</v>
      </c>
      <c r="B14" s="1237">
        <v>246</v>
      </c>
      <c r="C14" s="1238"/>
      <c r="D14" s="1238"/>
      <c r="E14" s="1238"/>
      <c r="F14" s="1236" t="s">
        <v>1</v>
      </c>
      <c r="G14" s="1236" t="s">
        <v>2234</v>
      </c>
      <c r="H14" s="1238"/>
      <c r="I14" s="1239">
        <v>60</v>
      </c>
      <c r="J14" s="1239">
        <v>0</v>
      </c>
      <c r="K14" s="1239">
        <v>60</v>
      </c>
      <c r="L14" s="150">
        <f t="shared" si="0"/>
        <v>246</v>
      </c>
      <c r="M14" s="151" t="str">
        <f t="shared" si="1"/>
        <v>TAUX M/O CARR. VW</v>
      </c>
      <c r="N14" s="152">
        <f>+IF(OR($Q14=Parametres!$G$2,$Q14=Parametres!$G$3),I14,C14)</f>
        <v>60</v>
      </c>
      <c r="O14" s="569">
        <f>+IF(OR($Q14=Parametres!$G$2,$Q14=Parametres!$G$3),J14,D14)</f>
        <v>0</v>
      </c>
      <c r="P14" s="152">
        <f>+IF(OR($Q14=Parametres!$G$2,$Q14=Parametres!$G$3),K14,E14)</f>
        <v>60</v>
      </c>
      <c r="Q14" s="151" t="str">
        <f t="shared" si="2"/>
        <v>1-Mémo</v>
      </c>
      <c r="R14" s="150" t="str">
        <f t="shared" si="2"/>
        <v>24</v>
      </c>
      <c r="S14" s="151">
        <f t="shared" si="2"/>
        <v>0</v>
      </c>
      <c r="T14" s="153">
        <f>+VLOOKUP($L14,Data_Validation!$A:$D,1,0)</f>
        <v>246</v>
      </c>
      <c r="U14" s="153">
        <f>+VLOOKUP($L14,Data_Validation!$A:$D,3,0)</f>
        <v>0</v>
      </c>
      <c r="V14" s="153">
        <f>+VLOOKUP($L14,Data_Validation!$A:$D,4,0)</f>
        <v>0</v>
      </c>
      <c r="W14" s="153">
        <f>+VLOOKUP($L14,Data_Validation!$A:$E,5,0)</f>
        <v>0</v>
      </c>
      <c r="X14" s="153">
        <f>+VLOOKUP($L14,Data_Validation!$A:$F,6,0)</f>
        <v>0</v>
      </c>
    </row>
    <row r="15" spans="1:24" ht="15" customHeight="1">
      <c r="A15" s="1236" t="s">
        <v>2241</v>
      </c>
      <c r="B15" s="1237">
        <v>255</v>
      </c>
      <c r="C15" s="1238"/>
      <c r="D15" s="1238"/>
      <c r="E15" s="1238"/>
      <c r="F15" s="1236" t="s">
        <v>1</v>
      </c>
      <c r="G15" s="1236" t="s">
        <v>2242</v>
      </c>
      <c r="H15" s="1238"/>
      <c r="I15" s="1239">
        <v>0.08</v>
      </c>
      <c r="J15" s="1239">
        <v>0</v>
      </c>
      <c r="K15" s="1239">
        <v>0.08</v>
      </c>
      <c r="L15" s="150">
        <f t="shared" si="0"/>
        <v>255</v>
      </c>
      <c r="M15" s="151" t="str">
        <f t="shared" si="1"/>
        <v>BAIES TRAVAIL PRODUCTIVES - SERVICE VW</v>
      </c>
      <c r="N15" s="152">
        <f>+IF(OR($Q15=Parametres!$G$2,$Q15=Parametres!$G$3),I15,C15)</f>
        <v>0.08</v>
      </c>
      <c r="O15" s="569">
        <f>+IF(OR($Q15=Parametres!$G$2,$Q15=Parametres!$G$3),J15,D15)</f>
        <v>0</v>
      </c>
      <c r="P15" s="152">
        <f>+IF(OR($Q15=Parametres!$G$2,$Q15=Parametres!$G$3),K15,E15)</f>
        <v>0.08</v>
      </c>
      <c r="Q15" s="151" t="str">
        <f t="shared" si="2"/>
        <v>1-Mémo</v>
      </c>
      <c r="R15" s="150" t="str">
        <f t="shared" si="2"/>
        <v>255</v>
      </c>
      <c r="S15" s="151">
        <f t="shared" si="2"/>
        <v>0</v>
      </c>
      <c r="T15" s="153">
        <f>+VLOOKUP($L15,Data_Validation!$A:$D,1,0)</f>
        <v>255</v>
      </c>
      <c r="U15" s="153">
        <f>+VLOOKUP($L15,Data_Validation!$A:$D,3,0)</f>
        <v>0</v>
      </c>
      <c r="V15" s="153">
        <f>+VLOOKUP($L15,Data_Validation!$A:$D,4,0)</f>
        <v>0</v>
      </c>
      <c r="W15" s="153">
        <f>+VLOOKUP($L15,Data_Validation!$A:$E,5,0)</f>
        <v>0</v>
      </c>
      <c r="X15" s="153">
        <f>+VLOOKUP($L15,Data_Validation!$A:$F,6,0)</f>
        <v>0</v>
      </c>
    </row>
    <row r="16" spans="1:24" ht="15" customHeight="1">
      <c r="A16" s="1236" t="s">
        <v>2243</v>
      </c>
      <c r="B16" s="1237">
        <v>257</v>
      </c>
      <c r="C16" s="1238"/>
      <c r="D16" s="1238"/>
      <c r="E16" s="1238"/>
      <c r="F16" s="1236" t="s">
        <v>1</v>
      </c>
      <c r="G16" s="1236" t="s">
        <v>2244</v>
      </c>
      <c r="H16" s="1238"/>
      <c r="I16" s="1239">
        <v>2512.0100000000002</v>
      </c>
      <c r="J16" s="1239">
        <v>0</v>
      </c>
      <c r="K16" s="1239">
        <v>2512.0100000000002</v>
      </c>
      <c r="L16" s="150">
        <f t="shared" si="0"/>
        <v>257</v>
      </c>
      <c r="M16" s="151" t="str">
        <f t="shared" si="1"/>
        <v>HEURES VENDUES - SERVICE - CLIENT VW</v>
      </c>
      <c r="N16" s="152">
        <f>+IF(OR($Q16=Parametres!$G$2,$Q16=Parametres!$G$3),I16,C16)</f>
        <v>2512.0100000000002</v>
      </c>
      <c r="O16" s="569">
        <f>+IF(OR($Q16=Parametres!$G$2,$Q16=Parametres!$G$3),J16,D16)</f>
        <v>0</v>
      </c>
      <c r="P16" s="152">
        <f>+IF(OR($Q16=Parametres!$G$2,$Q16=Parametres!$G$3),K16,E16)</f>
        <v>2512.0100000000002</v>
      </c>
      <c r="Q16" s="151" t="str">
        <f t="shared" si="2"/>
        <v>1-Mémo</v>
      </c>
      <c r="R16" s="150" t="str">
        <f t="shared" si="2"/>
        <v>257</v>
      </c>
      <c r="S16" s="151">
        <f t="shared" si="2"/>
        <v>0</v>
      </c>
      <c r="T16" s="153">
        <f>+VLOOKUP($L16,Data_Validation!$A:$D,1,0)</f>
        <v>257</v>
      </c>
      <c r="U16" s="153">
        <f>+VLOOKUP($L16,Data_Validation!$A:$D,3,0)</f>
        <v>0</v>
      </c>
      <c r="V16" s="153">
        <f>+VLOOKUP($L16,Data_Validation!$A:$D,4,0)</f>
        <v>0</v>
      </c>
      <c r="W16" s="153">
        <f>+VLOOKUP($L16,Data_Validation!$A:$E,5,0)</f>
        <v>0</v>
      </c>
      <c r="X16" s="153">
        <f>+VLOOKUP($L16,Data_Validation!$A:$F,6,0)</f>
        <v>0</v>
      </c>
    </row>
    <row r="17" spans="1:24" ht="15" customHeight="1">
      <c r="A17" s="1236" t="s">
        <v>2245</v>
      </c>
      <c r="B17" s="1237">
        <v>258</v>
      </c>
      <c r="C17" s="1238"/>
      <c r="D17" s="1238"/>
      <c r="E17" s="1238"/>
      <c r="F17" s="1236" t="s">
        <v>1</v>
      </c>
      <c r="G17" s="1236" t="s">
        <v>2244</v>
      </c>
      <c r="H17" s="1238"/>
      <c r="I17" s="1239">
        <v>1701.4</v>
      </c>
      <c r="J17" s="1239">
        <v>0</v>
      </c>
      <c r="K17" s="1239">
        <v>1701.4</v>
      </c>
      <c r="L17" s="150">
        <f t="shared" si="0"/>
        <v>258</v>
      </c>
      <c r="M17" s="151" t="str">
        <f t="shared" si="1"/>
        <v>HEURES VENDUES - SERVICE - GARANTIE VW</v>
      </c>
      <c r="N17" s="152">
        <f>+IF(OR($Q17=Parametres!$G$2,$Q17=Parametres!$G$3),I17,C17)</f>
        <v>1701.4</v>
      </c>
      <c r="O17" s="569">
        <f>+IF(OR($Q17=Parametres!$G$2,$Q17=Parametres!$G$3),J17,D17)</f>
        <v>0</v>
      </c>
      <c r="P17" s="152">
        <f>+IF(OR($Q17=Parametres!$G$2,$Q17=Parametres!$G$3),K17,E17)</f>
        <v>1701.4</v>
      </c>
      <c r="Q17" s="151" t="str">
        <f t="shared" si="2"/>
        <v>1-Mémo</v>
      </c>
      <c r="R17" s="150" t="str">
        <f t="shared" si="2"/>
        <v>257</v>
      </c>
      <c r="S17" s="151">
        <f t="shared" si="2"/>
        <v>0</v>
      </c>
      <c r="T17" s="153">
        <f>+VLOOKUP($L17,Data_Validation!$A:$D,1,0)</f>
        <v>258</v>
      </c>
      <c r="U17" s="153">
        <f>+VLOOKUP($L17,Data_Validation!$A:$D,3,0)</f>
        <v>0</v>
      </c>
      <c r="V17" s="153">
        <f>+VLOOKUP($L17,Data_Validation!$A:$D,4,0)</f>
        <v>0</v>
      </c>
      <c r="W17" s="153">
        <f>+VLOOKUP($L17,Data_Validation!$A:$E,5,0)</f>
        <v>0</v>
      </c>
      <c r="X17" s="153">
        <f>+VLOOKUP($L17,Data_Validation!$A:$F,6,0)</f>
        <v>0</v>
      </c>
    </row>
    <row r="18" spans="1:24" ht="15" customHeight="1">
      <c r="A18" s="1236" t="s">
        <v>2247</v>
      </c>
      <c r="B18" s="1237">
        <v>259</v>
      </c>
      <c r="C18" s="1238"/>
      <c r="D18" s="1238"/>
      <c r="E18" s="1238"/>
      <c r="F18" s="1236" t="s">
        <v>1</v>
      </c>
      <c r="G18" s="1236" t="s">
        <v>2244</v>
      </c>
      <c r="H18" s="1238"/>
      <c r="I18" s="1239">
        <v>1780.92</v>
      </c>
      <c r="J18" s="1239">
        <v>0</v>
      </c>
      <c r="K18" s="1239">
        <v>1780.92</v>
      </c>
      <c r="L18" s="150">
        <f t="shared" si="0"/>
        <v>259</v>
      </c>
      <c r="M18" s="151" t="str">
        <f t="shared" si="1"/>
        <v>HEURES VENDUES - SERVICE - INTERNE VW</v>
      </c>
      <c r="N18" s="152">
        <f>+IF(OR($Q18=Parametres!$G$2,$Q18=Parametres!$G$3),I18,C18)</f>
        <v>1780.92</v>
      </c>
      <c r="O18" s="152">
        <f>+IF(OR($Q18=Parametres!$G$2,$Q18=Parametres!$G$3),J18,D18)</f>
        <v>0</v>
      </c>
      <c r="P18" s="152">
        <f>+IF(OR($Q18=Parametres!$G$2,$Q18=Parametres!$G$3),K18,E18)</f>
        <v>1780.92</v>
      </c>
      <c r="Q18" s="151" t="str">
        <f t="shared" ref="Q18:S33" si="3">+F18</f>
        <v>1-Mémo</v>
      </c>
      <c r="R18" s="150" t="str">
        <f t="shared" si="3"/>
        <v>257</v>
      </c>
      <c r="S18" s="151">
        <f t="shared" si="3"/>
        <v>0</v>
      </c>
      <c r="T18" s="153">
        <f>+VLOOKUP($L18,Data_Validation!$A:$D,1,0)</f>
        <v>259</v>
      </c>
      <c r="U18" s="153">
        <f>+VLOOKUP($L18,Data_Validation!$A:$D,3,0)</f>
        <v>0</v>
      </c>
      <c r="V18" s="153">
        <f>+VLOOKUP($L18,Data_Validation!$A:$D,4,0)</f>
        <v>0</v>
      </c>
      <c r="W18" s="153">
        <f>+VLOOKUP($L18,Data_Validation!$A:$E,5,0)</f>
        <v>0</v>
      </c>
      <c r="X18" s="153">
        <f>+VLOOKUP($L18,Data_Validation!$A:$F,6,0)</f>
        <v>0</v>
      </c>
    </row>
    <row r="19" spans="1:24" ht="15" customHeight="1">
      <c r="A19" s="1236" t="s">
        <v>2249</v>
      </c>
      <c r="B19" s="1237">
        <v>300</v>
      </c>
      <c r="C19" s="1238"/>
      <c r="D19" s="1238"/>
      <c r="E19" s="1238"/>
      <c r="F19" s="1236" t="s">
        <v>1</v>
      </c>
      <c r="G19" s="1236" t="s">
        <v>2204</v>
      </c>
      <c r="H19" s="1238"/>
      <c r="I19" s="1239">
        <v>-1551.8</v>
      </c>
      <c r="J19" s="1239">
        <v>0</v>
      </c>
      <c r="K19" s="1239">
        <v>-1551.8</v>
      </c>
      <c r="L19" s="150">
        <f t="shared" si="0"/>
        <v>300</v>
      </c>
      <c r="M19" s="151" t="str">
        <f t="shared" si="1"/>
        <v>REC VEH PASSE DU 30-60</v>
      </c>
      <c r="N19" s="152">
        <f>+IF(OR($Q19=Parametres!$G$2,$Q19=Parametres!$G$3),I19,C19)</f>
        <v>-1551.8</v>
      </c>
      <c r="O19" s="569">
        <f>+IF(OR($Q19=Parametres!$G$2,$Q19=Parametres!$G$3),J19,D19)</f>
        <v>0</v>
      </c>
      <c r="P19" s="152">
        <f>+IF(OR($Q19=Parametres!$G$2,$Q19=Parametres!$G$3),K19,E19)</f>
        <v>-1551.8</v>
      </c>
      <c r="Q19" s="151" t="str">
        <f t="shared" si="3"/>
        <v>1-Mémo</v>
      </c>
      <c r="R19" s="150" t="str">
        <f t="shared" si="3"/>
        <v>30</v>
      </c>
      <c r="S19" s="151">
        <f t="shared" si="3"/>
        <v>0</v>
      </c>
      <c r="T19" s="153">
        <f>+VLOOKUP($L19,Data_Validation!$A:$D,1,0)</f>
        <v>300</v>
      </c>
      <c r="U19" s="153">
        <f>+VLOOKUP($L19,Data_Validation!$A:$D,3,0)</f>
        <v>0</v>
      </c>
      <c r="V19" s="153">
        <f>+VLOOKUP($L19,Data_Validation!$A:$D,4,0)</f>
        <v>0</v>
      </c>
      <c r="W19" s="153">
        <f>+VLOOKUP($L19,Data_Validation!$A:$E,5,0)</f>
        <v>0</v>
      </c>
      <c r="X19" s="153">
        <f>+VLOOKUP($L19,Data_Validation!$A:$F,6,0)</f>
        <v>0</v>
      </c>
    </row>
    <row r="20" spans="1:24" ht="15" customHeight="1">
      <c r="A20" s="1236" t="s">
        <v>2251</v>
      </c>
      <c r="B20" s="1237">
        <v>301</v>
      </c>
      <c r="C20" s="1238"/>
      <c r="D20" s="1238"/>
      <c r="E20" s="1238"/>
      <c r="F20" s="1236" t="s">
        <v>1</v>
      </c>
      <c r="G20" s="1236" t="s">
        <v>2204</v>
      </c>
      <c r="H20" s="1238"/>
      <c r="I20" s="1239">
        <v>50127.65</v>
      </c>
      <c r="J20" s="1239">
        <v>0</v>
      </c>
      <c r="K20" s="1239">
        <v>50127.65</v>
      </c>
      <c r="L20" s="150">
        <f t="shared" si="0"/>
        <v>301</v>
      </c>
      <c r="M20" s="151" t="str">
        <f t="shared" si="1"/>
        <v>CLIENT S P ET A PASSE DU 30-60</v>
      </c>
      <c r="N20" s="152">
        <f>+IF(OR($Q20=Parametres!$G$2,$Q20=Parametres!$G$3),I20,C20)</f>
        <v>50127.65</v>
      </c>
      <c r="O20" s="569">
        <f>+IF(OR($Q20=Parametres!$G$2,$Q20=Parametres!$G$3),J20,D20)</f>
        <v>0</v>
      </c>
      <c r="P20" s="152">
        <f>+IF(OR($Q20=Parametres!$G$2,$Q20=Parametres!$G$3),K20,E20)</f>
        <v>50127.65</v>
      </c>
      <c r="Q20" s="151" t="str">
        <f t="shared" si="3"/>
        <v>1-Mémo</v>
      </c>
      <c r="R20" s="150" t="str">
        <f t="shared" si="3"/>
        <v>30</v>
      </c>
      <c r="S20" s="151">
        <f t="shared" si="3"/>
        <v>0</v>
      </c>
      <c r="T20" s="153">
        <f>+VLOOKUP($L20,Data_Validation!$A:$D,1,0)</f>
        <v>301</v>
      </c>
      <c r="U20" s="153">
        <f>+VLOOKUP($L20,Data_Validation!$A:$D,3,0)</f>
        <v>0</v>
      </c>
      <c r="V20" s="153">
        <f>+VLOOKUP($L20,Data_Validation!$A:$D,4,0)</f>
        <v>0</v>
      </c>
      <c r="W20" s="153">
        <f>+VLOOKUP($L20,Data_Validation!$A:$E,5,0)</f>
        <v>0</v>
      </c>
      <c r="X20" s="153">
        <f>+VLOOKUP($L20,Data_Validation!$A:$F,6,0)</f>
        <v>0</v>
      </c>
    </row>
    <row r="21" spans="1:24" ht="15" customHeight="1">
      <c r="A21" s="1236" t="s">
        <v>2253</v>
      </c>
      <c r="B21" s="1237">
        <v>302</v>
      </c>
      <c r="C21" s="1238"/>
      <c r="D21" s="1238"/>
      <c r="E21" s="1238"/>
      <c r="F21" s="1236" t="s">
        <v>1</v>
      </c>
      <c r="G21" s="1236" t="s">
        <v>2204</v>
      </c>
      <c r="H21" s="1238"/>
      <c r="I21" s="1239">
        <v>30585.57</v>
      </c>
      <c r="J21" s="1239">
        <v>0</v>
      </c>
      <c r="K21" s="1239">
        <v>30585.57</v>
      </c>
      <c r="L21" s="150">
        <f t="shared" si="0"/>
        <v>302</v>
      </c>
      <c r="M21" s="151" t="str">
        <f t="shared" si="1"/>
        <v>RECLAM GARANTIE VW PASSE DU 30-60</v>
      </c>
      <c r="N21" s="152">
        <f>+IF(OR($Q21=Parametres!$G$2,$Q21=Parametres!$G$3),I21,C21)</f>
        <v>30585.57</v>
      </c>
      <c r="O21" s="152">
        <f>+IF(OR($Q21=Parametres!$G$2,$Q21=Parametres!$G$3),J21,D21)</f>
        <v>0</v>
      </c>
      <c r="P21" s="152">
        <f>+IF(OR($Q21=Parametres!$G$2,$Q21=Parametres!$G$3),K21,E21)</f>
        <v>30585.57</v>
      </c>
      <c r="Q21" s="151" t="str">
        <f t="shared" si="3"/>
        <v>1-Mémo</v>
      </c>
      <c r="R21" s="150" t="str">
        <f t="shared" si="3"/>
        <v>30</v>
      </c>
      <c r="S21" s="151">
        <f t="shared" si="3"/>
        <v>0</v>
      </c>
      <c r="T21" s="153">
        <f>+VLOOKUP($L21,Data_Validation!$A:$D,1,0)</f>
        <v>302</v>
      </c>
      <c r="U21" s="153">
        <f>+VLOOKUP($L21,Data_Validation!$A:$D,3,0)</f>
        <v>0</v>
      </c>
      <c r="V21" s="153">
        <f>+VLOOKUP($L21,Data_Validation!$A:$D,4,0)</f>
        <v>0</v>
      </c>
      <c r="W21" s="153">
        <f>+VLOOKUP($L21,Data_Validation!$A:$E,5,0)</f>
        <v>0</v>
      </c>
      <c r="X21" s="153">
        <f>+VLOOKUP($L21,Data_Validation!$A:$F,6,0)</f>
        <v>0</v>
      </c>
    </row>
    <row r="22" spans="1:24" ht="15" customHeight="1">
      <c r="A22" s="1236" t="s">
        <v>2255</v>
      </c>
      <c r="B22" s="1237">
        <v>307</v>
      </c>
      <c r="C22" s="1238"/>
      <c r="D22" s="1238"/>
      <c r="E22" s="1238"/>
      <c r="F22" s="1236" t="s">
        <v>1</v>
      </c>
      <c r="G22" s="1236" t="s">
        <v>2204</v>
      </c>
      <c r="H22" s="1238"/>
      <c r="I22" s="1239">
        <v>74338.95</v>
      </c>
      <c r="J22" s="1239">
        <v>0</v>
      </c>
      <c r="K22" s="1239">
        <v>74338.95</v>
      </c>
      <c r="L22" s="150">
        <f t="shared" si="0"/>
        <v>307</v>
      </c>
      <c r="M22" s="151" t="str">
        <f t="shared" si="1"/>
        <v>AUTRE REC MANUFACTURIER VW PASSE DU 30-60</v>
      </c>
      <c r="N22" s="152">
        <f>+IF(OR($Q22=Parametres!$G$2,$Q22=Parametres!$G$3),I22,C22)</f>
        <v>74338.95</v>
      </c>
      <c r="O22" s="569">
        <f>+IF(OR($Q22=Parametres!$G$2,$Q22=Parametres!$G$3),J22,D22)</f>
        <v>0</v>
      </c>
      <c r="P22" s="152">
        <f>+IF(OR($Q22=Parametres!$G$2,$Q22=Parametres!$G$3),K22,E22)</f>
        <v>74338.95</v>
      </c>
      <c r="Q22" s="151" t="str">
        <f t="shared" si="3"/>
        <v>1-Mémo</v>
      </c>
      <c r="R22" s="150" t="str">
        <f t="shared" si="3"/>
        <v>30</v>
      </c>
      <c r="S22" s="151">
        <f t="shared" si="3"/>
        <v>0</v>
      </c>
      <c r="T22" s="153">
        <f>+VLOOKUP($L22,Data_Validation!$A:$D,1,0)</f>
        <v>307</v>
      </c>
      <c r="U22" s="153">
        <f>+VLOOKUP($L22,Data_Validation!$A:$D,3,0)</f>
        <v>0</v>
      </c>
      <c r="V22" s="153">
        <f>+VLOOKUP($L22,Data_Validation!$A:$D,4,0)</f>
        <v>0</v>
      </c>
      <c r="W22" s="153">
        <f>+VLOOKUP($L22,Data_Validation!$A:$E,5,0)</f>
        <v>0</v>
      </c>
      <c r="X22" s="153">
        <f>+VLOOKUP($L22,Data_Validation!$A:$F,6,0)</f>
        <v>0</v>
      </c>
    </row>
    <row r="23" spans="1:24" ht="15" customHeight="1">
      <c r="A23" s="1236" t="s">
        <v>2257</v>
      </c>
      <c r="B23" s="1237">
        <v>311</v>
      </c>
      <c r="C23" s="1238"/>
      <c r="D23" s="1238"/>
      <c r="E23" s="1238"/>
      <c r="F23" s="1236" t="s">
        <v>1</v>
      </c>
      <c r="G23" s="1236" t="s">
        <v>2259</v>
      </c>
      <c r="H23" s="1238"/>
      <c r="I23" s="1239">
        <v>2704.9</v>
      </c>
      <c r="J23" s="1239">
        <v>0</v>
      </c>
      <c r="K23" s="1239">
        <v>2704.9</v>
      </c>
      <c r="L23" s="150">
        <f t="shared" si="0"/>
        <v>311</v>
      </c>
      <c r="M23" s="151" t="str">
        <f t="shared" si="1"/>
        <v>CLIENT VEH PLUS DE 60</v>
      </c>
      <c r="N23" s="152">
        <f>+IF(OR($Q23=Parametres!$G$2,$Q23=Parametres!$G$3),I23,C23)</f>
        <v>2704.9</v>
      </c>
      <c r="O23" s="569">
        <f>+IF(OR($Q23=Parametres!$G$2,$Q23=Parametres!$G$3),J23,D23)</f>
        <v>0</v>
      </c>
      <c r="P23" s="152">
        <f>+IF(OR($Q23=Parametres!$G$2,$Q23=Parametres!$G$3),K23,E23)</f>
        <v>2704.9</v>
      </c>
      <c r="Q23" s="151" t="str">
        <f t="shared" si="3"/>
        <v>1-Mémo</v>
      </c>
      <c r="R23" s="150" t="str">
        <f t="shared" si="3"/>
        <v>31</v>
      </c>
      <c r="S23" s="151">
        <f t="shared" si="3"/>
        <v>0</v>
      </c>
      <c r="T23" s="153">
        <f>+VLOOKUP($L23,Data_Validation!$A:$D,1,0)</f>
        <v>311</v>
      </c>
      <c r="U23" s="153">
        <f>+VLOOKUP($L23,Data_Validation!$A:$D,3,0)</f>
        <v>0</v>
      </c>
      <c r="V23" s="153">
        <f>+VLOOKUP($L23,Data_Validation!$A:$D,4,0)</f>
        <v>0</v>
      </c>
      <c r="W23" s="153">
        <f>+VLOOKUP($L23,Data_Validation!$A:$E,5,0)</f>
        <v>0</v>
      </c>
      <c r="X23" s="153">
        <f>+VLOOKUP($L23,Data_Validation!$A:$F,6,0)</f>
        <v>0</v>
      </c>
    </row>
    <row r="24" spans="1:24" ht="15" customHeight="1">
      <c r="A24" s="1236" t="s">
        <v>2260</v>
      </c>
      <c r="B24" s="1237">
        <v>312</v>
      </c>
      <c r="C24" s="1238"/>
      <c r="D24" s="1238"/>
      <c r="E24" s="1238"/>
      <c r="F24" s="1236" t="s">
        <v>1</v>
      </c>
      <c r="G24" s="1236" t="s">
        <v>2259</v>
      </c>
      <c r="H24" s="1238"/>
      <c r="I24" s="1239">
        <v>-22960.52</v>
      </c>
      <c r="J24" s="1239">
        <v>0</v>
      </c>
      <c r="K24" s="1239">
        <v>-22960.52</v>
      </c>
      <c r="L24" s="150">
        <f t="shared" si="0"/>
        <v>312</v>
      </c>
      <c r="M24" s="151" t="str">
        <f t="shared" si="1"/>
        <v>CLIENT S P ET A PLUS DE 60</v>
      </c>
      <c r="N24" s="152">
        <f>+IF(OR($Q24=Parametres!$G$2,$Q24=Parametres!$G$3),I24,C24)</f>
        <v>-22960.52</v>
      </c>
      <c r="O24" s="569">
        <f>+IF(OR($Q24=Parametres!$G$2,$Q24=Parametres!$G$3),J24,D24)</f>
        <v>0</v>
      </c>
      <c r="P24" s="152">
        <f>+IF(OR($Q24=Parametres!$G$2,$Q24=Parametres!$G$3),K24,E24)</f>
        <v>-22960.52</v>
      </c>
      <c r="Q24" s="151" t="str">
        <f t="shared" si="3"/>
        <v>1-Mémo</v>
      </c>
      <c r="R24" s="150" t="str">
        <f t="shared" si="3"/>
        <v>31</v>
      </c>
      <c r="S24" s="151">
        <f t="shared" si="3"/>
        <v>0</v>
      </c>
      <c r="T24" s="153">
        <f>+VLOOKUP($L24,Data_Validation!$A:$D,1,0)</f>
        <v>312</v>
      </c>
      <c r="U24" s="153">
        <f>+VLOOKUP($L24,Data_Validation!$A:$D,3,0)</f>
        <v>0</v>
      </c>
      <c r="V24" s="153">
        <f>+VLOOKUP($L24,Data_Validation!$A:$D,4,0)</f>
        <v>0</v>
      </c>
      <c r="W24" s="153">
        <f>+VLOOKUP($L24,Data_Validation!$A:$E,5,0)</f>
        <v>0</v>
      </c>
      <c r="X24" s="153">
        <f>+VLOOKUP($L24,Data_Validation!$A:$F,6,0)</f>
        <v>0</v>
      </c>
    </row>
    <row r="25" spans="1:24" ht="15" customHeight="1">
      <c r="A25" s="1236" t="s">
        <v>2262</v>
      </c>
      <c r="B25" s="1237">
        <v>313</v>
      </c>
      <c r="C25" s="1238"/>
      <c r="D25" s="1238"/>
      <c r="E25" s="1238"/>
      <c r="F25" s="1236" t="s">
        <v>1</v>
      </c>
      <c r="G25" s="1236" t="s">
        <v>2259</v>
      </c>
      <c r="H25" s="1238"/>
      <c r="I25" s="1239">
        <v>35650.65</v>
      </c>
      <c r="J25" s="1239">
        <v>0</v>
      </c>
      <c r="K25" s="1239">
        <v>35650.65</v>
      </c>
      <c r="L25" s="150">
        <f t="shared" si="0"/>
        <v>313</v>
      </c>
      <c r="M25" s="151" t="str">
        <f t="shared" si="1"/>
        <v>RECLAMATIONS DE GARATIE VW PLUS DE 60</v>
      </c>
      <c r="N25" s="152">
        <f>+IF(OR($Q25=Parametres!$G$2,$Q25=Parametres!$G$3),I25,C25)</f>
        <v>35650.65</v>
      </c>
      <c r="O25" s="569">
        <f>+IF(OR($Q25=Parametres!$G$2,$Q25=Parametres!$G$3),J25,D25)</f>
        <v>0</v>
      </c>
      <c r="P25" s="152">
        <f>+IF(OR($Q25=Parametres!$G$2,$Q25=Parametres!$G$3),K25,E25)</f>
        <v>35650.65</v>
      </c>
      <c r="Q25" s="151" t="str">
        <f t="shared" si="3"/>
        <v>1-Mémo</v>
      </c>
      <c r="R25" s="150" t="str">
        <f t="shared" si="3"/>
        <v>31</v>
      </c>
      <c r="S25" s="151">
        <f t="shared" si="3"/>
        <v>0</v>
      </c>
      <c r="T25" s="153">
        <f>+VLOOKUP($L25,Data_Validation!$A:$D,1,0)</f>
        <v>313</v>
      </c>
      <c r="U25" s="153">
        <f>+VLOOKUP($L25,Data_Validation!$A:$D,3,0)</f>
        <v>0</v>
      </c>
      <c r="V25" s="153">
        <f>+VLOOKUP($L25,Data_Validation!$A:$D,4,0)</f>
        <v>0</v>
      </c>
      <c r="W25" s="153">
        <f>+VLOOKUP($L25,Data_Validation!$A:$E,5,0)</f>
        <v>0</v>
      </c>
      <c r="X25" s="153">
        <f>+VLOOKUP($L25,Data_Validation!$A:$F,6,0)</f>
        <v>0</v>
      </c>
    </row>
    <row r="26" spans="1:24" ht="15.75" customHeight="1">
      <c r="A26" s="1236" t="s">
        <v>2264</v>
      </c>
      <c r="B26" s="1237">
        <v>316</v>
      </c>
      <c r="C26" s="1238"/>
      <c r="D26" s="1238"/>
      <c r="E26" s="1238"/>
      <c r="F26" s="1236" t="s">
        <v>1</v>
      </c>
      <c r="G26" s="1236" t="s">
        <v>2259</v>
      </c>
      <c r="H26" s="1238"/>
      <c r="I26" s="1239">
        <v>9429.77</v>
      </c>
      <c r="J26" s="1239">
        <v>0</v>
      </c>
      <c r="K26" s="1239">
        <v>9429.77</v>
      </c>
      <c r="L26" s="150">
        <f t="shared" si="0"/>
        <v>316</v>
      </c>
      <c r="M26" s="151" t="str">
        <f t="shared" si="1"/>
        <v>AUTRE REC MANUFACTURIER VW PLUS DE 60</v>
      </c>
      <c r="N26" s="152">
        <f>+IF(OR($Q26=Parametres!$G$2,$Q26=Parametres!$G$3),I26,C26)</f>
        <v>9429.77</v>
      </c>
      <c r="O26" s="569">
        <f>+IF(OR($Q26=Parametres!$G$2,$Q26=Parametres!$G$3),J26,D26)</f>
        <v>0</v>
      </c>
      <c r="P26" s="152">
        <f>+IF(OR($Q26=Parametres!$G$2,$Q26=Parametres!$G$3),K26,E26)</f>
        <v>9429.77</v>
      </c>
      <c r="Q26" s="151" t="str">
        <f t="shared" si="3"/>
        <v>1-Mémo</v>
      </c>
      <c r="R26" s="150" t="str">
        <f t="shared" si="3"/>
        <v>31</v>
      </c>
      <c r="S26" s="151">
        <f t="shared" si="3"/>
        <v>0</v>
      </c>
      <c r="T26" s="153">
        <f>+VLOOKUP($L26,Data_Validation!$A:$D,1,0)</f>
        <v>316</v>
      </c>
      <c r="U26" s="153">
        <f>+VLOOKUP($L26,Data_Validation!$A:$D,3,0)</f>
        <v>0</v>
      </c>
      <c r="V26" s="153">
        <f>+VLOOKUP($L26,Data_Validation!$A:$D,4,0)</f>
        <v>0</v>
      </c>
      <c r="W26" s="153">
        <f>+VLOOKUP($L26,Data_Validation!$A:$E,5,0)</f>
        <v>0</v>
      </c>
      <c r="X26" s="153">
        <f>+VLOOKUP($L26,Data_Validation!$A:$F,6,0)</f>
        <v>0</v>
      </c>
    </row>
    <row r="27" spans="1:24" ht="15" customHeight="1">
      <c r="A27" s="1236" t="s">
        <v>2266</v>
      </c>
      <c r="B27" s="1237">
        <v>350</v>
      </c>
      <c r="C27" s="1238"/>
      <c r="D27" s="1238"/>
      <c r="E27" s="1238"/>
      <c r="F27" s="1236" t="s">
        <v>1</v>
      </c>
      <c r="G27" s="1236" t="s">
        <v>3251</v>
      </c>
      <c r="H27" s="1238"/>
      <c r="I27" s="1239">
        <v>0.31</v>
      </c>
      <c r="J27" s="1239">
        <v>0</v>
      </c>
      <c r="K27" s="1239">
        <v>0.31</v>
      </c>
      <c r="L27" s="150">
        <f t="shared" si="0"/>
        <v>350</v>
      </c>
      <c r="M27" s="151" t="str">
        <f t="shared" si="1"/>
        <v>UNITES USAGES +30JRS</v>
      </c>
      <c r="N27" s="152">
        <f>+IF(OR($Q27=Parametres!$G$2,$Q27=Parametres!$G$3),I27,C27)</f>
        <v>0.31</v>
      </c>
      <c r="O27" s="569">
        <f>+IF(OR($Q27=Parametres!$G$2,$Q27=Parametres!$G$3),J27,D27)</f>
        <v>0</v>
      </c>
      <c r="P27" s="152">
        <f>+IF(OR($Q27=Parametres!$G$2,$Q27=Parametres!$G$3),K27,E27)</f>
        <v>0.31</v>
      </c>
      <c r="Q27" s="151" t="str">
        <f t="shared" si="3"/>
        <v>1-Mémo</v>
      </c>
      <c r="R27" s="150" t="str">
        <f t="shared" si="3"/>
        <v>35</v>
      </c>
      <c r="S27" s="151">
        <f t="shared" si="3"/>
        <v>0</v>
      </c>
      <c r="T27" s="153">
        <f>+VLOOKUP($L27,Data_Validation!$A:$D,1,0)</f>
        <v>350</v>
      </c>
      <c r="U27" s="153">
        <f>+VLOOKUP($L27,Data_Validation!$A:$D,3,0)</f>
        <v>0</v>
      </c>
      <c r="V27" s="153">
        <f>+VLOOKUP($L27,Data_Validation!$A:$D,4,0)</f>
        <v>0</v>
      </c>
      <c r="W27" s="153">
        <f>+VLOOKUP($L27,Data_Validation!$A:$E,5,0)</f>
        <v>0</v>
      </c>
      <c r="X27" s="153">
        <f>+VLOOKUP($L27,Data_Validation!$A:$F,6,0)</f>
        <v>0</v>
      </c>
    </row>
    <row r="28" spans="1:24" ht="15" customHeight="1">
      <c r="A28" s="1236" t="s">
        <v>2268</v>
      </c>
      <c r="B28" s="1237">
        <v>360</v>
      </c>
      <c r="C28" s="1238"/>
      <c r="D28" s="1238"/>
      <c r="E28" s="1238"/>
      <c r="F28" s="1236" t="s">
        <v>1</v>
      </c>
      <c r="G28" s="1236" t="s">
        <v>3252</v>
      </c>
      <c r="H28" s="1238"/>
      <c r="I28" s="1239">
        <v>572429.92000000004</v>
      </c>
      <c r="J28" s="1239">
        <v>0</v>
      </c>
      <c r="K28" s="1239">
        <v>572429.92000000004</v>
      </c>
      <c r="L28" s="150">
        <f t="shared" si="0"/>
        <v>360</v>
      </c>
      <c r="M28" s="151" t="str">
        <f t="shared" si="1"/>
        <v>OCCASION VW + 60 JRS</v>
      </c>
      <c r="N28" s="152">
        <f>+IF(OR($Q28=Parametres!$G$2,$Q28=Parametres!$G$3),I28,C28)</f>
        <v>572429.92000000004</v>
      </c>
      <c r="O28" s="570">
        <f>+IF(OR($Q28=Parametres!$G$2,$Q28=Parametres!$G$3),J28,D28)</f>
        <v>0</v>
      </c>
      <c r="P28" s="152">
        <f>+IF(OR($Q28=Parametres!$G$2,$Q28=Parametres!$G$3),K28,E28)</f>
        <v>572429.92000000004</v>
      </c>
      <c r="Q28" s="151" t="str">
        <f t="shared" si="3"/>
        <v>1-Mémo</v>
      </c>
      <c r="R28" s="150" t="str">
        <f t="shared" si="3"/>
        <v>36</v>
      </c>
      <c r="S28" s="151">
        <f t="shared" si="3"/>
        <v>0</v>
      </c>
      <c r="T28" s="153">
        <f>+VLOOKUP($L28,Data_Validation!$A:$D,1,0)</f>
        <v>360</v>
      </c>
      <c r="U28" s="153">
        <f>+VLOOKUP($L28,Data_Validation!$A:$D,3,0)</f>
        <v>0</v>
      </c>
      <c r="V28" s="153">
        <f>+VLOOKUP($L28,Data_Validation!$A:$D,4,0)</f>
        <v>0</v>
      </c>
      <c r="W28" s="153">
        <f>+VLOOKUP($L28,Data_Validation!$A:$E,5,0)</f>
        <v>0</v>
      </c>
      <c r="X28" s="153">
        <f>+VLOOKUP($L28,Data_Validation!$A:$F,6,0)</f>
        <v>0</v>
      </c>
    </row>
    <row r="29" spans="1:24" ht="15" customHeight="1">
      <c r="A29" s="1236" t="s">
        <v>2270</v>
      </c>
      <c r="B29" s="1237">
        <v>370</v>
      </c>
      <c r="C29" s="1238"/>
      <c r="D29" s="1238"/>
      <c r="E29" s="1238"/>
      <c r="F29" s="1236" t="s">
        <v>1</v>
      </c>
      <c r="G29" s="1236" t="s">
        <v>2881</v>
      </c>
      <c r="H29" s="1238"/>
      <c r="I29" s="1239">
        <v>425000</v>
      </c>
      <c r="J29" s="1239">
        <v>0</v>
      </c>
      <c r="K29" s="1239">
        <v>425000</v>
      </c>
      <c r="L29" s="150">
        <f t="shared" si="0"/>
        <v>370</v>
      </c>
      <c r="M29" s="151" t="str">
        <f t="shared" si="1"/>
        <v>AVOIR DU PROP. MIM. REQUIS</v>
      </c>
      <c r="N29" s="152">
        <f>+IF(OR($Q29=Parametres!$G$2,$Q29=Parametres!$G$3),I29,C29)</f>
        <v>425000</v>
      </c>
      <c r="O29" s="570">
        <f>+IF(OR($Q29=Parametres!$G$2,$Q29=Parametres!$G$3),J29,D29)</f>
        <v>0</v>
      </c>
      <c r="P29" s="152">
        <f>+IF(OR($Q29=Parametres!$G$2,$Q29=Parametres!$G$3),K29,E29)</f>
        <v>425000</v>
      </c>
      <c r="Q29" s="151" t="str">
        <f t="shared" si="3"/>
        <v>1-Mémo</v>
      </c>
      <c r="R29" s="150" t="str">
        <f t="shared" si="3"/>
        <v>37</v>
      </c>
      <c r="S29" s="151">
        <f t="shared" si="3"/>
        <v>0</v>
      </c>
      <c r="T29" s="153">
        <f>+VLOOKUP($L29,Data_Validation!$A:$D,1,0)</f>
        <v>370</v>
      </c>
      <c r="U29" s="153">
        <f>+VLOOKUP($L29,Data_Validation!$A:$D,3,0)</f>
        <v>0</v>
      </c>
      <c r="V29" s="153">
        <f>+VLOOKUP($L29,Data_Validation!$A:$D,4,0)</f>
        <v>0</v>
      </c>
      <c r="W29" s="153">
        <f>+VLOOKUP($L29,Data_Validation!$A:$E,5,0)</f>
        <v>0</v>
      </c>
      <c r="X29" s="153">
        <f>+VLOOKUP($L29,Data_Validation!$A:$F,6,0)</f>
        <v>0</v>
      </c>
    </row>
    <row r="30" spans="1:24" ht="15" customHeight="1">
      <c r="A30" s="1236" t="s">
        <v>2272</v>
      </c>
      <c r="B30" s="1237">
        <v>372</v>
      </c>
      <c r="C30" s="1238"/>
      <c r="D30" s="1238"/>
      <c r="E30" s="1238"/>
      <c r="F30" s="1236" t="s">
        <v>1</v>
      </c>
      <c r="G30" s="1236" t="s">
        <v>2881</v>
      </c>
      <c r="H30" s="1238"/>
      <c r="I30" s="1239">
        <v>737500</v>
      </c>
      <c r="J30" s="1239">
        <v>0</v>
      </c>
      <c r="K30" s="1239">
        <v>737500</v>
      </c>
      <c r="L30" s="150">
        <f t="shared" si="0"/>
        <v>372</v>
      </c>
      <c r="M30" s="151" t="str">
        <f t="shared" si="1"/>
        <v>FONDS DE ROULEMENT/MIN. REQUIS</v>
      </c>
      <c r="N30" s="152">
        <f>+IF(OR($Q30=Parametres!$G$2,$Q30=Parametres!$G$3),I30,C30)</f>
        <v>737500</v>
      </c>
      <c r="O30" s="569">
        <f>+IF(OR($Q30=Parametres!$G$2,$Q30=Parametres!$G$3),J30,D30)</f>
        <v>0</v>
      </c>
      <c r="P30" s="152">
        <f>+IF(OR($Q30=Parametres!$G$2,$Q30=Parametres!$G$3),K30,E30)</f>
        <v>737500</v>
      </c>
      <c r="Q30" s="151" t="str">
        <f t="shared" si="3"/>
        <v>1-Mémo</v>
      </c>
      <c r="R30" s="150" t="str">
        <f t="shared" si="3"/>
        <v>37</v>
      </c>
      <c r="S30" s="151">
        <f t="shared" si="3"/>
        <v>0</v>
      </c>
      <c r="T30" s="153">
        <f>+VLOOKUP($L30,Data_Validation!$A:$D,1,0)</f>
        <v>372</v>
      </c>
      <c r="U30" s="153">
        <f>+VLOOKUP($L30,Data_Validation!$A:$D,3,0)</f>
        <v>0</v>
      </c>
      <c r="V30" s="153">
        <f>+VLOOKUP($L30,Data_Validation!$A:$D,4,0)</f>
        <v>0</v>
      </c>
      <c r="W30" s="153">
        <f>+VLOOKUP($L30,Data_Validation!$A:$E,5,0)</f>
        <v>0</v>
      </c>
      <c r="X30" s="153">
        <f>+VLOOKUP($L30,Data_Validation!$A:$F,6,0)</f>
        <v>0</v>
      </c>
    </row>
    <row r="31" spans="1:24" ht="15" customHeight="1">
      <c r="A31" s="1236" t="s">
        <v>2274</v>
      </c>
      <c r="B31" s="1237">
        <v>401</v>
      </c>
      <c r="C31" s="1238"/>
      <c r="D31" s="1238"/>
      <c r="E31" s="1238"/>
      <c r="F31" s="1236" t="s">
        <v>1</v>
      </c>
      <c r="G31" s="1236" t="s">
        <v>2206</v>
      </c>
      <c r="H31" s="1238"/>
      <c r="I31" s="1239">
        <v>0.24</v>
      </c>
      <c r="J31" s="1239">
        <v>0</v>
      </c>
      <c r="K31" s="1239">
        <v>0.24</v>
      </c>
      <c r="L31" s="150">
        <f t="shared" si="0"/>
        <v>401</v>
      </c>
      <c r="M31" s="151" t="str">
        <f t="shared" si="1"/>
        <v>UNITES NEUVES VENDUES JANVIER</v>
      </c>
      <c r="N31" s="152">
        <f>+IF(OR($Q31=Parametres!$G$2,$Q31=Parametres!$G$3),I31,C31)</f>
        <v>0.24</v>
      </c>
      <c r="O31" s="152">
        <f>+IF(OR($Q31=Parametres!$G$2,$Q31=Parametres!$G$3),J31,D31)</f>
        <v>0</v>
      </c>
      <c r="P31" s="152">
        <f>+IF(OR($Q31=Parametres!$G$2,$Q31=Parametres!$G$3),K31,E31)</f>
        <v>0.24</v>
      </c>
      <c r="Q31" s="151" t="str">
        <f t="shared" si="3"/>
        <v>1-Mémo</v>
      </c>
      <c r="R31" s="150" t="str">
        <f t="shared" si="3"/>
        <v>40</v>
      </c>
      <c r="S31" s="151">
        <f t="shared" si="3"/>
        <v>0</v>
      </c>
      <c r="T31" s="153">
        <f>+VLOOKUP($L31,Data_Validation!$A:$D,1,0)</f>
        <v>401</v>
      </c>
      <c r="U31" s="153">
        <f>+VLOOKUP($L31,Data_Validation!$A:$D,3,0)</f>
        <v>0</v>
      </c>
      <c r="V31" s="153">
        <f>+VLOOKUP($L31,Data_Validation!$A:$D,4,0)</f>
        <v>0</v>
      </c>
      <c r="W31" s="153">
        <f>+VLOOKUP($L31,Data_Validation!$A:$E,5,0)</f>
        <v>0</v>
      </c>
      <c r="X31" s="153">
        <f>+VLOOKUP($L31,Data_Validation!$A:$F,6,0)</f>
        <v>0</v>
      </c>
    </row>
    <row r="32" spans="1:24" ht="15" customHeight="1">
      <c r="A32" s="1236" t="s">
        <v>2276</v>
      </c>
      <c r="B32" s="1237">
        <v>402</v>
      </c>
      <c r="C32" s="1238"/>
      <c r="D32" s="1238"/>
      <c r="E32" s="1238"/>
      <c r="F32" s="1236" t="s">
        <v>1</v>
      </c>
      <c r="G32" s="1236" t="s">
        <v>2206</v>
      </c>
      <c r="H32" s="1238"/>
      <c r="I32" s="1239">
        <v>0.52</v>
      </c>
      <c r="J32" s="1239">
        <v>0</v>
      </c>
      <c r="K32" s="1239">
        <v>0.52</v>
      </c>
      <c r="L32" s="150">
        <f t="shared" si="0"/>
        <v>402</v>
      </c>
      <c r="M32" s="151" t="str">
        <f t="shared" si="1"/>
        <v>UNITES NEUVES VENDUES FEVRIER</v>
      </c>
      <c r="N32" s="152">
        <f>+IF(OR($Q32=Parametres!$G$2,$Q32=Parametres!$G$3),I32,C32)</f>
        <v>0.52</v>
      </c>
      <c r="O32" s="570">
        <f>+IF(OR($Q32=Parametres!$G$2,$Q32=Parametres!$G$3),J32,D32)</f>
        <v>0</v>
      </c>
      <c r="P32" s="152">
        <f>+IF(OR($Q32=Parametres!$G$2,$Q32=Parametres!$G$3),K32,E32)</f>
        <v>0.52</v>
      </c>
      <c r="Q32" s="151" t="str">
        <f t="shared" si="3"/>
        <v>1-Mémo</v>
      </c>
      <c r="R32" s="150" t="str">
        <f t="shared" si="3"/>
        <v>40</v>
      </c>
      <c r="S32" s="151">
        <f t="shared" si="3"/>
        <v>0</v>
      </c>
      <c r="T32" s="153">
        <f>+VLOOKUP($L32,Data_Validation!$A:$D,1,0)</f>
        <v>402</v>
      </c>
      <c r="U32" s="153">
        <f>+VLOOKUP($L32,Data_Validation!$A:$D,3,0)</f>
        <v>0</v>
      </c>
      <c r="V32" s="153">
        <f>+VLOOKUP($L32,Data_Validation!$A:$D,4,0)</f>
        <v>0</v>
      </c>
      <c r="W32" s="153">
        <f>+VLOOKUP($L32,Data_Validation!$A:$E,5,0)</f>
        <v>0</v>
      </c>
      <c r="X32" s="153">
        <f>+VLOOKUP($L32,Data_Validation!$A:$F,6,0)</f>
        <v>0</v>
      </c>
    </row>
    <row r="33" spans="1:24" ht="15" customHeight="1">
      <c r="A33" s="1236" t="s">
        <v>2278</v>
      </c>
      <c r="B33" s="1237">
        <v>403</v>
      </c>
      <c r="C33" s="1238"/>
      <c r="D33" s="1238"/>
      <c r="E33" s="1238"/>
      <c r="F33" s="1236" t="s">
        <v>1</v>
      </c>
      <c r="G33" s="1236" t="s">
        <v>2206</v>
      </c>
      <c r="H33" s="1238"/>
      <c r="I33" s="1239">
        <v>0.81</v>
      </c>
      <c r="J33" s="1239">
        <v>0</v>
      </c>
      <c r="K33" s="1239">
        <v>0.81</v>
      </c>
      <c r="L33" s="150">
        <f t="shared" si="0"/>
        <v>403</v>
      </c>
      <c r="M33" s="151" t="str">
        <f t="shared" si="1"/>
        <v>UNITES NEUVES VENDUES MARS</v>
      </c>
      <c r="N33" s="152">
        <f>+IF(OR($Q33=Parametres!$G$2,$Q33=Parametres!$G$3),I33,C33)</f>
        <v>0.81</v>
      </c>
      <c r="O33" s="570">
        <f>+IF(OR($Q33=Parametres!$G$2,$Q33=Parametres!$G$3),J33,D33)</f>
        <v>0</v>
      </c>
      <c r="P33" s="152">
        <f>+IF(OR($Q33=Parametres!$G$2,$Q33=Parametres!$G$3),K33,E33)</f>
        <v>0.81</v>
      </c>
      <c r="Q33" s="151" t="str">
        <f t="shared" si="3"/>
        <v>1-Mémo</v>
      </c>
      <c r="R33" s="150" t="str">
        <f t="shared" si="3"/>
        <v>40</v>
      </c>
      <c r="S33" s="151">
        <f t="shared" si="3"/>
        <v>0</v>
      </c>
      <c r="T33" s="153">
        <f>+VLOOKUP($L33,Data_Validation!$A:$D,1,0)</f>
        <v>403</v>
      </c>
      <c r="U33" s="153">
        <f>+VLOOKUP($L33,Data_Validation!$A:$D,3,0)</f>
        <v>0</v>
      </c>
      <c r="V33" s="153">
        <f>+VLOOKUP($L33,Data_Validation!$A:$D,4,0)</f>
        <v>0</v>
      </c>
      <c r="W33" s="153">
        <f>+VLOOKUP($L33,Data_Validation!$A:$E,5,0)</f>
        <v>0</v>
      </c>
      <c r="X33" s="153">
        <f>+VLOOKUP($L33,Data_Validation!$A:$F,6,0)</f>
        <v>0</v>
      </c>
    </row>
    <row r="34" spans="1:24" ht="15.75" customHeight="1">
      <c r="A34" s="1236" t="s">
        <v>2280</v>
      </c>
      <c r="B34" s="1237">
        <v>404</v>
      </c>
      <c r="C34" s="1238"/>
      <c r="D34" s="1238"/>
      <c r="E34" s="1238"/>
      <c r="F34" s="1236" t="s">
        <v>1</v>
      </c>
      <c r="G34" s="1236" t="s">
        <v>2206</v>
      </c>
      <c r="H34" s="1238"/>
      <c r="I34" s="1239">
        <v>0.73</v>
      </c>
      <c r="J34" s="1239">
        <v>0</v>
      </c>
      <c r="K34" s="1239">
        <v>0.73</v>
      </c>
      <c r="L34" s="150">
        <f t="shared" si="0"/>
        <v>404</v>
      </c>
      <c r="M34" s="151" t="str">
        <f t="shared" si="1"/>
        <v>UNITES NEUVES VENDUES AVRIL</v>
      </c>
      <c r="N34" s="152">
        <f>+IF(OR($Q34=Parametres!$G$2,$Q34=Parametres!$G$3),I34,C34)</f>
        <v>0.73</v>
      </c>
      <c r="O34" s="569">
        <f>+IF(OR($Q34=Parametres!$G$2,$Q34=Parametres!$G$3),J34,D34)</f>
        <v>0</v>
      </c>
      <c r="P34" s="152">
        <f>+IF(OR($Q34=Parametres!$G$2,$Q34=Parametres!$G$3),K34,E34)</f>
        <v>0.73</v>
      </c>
      <c r="Q34" s="151" t="str">
        <f t="shared" ref="Q34:S49" si="4">+F34</f>
        <v>1-Mémo</v>
      </c>
      <c r="R34" s="150" t="str">
        <f t="shared" si="4"/>
        <v>40</v>
      </c>
      <c r="S34" s="151">
        <f t="shared" si="4"/>
        <v>0</v>
      </c>
      <c r="T34" s="153">
        <f>+VLOOKUP($L34,Data_Validation!$A:$D,1,0)</f>
        <v>404</v>
      </c>
      <c r="U34" s="153">
        <f>+VLOOKUP($L34,Data_Validation!$A:$D,3,0)</f>
        <v>0</v>
      </c>
      <c r="V34" s="153">
        <f>+VLOOKUP($L34,Data_Validation!$A:$D,4,0)</f>
        <v>0</v>
      </c>
      <c r="W34" s="153">
        <f>+VLOOKUP($L34,Data_Validation!$A:$E,5,0)</f>
        <v>0</v>
      </c>
      <c r="X34" s="153">
        <f>+VLOOKUP($L34,Data_Validation!$A:$F,6,0)</f>
        <v>0</v>
      </c>
    </row>
    <row r="35" spans="1:24" ht="15" customHeight="1">
      <c r="A35" s="1236" t="s">
        <v>2295</v>
      </c>
      <c r="B35" s="1237">
        <v>421</v>
      </c>
      <c r="C35" s="1238"/>
      <c r="D35" s="1238"/>
      <c r="E35" s="1238"/>
      <c r="F35" s="1236" t="s">
        <v>1</v>
      </c>
      <c r="G35" s="1236" t="s">
        <v>2297</v>
      </c>
      <c r="H35" s="1238"/>
      <c r="I35" s="1239">
        <v>0.15</v>
      </c>
      <c r="J35" s="1239">
        <v>0</v>
      </c>
      <c r="K35" s="1239">
        <v>0.15</v>
      </c>
      <c r="L35" s="150">
        <f t="shared" si="0"/>
        <v>421</v>
      </c>
      <c r="M35" s="151" t="str">
        <f t="shared" si="1"/>
        <v>UNITES USAGES DET./ JANV.</v>
      </c>
      <c r="N35" s="152">
        <f>+IF(OR($Q35=Parametres!$G$2,$Q35=Parametres!$G$3),I35,C35)</f>
        <v>0.15</v>
      </c>
      <c r="O35" s="152">
        <f>+IF(OR($Q35=Parametres!$G$2,$Q35=Parametres!$G$3),J35,D35)</f>
        <v>0</v>
      </c>
      <c r="P35" s="152">
        <f>+IF(OR($Q35=Parametres!$G$2,$Q35=Parametres!$G$3),K35,E35)</f>
        <v>0.15</v>
      </c>
      <c r="Q35" s="151" t="str">
        <f t="shared" si="4"/>
        <v>1-Mémo</v>
      </c>
      <c r="R35" s="150" t="str">
        <f t="shared" si="4"/>
        <v>42</v>
      </c>
      <c r="S35" s="151">
        <f t="shared" si="4"/>
        <v>0</v>
      </c>
      <c r="T35" s="153">
        <f>+VLOOKUP($L35,Data_Validation!$A:$D,1,0)</f>
        <v>421</v>
      </c>
      <c r="U35" s="153">
        <f>+VLOOKUP($L35,Data_Validation!$A:$D,3,0)</f>
        <v>0</v>
      </c>
      <c r="V35" s="153">
        <f>+VLOOKUP($L35,Data_Validation!$A:$D,4,0)</f>
        <v>0</v>
      </c>
      <c r="W35" s="153">
        <f>+VLOOKUP($L35,Data_Validation!$A:$E,5,0)</f>
        <v>0</v>
      </c>
      <c r="X35" s="153">
        <f>+VLOOKUP($L35,Data_Validation!$A:$F,6,0)</f>
        <v>0</v>
      </c>
    </row>
    <row r="36" spans="1:24" ht="15" customHeight="1">
      <c r="A36" s="1236" t="s">
        <v>2298</v>
      </c>
      <c r="B36" s="1237">
        <v>422</v>
      </c>
      <c r="C36" s="1238"/>
      <c r="D36" s="1238"/>
      <c r="E36" s="1238"/>
      <c r="F36" s="1236" t="s">
        <v>1</v>
      </c>
      <c r="G36" s="1236" t="s">
        <v>2297</v>
      </c>
      <c r="H36" s="1238"/>
      <c r="I36" s="1239">
        <v>0.3</v>
      </c>
      <c r="J36" s="1239">
        <v>0</v>
      </c>
      <c r="K36" s="1239">
        <v>0.3</v>
      </c>
      <c r="L36" s="150">
        <f t="shared" si="0"/>
        <v>422</v>
      </c>
      <c r="M36" s="151" t="str">
        <f t="shared" si="1"/>
        <v>UNITES USAGES DET./ FEVR.</v>
      </c>
      <c r="N36" s="152">
        <f>+IF(OR($Q36=Parametres!$G$2,$Q36=Parametres!$G$3),I36,C36)</f>
        <v>0.3</v>
      </c>
      <c r="O36" s="569">
        <f>+IF(OR($Q36=Parametres!$G$2,$Q36=Parametres!$G$3),J36,D36)</f>
        <v>0</v>
      </c>
      <c r="P36" s="152">
        <f>+IF(OR($Q36=Parametres!$G$2,$Q36=Parametres!$G$3),K36,E36)</f>
        <v>0.3</v>
      </c>
      <c r="Q36" s="151" t="str">
        <f t="shared" si="4"/>
        <v>1-Mémo</v>
      </c>
      <c r="R36" s="150" t="str">
        <f t="shared" si="4"/>
        <v>42</v>
      </c>
      <c r="S36" s="151">
        <f t="shared" si="4"/>
        <v>0</v>
      </c>
      <c r="T36" s="153">
        <f>+VLOOKUP($L36,Data_Validation!$A:$D,1,0)</f>
        <v>422</v>
      </c>
      <c r="U36" s="153">
        <f>+VLOOKUP($L36,Data_Validation!$A:$D,3,0)</f>
        <v>0</v>
      </c>
      <c r="V36" s="153">
        <f>+VLOOKUP($L36,Data_Validation!$A:$D,4,0)</f>
        <v>0</v>
      </c>
      <c r="W36" s="153">
        <f>+VLOOKUP($L36,Data_Validation!$A:$E,5,0)</f>
        <v>0</v>
      </c>
      <c r="X36" s="153">
        <f>+VLOOKUP($L36,Data_Validation!$A:$F,6,0)</f>
        <v>0</v>
      </c>
    </row>
    <row r="37" spans="1:24" ht="15" customHeight="1">
      <c r="A37" s="1236" t="s">
        <v>2300</v>
      </c>
      <c r="B37" s="1237">
        <v>423</v>
      </c>
      <c r="C37" s="1238"/>
      <c r="D37" s="1238"/>
      <c r="E37" s="1238"/>
      <c r="F37" s="1236" t="s">
        <v>1</v>
      </c>
      <c r="G37" s="1236" t="s">
        <v>2297</v>
      </c>
      <c r="H37" s="1238"/>
      <c r="I37" s="1239">
        <v>0.42</v>
      </c>
      <c r="J37" s="1239">
        <v>0</v>
      </c>
      <c r="K37" s="1239">
        <v>0.42</v>
      </c>
      <c r="L37" s="150">
        <f t="shared" si="0"/>
        <v>423</v>
      </c>
      <c r="M37" s="151" t="str">
        <f t="shared" si="1"/>
        <v>UNITES USAGES DET./ MARS</v>
      </c>
      <c r="N37" s="152">
        <f>+IF(OR($Q37=Parametres!$G$2,$Q37=Parametres!$G$3),I37,C37)</f>
        <v>0.42</v>
      </c>
      <c r="O37" s="152">
        <f>+IF(OR($Q37=Parametres!$G$2,$Q37=Parametres!$G$3),J37,D37)</f>
        <v>0</v>
      </c>
      <c r="P37" s="152">
        <f>+IF(OR($Q37=Parametres!$G$2,$Q37=Parametres!$G$3),K37,E37)</f>
        <v>0.42</v>
      </c>
      <c r="Q37" s="151" t="str">
        <f t="shared" si="4"/>
        <v>1-Mémo</v>
      </c>
      <c r="R37" s="150" t="str">
        <f t="shared" si="4"/>
        <v>42</v>
      </c>
      <c r="S37" s="151">
        <f t="shared" si="4"/>
        <v>0</v>
      </c>
      <c r="T37" s="153">
        <f>+VLOOKUP($L37,Data_Validation!$A:$D,1,0)</f>
        <v>423</v>
      </c>
      <c r="U37" s="153">
        <f>+VLOOKUP($L37,Data_Validation!$A:$D,3,0)</f>
        <v>0</v>
      </c>
      <c r="V37" s="153">
        <f>+VLOOKUP($L37,Data_Validation!$A:$D,4,0)</f>
        <v>0</v>
      </c>
      <c r="W37" s="153">
        <f>+VLOOKUP($L37,Data_Validation!$A:$E,5,0)</f>
        <v>0</v>
      </c>
      <c r="X37" s="153">
        <f>+VLOOKUP($L37,Data_Validation!$A:$F,6,0)</f>
        <v>0</v>
      </c>
    </row>
    <row r="38" spans="1:24" ht="15" customHeight="1">
      <c r="A38" s="1236" t="s">
        <v>2302</v>
      </c>
      <c r="B38" s="1237">
        <v>424</v>
      </c>
      <c r="C38" s="1238"/>
      <c r="D38" s="1238"/>
      <c r="E38" s="1238"/>
      <c r="F38" s="1236" t="s">
        <v>1</v>
      </c>
      <c r="G38" s="1236" t="s">
        <v>2297</v>
      </c>
      <c r="H38" s="1238"/>
      <c r="I38" s="1239">
        <v>0.41</v>
      </c>
      <c r="J38" s="1239">
        <v>0</v>
      </c>
      <c r="K38" s="1239">
        <v>0.41</v>
      </c>
      <c r="L38" s="150">
        <f t="shared" si="0"/>
        <v>424</v>
      </c>
      <c r="M38" s="151" t="str">
        <f t="shared" si="1"/>
        <v>UNITES USAGES DET./ AVRIL</v>
      </c>
      <c r="N38" s="152">
        <f>+IF(OR($Q38=Parametres!$G$2,$Q38=Parametres!$G$3),I38,C38)</f>
        <v>0.41</v>
      </c>
      <c r="O38" s="569">
        <f>+IF(OR($Q38=Parametres!$G$2,$Q38=Parametres!$G$3),J38,D38)</f>
        <v>0</v>
      </c>
      <c r="P38" s="152">
        <f>+IF(OR($Q38=Parametres!$G$2,$Q38=Parametres!$G$3),K38,E38)</f>
        <v>0.41</v>
      </c>
      <c r="Q38" s="151" t="str">
        <f t="shared" si="4"/>
        <v>1-Mémo</v>
      </c>
      <c r="R38" s="150" t="str">
        <f t="shared" si="4"/>
        <v>42</v>
      </c>
      <c r="S38" s="151">
        <f t="shared" si="4"/>
        <v>0</v>
      </c>
      <c r="T38" s="153">
        <f>+VLOOKUP($L38,Data_Validation!$A:$D,1,0)</f>
        <v>424</v>
      </c>
      <c r="U38" s="153">
        <f>+VLOOKUP($L38,Data_Validation!$A:$D,3,0)</f>
        <v>0</v>
      </c>
      <c r="V38" s="153">
        <f>+VLOOKUP($L38,Data_Validation!$A:$D,4,0)</f>
        <v>0</v>
      </c>
      <c r="W38" s="153">
        <f>+VLOOKUP($L38,Data_Validation!$A:$E,5,0)</f>
        <v>0</v>
      </c>
      <c r="X38" s="153">
        <f>+VLOOKUP($L38,Data_Validation!$A:$F,6,0)</f>
        <v>0</v>
      </c>
    </row>
    <row r="39" spans="1:24" ht="15" customHeight="1">
      <c r="A39" s="1236" t="s">
        <v>2318</v>
      </c>
      <c r="B39" s="1237">
        <v>500</v>
      </c>
      <c r="C39" s="1238"/>
      <c r="D39" s="1238"/>
      <c r="E39" s="1238"/>
      <c r="F39" s="1236" t="s">
        <v>1</v>
      </c>
      <c r="G39" s="1236" t="s">
        <v>2208</v>
      </c>
      <c r="H39" s="1238"/>
      <c r="I39" s="1239">
        <v>1</v>
      </c>
      <c r="J39" s="1239">
        <v>0</v>
      </c>
      <c r="K39" s="1239">
        <v>1</v>
      </c>
      <c r="L39" s="150">
        <f t="shared" si="0"/>
        <v>500</v>
      </c>
      <c r="M39" s="151" t="str">
        <f t="shared" si="1"/>
        <v>PROPRIETAIRES</v>
      </c>
      <c r="N39" s="152">
        <f>+IF(OR($Q39=Parametres!$G$2,$Q39=Parametres!$G$3),I39,C39)</f>
        <v>1</v>
      </c>
      <c r="O39" s="571">
        <f>+IF(OR($Q39=Parametres!$G$2,$Q39=Parametres!$G$3),J39,D39)</f>
        <v>0</v>
      </c>
      <c r="P39" s="152">
        <f>+IF(OR($Q39=Parametres!$G$2,$Q39=Parametres!$G$3),K39,E39)</f>
        <v>1</v>
      </c>
      <c r="Q39" s="151" t="str">
        <f t="shared" si="4"/>
        <v>1-Mémo</v>
      </c>
      <c r="R39" s="150" t="str">
        <f t="shared" si="4"/>
        <v>50</v>
      </c>
      <c r="S39" s="151">
        <f t="shared" si="4"/>
        <v>0</v>
      </c>
      <c r="T39" s="153">
        <f>+VLOOKUP($L39,Data_Validation!$A:$D,1,0)</f>
        <v>500</v>
      </c>
      <c r="U39" s="153">
        <f>+VLOOKUP($L39,Data_Validation!$A:$D,3,0)</f>
        <v>0</v>
      </c>
      <c r="V39" s="153">
        <f>+VLOOKUP($L39,Data_Validation!$A:$D,4,0)</f>
        <v>0</v>
      </c>
      <c r="W39" s="153" t="str">
        <f>+VLOOKUP($L39,Data_Validation!$A:$E,5,0)</f>
        <v>$</v>
      </c>
      <c r="X39" s="153">
        <f>+VLOOKUP($L39,Data_Validation!$A:$F,6,0)</f>
        <v>0</v>
      </c>
    </row>
    <row r="40" spans="1:24" ht="15.75" customHeight="1">
      <c r="A40" s="1236" t="s">
        <v>2320</v>
      </c>
      <c r="B40" s="1237">
        <v>511</v>
      </c>
      <c r="C40" s="1238"/>
      <c r="D40" s="1238"/>
      <c r="E40" s="1238"/>
      <c r="F40" s="1236" t="s">
        <v>1</v>
      </c>
      <c r="G40" s="1236" t="s">
        <v>2208</v>
      </c>
      <c r="H40" s="1238"/>
      <c r="I40" s="1239">
        <v>0.2</v>
      </c>
      <c r="J40" s="1239">
        <v>0</v>
      </c>
      <c r="K40" s="1239">
        <v>0.2</v>
      </c>
      <c r="L40" s="150">
        <f t="shared" si="0"/>
        <v>511</v>
      </c>
      <c r="M40" s="151" t="str">
        <f t="shared" si="1"/>
        <v>DIR. GENERAL NEUFS</v>
      </c>
      <c r="N40" s="152">
        <f>+IF(OR($Q40=Parametres!$G$2,$Q40=Parametres!$G$3),I40,C40)</f>
        <v>0.2</v>
      </c>
      <c r="O40" s="570">
        <f>+IF(OR($Q40=Parametres!$G$2,$Q40=Parametres!$G$3),J40,D40)</f>
        <v>0</v>
      </c>
      <c r="P40" s="152">
        <f>+IF(OR($Q40=Parametres!$G$2,$Q40=Parametres!$G$3),K40,E40)</f>
        <v>0.2</v>
      </c>
      <c r="Q40" s="151" t="str">
        <f t="shared" si="4"/>
        <v>1-Mémo</v>
      </c>
      <c r="R40" s="150" t="str">
        <f t="shared" si="4"/>
        <v>50</v>
      </c>
      <c r="S40" s="151">
        <f t="shared" si="4"/>
        <v>0</v>
      </c>
      <c r="T40" s="153">
        <f>+VLOOKUP($L40,Data_Validation!$A:$D,1,0)</f>
        <v>511</v>
      </c>
      <c r="U40" s="153">
        <f>+VLOOKUP($L40,Data_Validation!$A:$D,3,0)</f>
        <v>0</v>
      </c>
      <c r="V40" s="153">
        <f>+VLOOKUP($L40,Data_Validation!$A:$D,4,0)</f>
        <v>0</v>
      </c>
      <c r="W40" s="153" t="str">
        <f>+VLOOKUP($L40,Data_Validation!$A:$E,5,0)</f>
        <v>$</v>
      </c>
      <c r="X40" s="153">
        <f>+VLOOKUP($L40,Data_Validation!$A:$F,6,0)</f>
        <v>0</v>
      </c>
    </row>
    <row r="41" spans="1:24" ht="15" customHeight="1">
      <c r="A41" s="1236" t="s">
        <v>2321</v>
      </c>
      <c r="B41" s="1237">
        <v>512</v>
      </c>
      <c r="C41" s="1238"/>
      <c r="D41" s="1238"/>
      <c r="E41" s="1238"/>
      <c r="F41" s="1236" t="s">
        <v>1</v>
      </c>
      <c r="G41" s="1236" t="s">
        <v>2208</v>
      </c>
      <c r="H41" s="1238"/>
      <c r="I41" s="1239">
        <v>0.2</v>
      </c>
      <c r="J41" s="1239">
        <v>0</v>
      </c>
      <c r="K41" s="1239">
        <v>0.2</v>
      </c>
      <c r="L41" s="150">
        <f t="shared" si="0"/>
        <v>512</v>
      </c>
      <c r="M41" s="151" t="str">
        <f t="shared" si="1"/>
        <v>DIR. GENERAL USAGES</v>
      </c>
      <c r="N41" s="152">
        <f>+IF(OR($Q41=Parametres!$G$2,$Q41=Parametres!$G$3),I41,C41)</f>
        <v>0.2</v>
      </c>
      <c r="O41" s="569">
        <f>+IF(OR($Q41=Parametres!$G$2,$Q41=Parametres!$G$3),J41,D41)</f>
        <v>0</v>
      </c>
      <c r="P41" s="152">
        <f>+IF(OR($Q41=Parametres!$G$2,$Q41=Parametres!$G$3),K41,E41)</f>
        <v>0.2</v>
      </c>
      <c r="Q41" s="151" t="str">
        <f t="shared" si="4"/>
        <v>1-Mémo</v>
      </c>
      <c r="R41" s="150" t="str">
        <f t="shared" si="4"/>
        <v>50</v>
      </c>
      <c r="S41" s="151">
        <f t="shared" si="4"/>
        <v>0</v>
      </c>
      <c r="T41" s="153">
        <f>+VLOOKUP($L41,Data_Validation!$A:$D,1,0)</f>
        <v>512</v>
      </c>
      <c r="U41" s="153">
        <f>+VLOOKUP($L41,Data_Validation!$A:$D,3,0)</f>
        <v>0</v>
      </c>
      <c r="V41" s="153">
        <f>+VLOOKUP($L41,Data_Validation!$A:$D,4,0)</f>
        <v>0</v>
      </c>
      <c r="W41" s="153" t="str">
        <f>+VLOOKUP($L41,Data_Validation!$A:$E,5,0)</f>
        <v>$</v>
      </c>
      <c r="X41" s="153">
        <f>+VLOOKUP($L41,Data_Validation!$A:$F,6,0)</f>
        <v>0</v>
      </c>
    </row>
    <row r="42" spans="1:24" ht="15" customHeight="1">
      <c r="A42" s="1236" t="s">
        <v>2322</v>
      </c>
      <c r="B42" s="1237">
        <v>514</v>
      </c>
      <c r="C42" s="1238"/>
      <c r="D42" s="1238"/>
      <c r="E42" s="1238"/>
      <c r="F42" s="1236" t="s">
        <v>1</v>
      </c>
      <c r="G42" s="1236" t="s">
        <v>2208</v>
      </c>
      <c r="H42" s="1238"/>
      <c r="I42" s="1239">
        <v>0.2</v>
      </c>
      <c r="J42" s="1239">
        <v>0</v>
      </c>
      <c r="K42" s="1239">
        <v>0.2</v>
      </c>
      <c r="L42" s="150">
        <f t="shared" si="0"/>
        <v>514</v>
      </c>
      <c r="M42" s="151" t="str">
        <f t="shared" si="1"/>
        <v>DIR. GENERAL SERVICE</v>
      </c>
      <c r="N42" s="152">
        <f>+IF(OR($Q42=Parametres!$G$2,$Q42=Parametres!$G$3),I42,C42)</f>
        <v>0.2</v>
      </c>
      <c r="O42" s="570">
        <f>+IF(OR($Q42=Parametres!$G$2,$Q42=Parametres!$G$3),J42,D42)</f>
        <v>0</v>
      </c>
      <c r="P42" s="152">
        <f>+IF(OR($Q42=Parametres!$G$2,$Q42=Parametres!$G$3),K42,E42)</f>
        <v>0.2</v>
      </c>
      <c r="Q42" s="151" t="str">
        <f t="shared" si="4"/>
        <v>1-Mémo</v>
      </c>
      <c r="R42" s="150" t="str">
        <f t="shared" si="4"/>
        <v>50</v>
      </c>
      <c r="S42" s="151">
        <f t="shared" si="4"/>
        <v>0</v>
      </c>
      <c r="T42" s="153">
        <f>+VLOOKUP($L42,Data_Validation!$A:$D,1,0)</f>
        <v>514</v>
      </c>
      <c r="U42" s="153">
        <f>+VLOOKUP($L42,Data_Validation!$A:$D,3,0)</f>
        <v>0</v>
      </c>
      <c r="V42" s="153">
        <f>+VLOOKUP($L42,Data_Validation!$A:$D,4,0)</f>
        <v>0</v>
      </c>
      <c r="W42" s="153" t="str">
        <f>+VLOOKUP($L42,Data_Validation!$A:$E,5,0)</f>
        <v>$</v>
      </c>
      <c r="X42" s="153">
        <f>+VLOOKUP($L42,Data_Validation!$A:$F,6,0)</f>
        <v>0</v>
      </c>
    </row>
    <row r="43" spans="1:24" ht="15" customHeight="1">
      <c r="A43" s="1236" t="s">
        <v>2324</v>
      </c>
      <c r="B43" s="1237">
        <v>515</v>
      </c>
      <c r="C43" s="1238"/>
      <c r="D43" s="1238"/>
      <c r="E43" s="1238"/>
      <c r="F43" s="1236" t="s">
        <v>1</v>
      </c>
      <c r="G43" s="1236" t="s">
        <v>2208</v>
      </c>
      <c r="H43" s="1238"/>
      <c r="I43" s="1239">
        <v>0.2</v>
      </c>
      <c r="J43" s="1239">
        <v>0</v>
      </c>
      <c r="K43" s="1239">
        <v>0.2</v>
      </c>
      <c r="L43" s="150">
        <f t="shared" si="0"/>
        <v>515</v>
      </c>
      <c r="M43" s="151" t="str">
        <f t="shared" si="1"/>
        <v>DIR. GENERAL CARROSS.</v>
      </c>
      <c r="N43" s="152">
        <f>+IF(OR($Q43=Parametres!$G$2,$Q43=Parametres!$G$3),I43,C43)</f>
        <v>0.2</v>
      </c>
      <c r="O43" s="570">
        <f>+IF(OR($Q43=Parametres!$G$2,$Q43=Parametres!$G$3),J43,D43)</f>
        <v>0</v>
      </c>
      <c r="P43" s="152">
        <f>+IF(OR($Q43=Parametres!$G$2,$Q43=Parametres!$G$3),K43,E43)</f>
        <v>0.2</v>
      </c>
      <c r="Q43" s="151" t="str">
        <f t="shared" si="4"/>
        <v>1-Mémo</v>
      </c>
      <c r="R43" s="150" t="str">
        <f t="shared" si="4"/>
        <v>50</v>
      </c>
      <c r="S43" s="151">
        <f t="shared" si="4"/>
        <v>0</v>
      </c>
      <c r="T43" s="153">
        <f>+VLOOKUP($L43,Data_Validation!$A:$D,1,0)</f>
        <v>515</v>
      </c>
      <c r="U43" s="153">
        <f>+VLOOKUP($L43,Data_Validation!$A:$D,3,0)</f>
        <v>0</v>
      </c>
      <c r="V43" s="153">
        <f>+VLOOKUP($L43,Data_Validation!$A:$D,4,0)</f>
        <v>0</v>
      </c>
      <c r="W43" s="153" t="str">
        <f>+VLOOKUP($L43,Data_Validation!$A:$E,5,0)</f>
        <v>$</v>
      </c>
      <c r="X43" s="153">
        <f>+VLOOKUP($L43,Data_Validation!$A:$F,6,0)</f>
        <v>0</v>
      </c>
    </row>
    <row r="44" spans="1:24" ht="15.75" customHeight="1">
      <c r="A44" s="1236" t="s">
        <v>2326</v>
      </c>
      <c r="B44" s="1237">
        <v>517</v>
      </c>
      <c r="C44" s="1238"/>
      <c r="D44" s="1238"/>
      <c r="E44" s="1238"/>
      <c r="F44" s="1236" t="s">
        <v>1</v>
      </c>
      <c r="G44" s="1236" t="s">
        <v>2208</v>
      </c>
      <c r="H44" s="1238"/>
      <c r="I44" s="1239">
        <v>0.2</v>
      </c>
      <c r="J44" s="1239">
        <v>0</v>
      </c>
      <c r="K44" s="1239">
        <v>0.2</v>
      </c>
      <c r="L44" s="150">
        <f t="shared" si="0"/>
        <v>517</v>
      </c>
      <c r="M44" s="151" t="str">
        <f t="shared" si="1"/>
        <v>DIR. GENERAL PIECES</v>
      </c>
      <c r="N44" s="152">
        <f>+IF(OR($Q44=Parametres!$G$2,$Q44=Parametres!$G$3),I44,C44)</f>
        <v>0.2</v>
      </c>
      <c r="O44" s="570">
        <f>+IF(OR($Q44=Parametres!$G$2,$Q44=Parametres!$G$3),J44,D44)</f>
        <v>0</v>
      </c>
      <c r="P44" s="152">
        <f>+IF(OR($Q44=Parametres!$G$2,$Q44=Parametres!$G$3),K44,E44)</f>
        <v>0.2</v>
      </c>
      <c r="Q44" s="151" t="str">
        <f t="shared" si="4"/>
        <v>1-Mémo</v>
      </c>
      <c r="R44" s="150" t="str">
        <f t="shared" si="4"/>
        <v>50</v>
      </c>
      <c r="S44" s="151">
        <f t="shared" si="4"/>
        <v>0</v>
      </c>
      <c r="T44" s="153">
        <f>+VLOOKUP($L44,Data_Validation!$A:$D,1,0)</f>
        <v>517</v>
      </c>
      <c r="U44" s="153">
        <f>+VLOOKUP($L44,Data_Validation!$A:$D,3,0)</f>
        <v>0</v>
      </c>
      <c r="V44" s="153">
        <f>+VLOOKUP($L44,Data_Validation!$A:$D,4,0)</f>
        <v>0</v>
      </c>
      <c r="W44" s="153" t="str">
        <f>+VLOOKUP($L44,Data_Validation!$A:$E,5,0)</f>
        <v>$</v>
      </c>
      <c r="X44" s="153">
        <f>+VLOOKUP($L44,Data_Validation!$A:$F,6,0)</f>
        <v>0</v>
      </c>
    </row>
    <row r="45" spans="1:24" ht="15" customHeight="1">
      <c r="A45" s="1236" t="s">
        <v>2328</v>
      </c>
      <c r="B45" s="1237">
        <v>521</v>
      </c>
      <c r="C45" s="1238"/>
      <c r="D45" s="1238"/>
      <c r="E45" s="1238"/>
      <c r="F45" s="1236" t="s">
        <v>1</v>
      </c>
      <c r="G45" s="1236" t="s">
        <v>2208</v>
      </c>
      <c r="H45" s="1238"/>
      <c r="I45" s="1239">
        <v>2</v>
      </c>
      <c r="J45" s="1239">
        <v>0</v>
      </c>
      <c r="K45" s="1239">
        <v>2</v>
      </c>
      <c r="L45" s="150">
        <f t="shared" si="0"/>
        <v>521</v>
      </c>
      <c r="M45" s="151" t="str">
        <f t="shared" si="1"/>
        <v>DIR. SERVICE NEUFS</v>
      </c>
      <c r="N45" s="152">
        <f>+IF(OR($Q45=Parametres!$G$2,$Q45=Parametres!$G$3),I45,C45)</f>
        <v>2</v>
      </c>
      <c r="O45" s="570">
        <f>+IF(OR($Q45=Parametres!$G$2,$Q45=Parametres!$G$3),J45,D45)</f>
        <v>0</v>
      </c>
      <c r="P45" s="152">
        <f>+IF(OR($Q45=Parametres!$G$2,$Q45=Parametres!$G$3),K45,E45)</f>
        <v>2</v>
      </c>
      <c r="Q45" s="151" t="str">
        <f t="shared" si="4"/>
        <v>1-Mémo</v>
      </c>
      <c r="R45" s="150" t="str">
        <f t="shared" si="4"/>
        <v>50</v>
      </c>
      <c r="S45" s="151">
        <f t="shared" si="4"/>
        <v>0</v>
      </c>
      <c r="T45" s="153">
        <f>+VLOOKUP($L45,Data_Validation!$A:$D,1,0)</f>
        <v>521</v>
      </c>
      <c r="U45" s="153">
        <f>+VLOOKUP($L45,Data_Validation!$A:$D,3,0)</f>
        <v>0</v>
      </c>
      <c r="V45" s="153">
        <f>+VLOOKUP($L45,Data_Validation!$A:$D,4,0)</f>
        <v>0</v>
      </c>
      <c r="W45" s="153" t="str">
        <f>+VLOOKUP($L45,Data_Validation!$A:$E,5,0)</f>
        <v>$</v>
      </c>
      <c r="X45" s="153">
        <f>+VLOOKUP($L45,Data_Validation!$A:$F,6,0)</f>
        <v>0</v>
      </c>
    </row>
    <row r="46" spans="1:24" ht="15" customHeight="1">
      <c r="A46" s="1236" t="s">
        <v>2330</v>
      </c>
      <c r="B46" s="1237">
        <v>522</v>
      </c>
      <c r="C46" s="1238"/>
      <c r="D46" s="1238"/>
      <c r="E46" s="1238"/>
      <c r="F46" s="1236" t="s">
        <v>1</v>
      </c>
      <c r="G46" s="1236" t="s">
        <v>2208</v>
      </c>
      <c r="H46" s="1238"/>
      <c r="I46" s="1239">
        <v>1</v>
      </c>
      <c r="J46" s="1239">
        <v>0</v>
      </c>
      <c r="K46" s="1239">
        <v>1</v>
      </c>
      <c r="L46" s="150">
        <f t="shared" si="0"/>
        <v>522</v>
      </c>
      <c r="M46" s="151" t="str">
        <f t="shared" si="1"/>
        <v>DIR. SERVICE USAGES</v>
      </c>
      <c r="N46" s="152">
        <f>+IF(OR($Q46=Parametres!$G$2,$Q46=Parametres!$G$3),I46,C46)</f>
        <v>1</v>
      </c>
      <c r="O46" s="570">
        <f>+IF(OR($Q46=Parametres!$G$2,$Q46=Parametres!$G$3),J46,D46)</f>
        <v>0</v>
      </c>
      <c r="P46" s="152">
        <f>+IF(OR($Q46=Parametres!$G$2,$Q46=Parametres!$G$3),K46,E46)</f>
        <v>1</v>
      </c>
      <c r="Q46" s="151" t="str">
        <f t="shared" si="4"/>
        <v>1-Mémo</v>
      </c>
      <c r="R46" s="150" t="str">
        <f t="shared" si="4"/>
        <v>50</v>
      </c>
      <c r="S46" s="151">
        <f t="shared" si="4"/>
        <v>0</v>
      </c>
      <c r="T46" s="153">
        <f>+VLOOKUP($L46,Data_Validation!$A:$D,1,0)</f>
        <v>522</v>
      </c>
      <c r="U46" s="153">
        <f>+VLOOKUP($L46,Data_Validation!$A:$D,3,0)</f>
        <v>0</v>
      </c>
      <c r="V46" s="153">
        <f>+VLOOKUP($L46,Data_Validation!$A:$D,4,0)</f>
        <v>0</v>
      </c>
      <c r="W46" s="153" t="str">
        <f>+VLOOKUP($L46,Data_Validation!$A:$E,5,0)</f>
        <v>$</v>
      </c>
      <c r="X46" s="153">
        <f>+VLOOKUP($L46,Data_Validation!$A:$F,6,0)</f>
        <v>0</v>
      </c>
    </row>
    <row r="47" spans="1:24" ht="15" customHeight="1">
      <c r="A47" s="1236" t="s">
        <v>2332</v>
      </c>
      <c r="B47" s="1237">
        <v>524</v>
      </c>
      <c r="C47" s="1238"/>
      <c r="D47" s="1238"/>
      <c r="E47" s="1238"/>
      <c r="F47" s="1236" t="s">
        <v>1</v>
      </c>
      <c r="G47" s="1236" t="s">
        <v>2208</v>
      </c>
      <c r="H47" s="1238"/>
      <c r="I47" s="1239">
        <v>2</v>
      </c>
      <c r="J47" s="1239">
        <v>0</v>
      </c>
      <c r="K47" s="1239">
        <v>2</v>
      </c>
      <c r="L47" s="150">
        <f t="shared" si="0"/>
        <v>524</v>
      </c>
      <c r="M47" s="151" t="str">
        <f t="shared" si="1"/>
        <v>DIR. SERVICE SERVICE</v>
      </c>
      <c r="N47" s="152">
        <f>+IF(OR($Q47=Parametres!$G$2,$Q47=Parametres!$G$3),I47,C47)</f>
        <v>2</v>
      </c>
      <c r="O47" s="152">
        <f>+IF(OR($Q47=Parametres!$G$2,$Q47=Parametres!$G$3),J47,D47)</f>
        <v>0</v>
      </c>
      <c r="P47" s="152">
        <f>+IF(OR($Q47=Parametres!$G$2,$Q47=Parametres!$G$3),K47,E47)</f>
        <v>2</v>
      </c>
      <c r="Q47" s="151" t="str">
        <f t="shared" si="4"/>
        <v>1-Mémo</v>
      </c>
      <c r="R47" s="150" t="str">
        <f t="shared" si="4"/>
        <v>50</v>
      </c>
      <c r="S47" s="151">
        <f t="shared" si="4"/>
        <v>0</v>
      </c>
      <c r="T47" s="153">
        <f>+VLOOKUP($L47,Data_Validation!$A:$D,1,0)</f>
        <v>524</v>
      </c>
      <c r="U47" s="153">
        <f>+VLOOKUP($L47,Data_Validation!$A:$D,3,0)</f>
        <v>0</v>
      </c>
      <c r="V47" s="153">
        <f>+VLOOKUP($L47,Data_Validation!$A:$D,4,0)</f>
        <v>0</v>
      </c>
      <c r="W47" s="153" t="str">
        <f>+VLOOKUP($L47,Data_Validation!$A:$E,5,0)</f>
        <v>$</v>
      </c>
      <c r="X47" s="153">
        <f>+VLOOKUP($L47,Data_Validation!$A:$F,6,0)</f>
        <v>0</v>
      </c>
    </row>
    <row r="48" spans="1:24" ht="15.75" customHeight="1">
      <c r="A48" s="1236" t="s">
        <v>2334</v>
      </c>
      <c r="B48" s="1237">
        <v>527</v>
      </c>
      <c r="C48" s="1238"/>
      <c r="D48" s="1238"/>
      <c r="E48" s="1238"/>
      <c r="F48" s="1236" t="s">
        <v>1</v>
      </c>
      <c r="G48" s="1236" t="s">
        <v>2208</v>
      </c>
      <c r="H48" s="1238"/>
      <c r="I48" s="1239">
        <v>1</v>
      </c>
      <c r="J48" s="1239">
        <v>0</v>
      </c>
      <c r="K48" s="1239">
        <v>1</v>
      </c>
      <c r="L48" s="150">
        <f t="shared" si="0"/>
        <v>527</v>
      </c>
      <c r="M48" s="151" t="str">
        <f t="shared" si="1"/>
        <v>DIR. SERVICE PIECES</v>
      </c>
      <c r="N48" s="152">
        <f>+IF(OR($Q48=Parametres!$G$2,$Q48=Parametres!$G$3),I48,C48)</f>
        <v>1</v>
      </c>
      <c r="O48" s="152">
        <f>+IF(OR($Q48=Parametres!$G$2,$Q48=Parametres!$G$3),J48,D48)</f>
        <v>0</v>
      </c>
      <c r="P48" s="152">
        <f>+IF(OR($Q48=Parametres!$G$2,$Q48=Parametres!$G$3),K48,E48)</f>
        <v>1</v>
      </c>
      <c r="Q48" s="151" t="str">
        <f t="shared" si="4"/>
        <v>1-Mémo</v>
      </c>
      <c r="R48" s="150" t="str">
        <f t="shared" si="4"/>
        <v>50</v>
      </c>
      <c r="S48" s="151">
        <f t="shared" si="4"/>
        <v>0</v>
      </c>
      <c r="T48" s="153">
        <f>+VLOOKUP($L48,Data_Validation!$A:$D,1,0)</f>
        <v>527</v>
      </c>
      <c r="U48" s="153">
        <f>+VLOOKUP($L48,Data_Validation!$A:$D,3,0)</f>
        <v>0</v>
      </c>
      <c r="V48" s="153">
        <f>+VLOOKUP($L48,Data_Validation!$A:$D,4,0)</f>
        <v>0</v>
      </c>
      <c r="W48" s="153" t="str">
        <f>+VLOOKUP($L48,Data_Validation!$A:$E,5,0)</f>
        <v>$</v>
      </c>
      <c r="X48" s="153">
        <f>+VLOOKUP($L48,Data_Validation!$A:$F,6,0)</f>
        <v>0</v>
      </c>
    </row>
    <row r="49" spans="1:24" ht="15" customHeight="1">
      <c r="A49" s="1236" t="s">
        <v>2336</v>
      </c>
      <c r="B49" s="1237">
        <v>541</v>
      </c>
      <c r="C49" s="1238"/>
      <c r="D49" s="1238"/>
      <c r="E49" s="1238"/>
      <c r="F49" s="1236" t="s">
        <v>1</v>
      </c>
      <c r="G49" s="1236" t="s">
        <v>2338</v>
      </c>
      <c r="H49" s="1238"/>
      <c r="I49" s="1239">
        <v>4</v>
      </c>
      <c r="J49" s="1239">
        <v>0</v>
      </c>
      <c r="K49" s="1239">
        <v>4</v>
      </c>
      <c r="L49" s="150">
        <f t="shared" si="0"/>
        <v>541</v>
      </c>
      <c r="M49" s="151" t="str">
        <f t="shared" si="1"/>
        <v>VW REP. DES VENTES - NEUF</v>
      </c>
      <c r="N49" s="152">
        <f>+IF(OR($Q49=Parametres!$G$2,$Q49=Parametres!$G$3),I49,C49)</f>
        <v>4</v>
      </c>
      <c r="O49" s="569">
        <f>+IF(OR($Q49=Parametres!$G$2,$Q49=Parametres!$G$3),J49,D49)</f>
        <v>0</v>
      </c>
      <c r="P49" s="152">
        <f>+IF(OR($Q49=Parametres!$G$2,$Q49=Parametres!$G$3),K49,E49)</f>
        <v>4</v>
      </c>
      <c r="Q49" s="151" t="str">
        <f t="shared" si="4"/>
        <v>1-Mémo</v>
      </c>
      <c r="R49" s="150" t="str">
        <f t="shared" si="4"/>
        <v>54</v>
      </c>
      <c r="S49" s="151">
        <f t="shared" si="4"/>
        <v>0</v>
      </c>
      <c r="T49" s="153">
        <f>+VLOOKUP($L49,Data_Validation!$A:$D,1,0)</f>
        <v>541</v>
      </c>
      <c r="U49" s="153">
        <f>+VLOOKUP($L49,Data_Validation!$A:$D,3,0)</f>
        <v>0</v>
      </c>
      <c r="V49" s="153">
        <f>+VLOOKUP($L49,Data_Validation!$A:$D,4,0)</f>
        <v>0</v>
      </c>
      <c r="W49" s="153" t="str">
        <f>+VLOOKUP($L49,Data_Validation!$A:$E,5,0)</f>
        <v>$</v>
      </c>
      <c r="X49" s="153">
        <f>+VLOOKUP($L49,Data_Validation!$A:$F,6,0)</f>
        <v>0</v>
      </c>
    </row>
    <row r="50" spans="1:24" ht="15" customHeight="1">
      <c r="A50" s="1236" t="s">
        <v>2339</v>
      </c>
      <c r="B50" s="1237">
        <v>542</v>
      </c>
      <c r="C50" s="1238"/>
      <c r="D50" s="1238"/>
      <c r="E50" s="1238"/>
      <c r="F50" s="1236" t="s">
        <v>1</v>
      </c>
      <c r="G50" s="1236" t="s">
        <v>2208</v>
      </c>
      <c r="H50" s="1238"/>
      <c r="I50" s="1239">
        <v>1</v>
      </c>
      <c r="J50" s="1239">
        <v>0</v>
      </c>
      <c r="K50" s="1239">
        <v>1</v>
      </c>
      <c r="L50" s="150">
        <f t="shared" si="0"/>
        <v>542</v>
      </c>
      <c r="M50" s="151" t="str">
        <f t="shared" si="1"/>
        <v>VW REP. DES VENTES - OCC.</v>
      </c>
      <c r="N50" s="152">
        <f>+IF(OR($Q50=Parametres!$G$2,$Q50=Parametres!$G$3),I50,C50)</f>
        <v>1</v>
      </c>
      <c r="O50" s="570">
        <f>+IF(OR($Q50=Parametres!$G$2,$Q50=Parametres!$G$3),J50,D50)</f>
        <v>0</v>
      </c>
      <c r="P50" s="152">
        <f>+IF(OR($Q50=Parametres!$G$2,$Q50=Parametres!$G$3),K50,E50)</f>
        <v>1</v>
      </c>
      <c r="Q50" s="151" t="str">
        <f t="shared" ref="Q50:S65" si="5">+F50</f>
        <v>1-Mémo</v>
      </c>
      <c r="R50" s="150" t="str">
        <f t="shared" si="5"/>
        <v>50</v>
      </c>
      <c r="S50" s="151">
        <f t="shared" si="5"/>
        <v>0</v>
      </c>
      <c r="T50" s="153">
        <f>+VLOOKUP($L50,Data_Validation!$A:$D,1,0)</f>
        <v>542</v>
      </c>
      <c r="U50" s="153">
        <f>+VLOOKUP($L50,Data_Validation!$A:$D,3,0)</f>
        <v>0</v>
      </c>
      <c r="V50" s="153">
        <f>+VLOOKUP($L50,Data_Validation!$A:$D,4,0)</f>
        <v>0</v>
      </c>
      <c r="W50" s="153" t="str">
        <f>+VLOOKUP($L50,Data_Validation!$A:$E,5,0)</f>
        <v>$</v>
      </c>
      <c r="X50" s="153">
        <f>+VLOOKUP($L50,Data_Validation!$A:$F,6,0)</f>
        <v>0</v>
      </c>
    </row>
    <row r="51" spans="1:24" ht="15" customHeight="1">
      <c r="A51" s="1236" t="s">
        <v>2341</v>
      </c>
      <c r="B51" s="1237">
        <v>551</v>
      </c>
      <c r="C51" s="1238"/>
      <c r="D51" s="1238"/>
      <c r="E51" s="1238"/>
      <c r="F51" s="1236" t="s">
        <v>1</v>
      </c>
      <c r="G51" s="1236" t="s">
        <v>2208</v>
      </c>
      <c r="H51" s="1238"/>
      <c r="I51" s="1239">
        <v>3</v>
      </c>
      <c r="J51" s="1239">
        <v>0</v>
      </c>
      <c r="K51" s="1239">
        <v>3</v>
      </c>
      <c r="L51" s="150">
        <f t="shared" si="0"/>
        <v>551</v>
      </c>
      <c r="M51" s="151" t="str">
        <f t="shared" si="1"/>
        <v>DIR. COMMERCIAL NEUFS</v>
      </c>
      <c r="N51" s="152">
        <f>+IF(OR($Q51=Parametres!$G$2,$Q51=Parametres!$G$3),I51,C51)</f>
        <v>3</v>
      </c>
      <c r="O51" s="570">
        <f>+IF(OR($Q51=Parametres!$G$2,$Q51=Parametres!$G$3),J51,D51)</f>
        <v>0</v>
      </c>
      <c r="P51" s="152">
        <f>+IF(OR($Q51=Parametres!$G$2,$Q51=Parametres!$G$3),K51,E51)</f>
        <v>3</v>
      </c>
      <c r="Q51" s="151" t="str">
        <f t="shared" si="5"/>
        <v>1-Mémo</v>
      </c>
      <c r="R51" s="150" t="str">
        <f t="shared" si="5"/>
        <v>50</v>
      </c>
      <c r="S51" s="151">
        <f t="shared" si="5"/>
        <v>0</v>
      </c>
      <c r="T51" s="153">
        <f>+VLOOKUP($L51,Data_Validation!$A:$D,1,0)</f>
        <v>551</v>
      </c>
      <c r="U51" s="153">
        <f>+VLOOKUP($L51,Data_Validation!$A:$D,3,0)</f>
        <v>0</v>
      </c>
      <c r="V51" s="153">
        <f>+VLOOKUP($L51,Data_Validation!$A:$D,4,0)</f>
        <v>0</v>
      </c>
      <c r="W51" s="153" t="str">
        <f>+VLOOKUP($L51,Data_Validation!$A:$E,5,0)</f>
        <v>$</v>
      </c>
      <c r="X51" s="153">
        <f>+VLOOKUP($L51,Data_Validation!$A:$F,6,0)</f>
        <v>0</v>
      </c>
    </row>
    <row r="52" spans="1:24" ht="15.75" customHeight="1">
      <c r="A52" s="1236" t="s">
        <v>2343</v>
      </c>
      <c r="B52" s="1237">
        <v>552</v>
      </c>
      <c r="C52" s="1238"/>
      <c r="D52" s="1238"/>
      <c r="E52" s="1238"/>
      <c r="F52" s="1236" t="s">
        <v>1</v>
      </c>
      <c r="G52" s="1236" t="s">
        <v>2208</v>
      </c>
      <c r="H52" s="1238"/>
      <c r="I52" s="1239">
        <v>2</v>
      </c>
      <c r="J52" s="1239">
        <v>0</v>
      </c>
      <c r="K52" s="1239">
        <v>2</v>
      </c>
      <c r="L52" s="150">
        <f t="shared" si="0"/>
        <v>552</v>
      </c>
      <c r="M52" s="151" t="str">
        <f t="shared" si="1"/>
        <v>DIR. COMMERCIAL USAGES</v>
      </c>
      <c r="N52" s="152">
        <f>+IF(OR($Q52=Parametres!$G$2,$Q52=Parametres!$G$3),I52,C52)</f>
        <v>2</v>
      </c>
      <c r="O52" s="152">
        <f>+IF(OR($Q52=Parametres!$G$2,$Q52=Parametres!$G$3),J52,D52)</f>
        <v>0</v>
      </c>
      <c r="P52" s="152">
        <f>+IF(OR($Q52=Parametres!$G$2,$Q52=Parametres!$G$3),K52,E52)</f>
        <v>2</v>
      </c>
      <c r="Q52" s="151" t="str">
        <f t="shared" si="5"/>
        <v>1-Mémo</v>
      </c>
      <c r="R52" s="150" t="str">
        <f t="shared" si="5"/>
        <v>50</v>
      </c>
      <c r="S52" s="151">
        <f t="shared" si="5"/>
        <v>0</v>
      </c>
      <c r="T52" s="153">
        <f>+VLOOKUP($L52,Data_Validation!$A:$D,1,0)</f>
        <v>552</v>
      </c>
      <c r="U52" s="153">
        <f>+VLOOKUP($L52,Data_Validation!$A:$D,3,0)</f>
        <v>0</v>
      </c>
      <c r="V52" s="153">
        <f>+VLOOKUP($L52,Data_Validation!$A:$D,4,0)</f>
        <v>0</v>
      </c>
      <c r="W52" s="153" t="str">
        <f>+VLOOKUP($L52,Data_Validation!$A:$E,5,0)</f>
        <v>$</v>
      </c>
      <c r="X52" s="153">
        <f>+VLOOKUP($L52,Data_Validation!$A:$F,6,0)</f>
        <v>0</v>
      </c>
    </row>
    <row r="53" spans="1:24" ht="15" customHeight="1">
      <c r="A53" s="1236" t="s">
        <v>2855</v>
      </c>
      <c r="B53" s="1237">
        <v>564</v>
      </c>
      <c r="C53" s="1238"/>
      <c r="D53" s="1238"/>
      <c r="E53" s="1238"/>
      <c r="F53" s="1236" t="s">
        <v>1</v>
      </c>
      <c r="G53" s="1236" t="s">
        <v>2208</v>
      </c>
      <c r="H53" s="1238"/>
      <c r="I53" s="1239">
        <v>1</v>
      </c>
      <c r="J53" s="1239">
        <v>0</v>
      </c>
      <c r="K53" s="1239">
        <v>1</v>
      </c>
      <c r="L53" s="150">
        <f t="shared" si="0"/>
        <v>564</v>
      </c>
      <c r="M53" s="151" t="str">
        <f t="shared" si="1"/>
        <v>CONTREMAITRE SERVICE</v>
      </c>
      <c r="N53" s="152">
        <f>+IF(OR($Q53=Parametres!$G$2,$Q53=Parametres!$G$3),I53,C53)</f>
        <v>1</v>
      </c>
      <c r="O53" s="569">
        <f>+IF(OR($Q53=Parametres!$G$2,$Q53=Parametres!$G$3),J53,D53)</f>
        <v>0</v>
      </c>
      <c r="P53" s="152">
        <f>+IF(OR($Q53=Parametres!$G$2,$Q53=Parametres!$G$3),K53,E53)</f>
        <v>1</v>
      </c>
      <c r="Q53" s="151" t="str">
        <f t="shared" si="5"/>
        <v>1-Mémo</v>
      </c>
      <c r="R53" s="150" t="str">
        <f t="shared" si="5"/>
        <v>50</v>
      </c>
      <c r="S53" s="151">
        <f t="shared" si="5"/>
        <v>0</v>
      </c>
      <c r="T53" s="153">
        <f>+VLOOKUP($L53,Data_Validation!$A:$D,1,0)</f>
        <v>564</v>
      </c>
      <c r="U53" s="153">
        <f>+VLOOKUP($L53,Data_Validation!$A:$D,3,0)</f>
        <v>0</v>
      </c>
      <c r="V53" s="153">
        <f>+VLOOKUP($L53,Data_Validation!$A:$D,4,0)</f>
        <v>0</v>
      </c>
      <c r="W53" s="153" t="str">
        <f>+VLOOKUP($L53,Data_Validation!$A:$E,5,0)</f>
        <v>$</v>
      </c>
      <c r="X53" s="153">
        <f>+VLOOKUP($L53,Data_Validation!$A:$F,6,0)</f>
        <v>0</v>
      </c>
    </row>
    <row r="54" spans="1:24" ht="15" customHeight="1">
      <c r="A54" s="1236" t="s">
        <v>2345</v>
      </c>
      <c r="B54" s="1237">
        <v>614</v>
      </c>
      <c r="C54" s="1238"/>
      <c r="D54" s="1238"/>
      <c r="E54" s="1238"/>
      <c r="F54" s="1236" t="s">
        <v>1</v>
      </c>
      <c r="G54" s="1236" t="s">
        <v>2347</v>
      </c>
      <c r="H54" s="1238"/>
      <c r="I54" s="1239">
        <v>4</v>
      </c>
      <c r="J54" s="1239">
        <v>0</v>
      </c>
      <c r="K54" s="1239">
        <v>4</v>
      </c>
      <c r="L54" s="150">
        <f t="shared" si="0"/>
        <v>614</v>
      </c>
      <c r="M54" s="151" t="str">
        <f t="shared" si="1"/>
        <v>VW CONSEILLERS SERVICE -SERVICE</v>
      </c>
      <c r="N54" s="152">
        <f>+IF(OR($Q54=Parametres!$G$2,$Q54=Parametres!$G$3),I54,C54)</f>
        <v>4</v>
      </c>
      <c r="O54" s="152">
        <f>+IF(OR($Q54=Parametres!$G$2,$Q54=Parametres!$G$3),J54,D54)</f>
        <v>0</v>
      </c>
      <c r="P54" s="152">
        <f>+IF(OR($Q54=Parametres!$G$2,$Q54=Parametres!$G$3),K54,E54)</f>
        <v>4</v>
      </c>
      <c r="Q54" s="151" t="str">
        <f t="shared" si="5"/>
        <v>1-Mémo</v>
      </c>
      <c r="R54" s="150" t="str">
        <f t="shared" si="5"/>
        <v>61</v>
      </c>
      <c r="S54" s="151">
        <f t="shared" si="5"/>
        <v>0</v>
      </c>
      <c r="T54" s="153">
        <f>+VLOOKUP($L54,Data_Validation!$A:$D,1,0)</f>
        <v>614</v>
      </c>
      <c r="U54" s="153">
        <f>+VLOOKUP($L54,Data_Validation!$A:$D,3,0)</f>
        <v>0</v>
      </c>
      <c r="V54" s="153">
        <f>+VLOOKUP($L54,Data_Validation!$A:$D,4,0)</f>
        <v>0</v>
      </c>
      <c r="W54" s="153" t="str">
        <f>+VLOOKUP($L54,Data_Validation!$A:$E,5,0)</f>
        <v>$</v>
      </c>
      <c r="X54" s="153">
        <f>+VLOOKUP($L54,Data_Validation!$A:$F,6,0)</f>
        <v>0</v>
      </c>
    </row>
    <row r="55" spans="1:24" ht="15" customHeight="1">
      <c r="A55" s="1236" t="s">
        <v>2348</v>
      </c>
      <c r="B55" s="1237">
        <v>615</v>
      </c>
      <c r="C55" s="1238"/>
      <c r="D55" s="1238"/>
      <c r="E55" s="1238"/>
      <c r="F55" s="1236" t="s">
        <v>1</v>
      </c>
      <c r="G55" s="1236" t="s">
        <v>2347</v>
      </c>
      <c r="H55" s="1238"/>
      <c r="I55" s="1239">
        <v>1</v>
      </c>
      <c r="J55" s="1239">
        <v>0</v>
      </c>
      <c r="K55" s="1239">
        <v>1</v>
      </c>
      <c r="L55" s="150">
        <f t="shared" si="0"/>
        <v>615</v>
      </c>
      <c r="M55" s="151" t="str">
        <f t="shared" si="1"/>
        <v>VW CONSEILLERS SERVICE - PIEC. &amp; CARR.&lt;</v>
      </c>
      <c r="N55" s="152">
        <f>+IF(OR($Q55=Parametres!$G$2,$Q55=Parametres!$G$3),I55,C55)</f>
        <v>1</v>
      </c>
      <c r="O55" s="152">
        <f>+IF(OR($Q55=Parametres!$G$2,$Q55=Parametres!$G$3),J55,D55)</f>
        <v>0</v>
      </c>
      <c r="P55" s="152">
        <f>+IF(OR($Q55=Parametres!$G$2,$Q55=Parametres!$G$3),K55,E55)</f>
        <v>1</v>
      </c>
      <c r="Q55" s="151" t="str">
        <f t="shared" si="5"/>
        <v>1-Mémo</v>
      </c>
      <c r="R55" s="150" t="str">
        <f t="shared" si="5"/>
        <v>61</v>
      </c>
      <c r="S55" s="151">
        <f t="shared" si="5"/>
        <v>0</v>
      </c>
      <c r="T55" s="153">
        <f>+VLOOKUP($L55,Data_Validation!$A:$D,1,0)</f>
        <v>615</v>
      </c>
      <c r="U55" s="153">
        <f>+VLOOKUP($L55,Data_Validation!$A:$D,3,0)</f>
        <v>0</v>
      </c>
      <c r="V55" s="153">
        <f>+VLOOKUP($L55,Data_Validation!$A:$D,4,0)</f>
        <v>0</v>
      </c>
      <c r="W55" s="153" t="str">
        <f>+VLOOKUP($L55,Data_Validation!$A:$E,5,0)</f>
        <v>$</v>
      </c>
      <c r="X55" s="153">
        <f>+VLOOKUP($L55,Data_Validation!$A:$F,6,0)</f>
        <v>0</v>
      </c>
    </row>
    <row r="56" spans="1:24" ht="15.75" customHeight="1">
      <c r="A56" s="1236" t="s">
        <v>2350</v>
      </c>
      <c r="B56" s="1237">
        <v>621</v>
      </c>
      <c r="C56" s="1238"/>
      <c r="D56" s="1238"/>
      <c r="E56" s="1238"/>
      <c r="F56" s="1236" t="s">
        <v>1</v>
      </c>
      <c r="G56" s="1236" t="s">
        <v>2208</v>
      </c>
      <c r="H56" s="1238"/>
      <c r="I56" s="1239">
        <v>1</v>
      </c>
      <c r="J56" s="1239">
        <v>0</v>
      </c>
      <c r="K56" s="1239">
        <v>1</v>
      </c>
      <c r="L56" s="150">
        <f t="shared" si="0"/>
        <v>621</v>
      </c>
      <c r="M56" s="151" t="str">
        <f t="shared" si="1"/>
        <v>LAVEURS NEUFS</v>
      </c>
      <c r="N56" s="152">
        <f>+IF(OR($Q56=Parametres!$G$2,$Q56=Parametres!$G$3),I56,C56)</f>
        <v>1</v>
      </c>
      <c r="O56" s="569">
        <f>+IF(OR($Q56=Parametres!$G$2,$Q56=Parametres!$G$3),J56,D56)</f>
        <v>0</v>
      </c>
      <c r="P56" s="152">
        <f>+IF(OR($Q56=Parametres!$G$2,$Q56=Parametres!$G$3),K56,E56)</f>
        <v>1</v>
      </c>
      <c r="Q56" s="151" t="str">
        <f t="shared" si="5"/>
        <v>1-Mémo</v>
      </c>
      <c r="R56" s="150" t="str">
        <f t="shared" si="5"/>
        <v>50</v>
      </c>
      <c r="S56" s="151">
        <f t="shared" si="5"/>
        <v>0</v>
      </c>
      <c r="T56" s="153">
        <f>+VLOOKUP($L56,Data_Validation!$A:$D,1,0)</f>
        <v>621</v>
      </c>
      <c r="U56" s="153">
        <f>+VLOOKUP($L56,Data_Validation!$A:$D,3,0)</f>
        <v>0</v>
      </c>
      <c r="V56" s="153">
        <f>+VLOOKUP($L56,Data_Validation!$A:$D,4,0)</f>
        <v>0</v>
      </c>
      <c r="W56" s="153" t="str">
        <f>+VLOOKUP($L56,Data_Validation!$A:$E,5,0)</f>
        <v>$</v>
      </c>
      <c r="X56" s="153">
        <f>+VLOOKUP($L56,Data_Validation!$A:$F,6,0)</f>
        <v>0</v>
      </c>
    </row>
    <row r="57" spans="1:24" ht="15" customHeight="1">
      <c r="A57" s="1236" t="s">
        <v>2352</v>
      </c>
      <c r="B57" s="1237">
        <v>622</v>
      </c>
      <c r="C57" s="1240"/>
      <c r="D57" s="1240"/>
      <c r="E57" s="1240"/>
      <c r="F57" s="1236" t="s">
        <v>1</v>
      </c>
      <c r="G57" s="1236" t="s">
        <v>2208</v>
      </c>
      <c r="H57" s="1238"/>
      <c r="I57" s="1239">
        <v>1</v>
      </c>
      <c r="J57" s="1239">
        <v>0</v>
      </c>
      <c r="K57" s="1239">
        <v>1</v>
      </c>
      <c r="L57" s="150">
        <f t="shared" si="0"/>
        <v>622</v>
      </c>
      <c r="M57" s="151" t="str">
        <f t="shared" si="1"/>
        <v>LAVEURS USAGES</v>
      </c>
      <c r="N57" s="152">
        <f>+IF(OR($Q57=Parametres!$G$2,$Q57=Parametres!$G$3),I57,C57)</f>
        <v>1</v>
      </c>
      <c r="O57" s="152">
        <f>+IF(OR($Q57=Parametres!$G$2,$Q57=Parametres!$G$3),J57,D57)</f>
        <v>0</v>
      </c>
      <c r="P57" s="152">
        <f>+IF(OR($Q57=Parametres!$G$2,$Q57=Parametres!$G$3),K57,E57)</f>
        <v>1</v>
      </c>
      <c r="Q57" s="151" t="str">
        <f t="shared" si="5"/>
        <v>1-Mémo</v>
      </c>
      <c r="R57" s="150" t="str">
        <f t="shared" si="5"/>
        <v>50</v>
      </c>
      <c r="S57" s="151">
        <f t="shared" si="5"/>
        <v>0</v>
      </c>
      <c r="T57" s="153">
        <f>+VLOOKUP($L57,Data_Validation!$A:$D,1,0)</f>
        <v>622</v>
      </c>
      <c r="U57" s="153">
        <f>+VLOOKUP($L57,Data_Validation!$A:$D,3,0)</f>
        <v>0</v>
      </c>
      <c r="V57" s="153">
        <f>+VLOOKUP($L57,Data_Validation!$A:$D,4,0)</f>
        <v>0</v>
      </c>
      <c r="W57" s="153" t="str">
        <f>+VLOOKUP($L57,Data_Validation!$A:$E,5,0)</f>
        <v>$</v>
      </c>
      <c r="X57" s="153">
        <f>+VLOOKUP($L57,Data_Validation!$A:$F,6,0)</f>
        <v>0</v>
      </c>
    </row>
    <row r="58" spans="1:24" ht="15" customHeight="1">
      <c r="A58" s="1236" t="s">
        <v>2354</v>
      </c>
      <c r="B58" s="1237">
        <v>624</v>
      </c>
      <c r="C58" s="1238"/>
      <c r="D58" s="1238"/>
      <c r="E58" s="1238"/>
      <c r="F58" s="1236" t="s">
        <v>1</v>
      </c>
      <c r="G58" s="1236" t="s">
        <v>2208</v>
      </c>
      <c r="H58" s="1238"/>
      <c r="I58" s="1239">
        <v>9</v>
      </c>
      <c r="J58" s="1239">
        <v>0</v>
      </c>
      <c r="K58" s="1239">
        <v>9</v>
      </c>
      <c r="L58" s="150">
        <f t="shared" si="0"/>
        <v>624</v>
      </c>
      <c r="M58" s="151" t="str">
        <f t="shared" si="1"/>
        <v>LAVEURS SERVICE</v>
      </c>
      <c r="N58" s="152">
        <f>+IF(OR($Q58=Parametres!$G$2,$Q58=Parametres!$G$3),I58,C58)</f>
        <v>9</v>
      </c>
      <c r="O58" s="152">
        <f>+IF(OR($Q58=Parametres!$G$2,$Q58=Parametres!$G$3),J58,D58)</f>
        <v>0</v>
      </c>
      <c r="P58" s="152">
        <f>+IF(OR($Q58=Parametres!$G$2,$Q58=Parametres!$G$3),K58,E58)</f>
        <v>9</v>
      </c>
      <c r="Q58" s="151" t="str">
        <f t="shared" si="5"/>
        <v>1-Mémo</v>
      </c>
      <c r="R58" s="150" t="str">
        <f t="shared" si="5"/>
        <v>50</v>
      </c>
      <c r="S58" s="151">
        <f t="shared" si="5"/>
        <v>0</v>
      </c>
      <c r="T58" s="153">
        <f>+VLOOKUP($L58,Data_Validation!$A:$D,1,0)</f>
        <v>624</v>
      </c>
      <c r="U58" s="153">
        <f>+VLOOKUP($L58,Data_Validation!$A:$D,3,0)</f>
        <v>0</v>
      </c>
      <c r="V58" s="153">
        <f>+VLOOKUP($L58,Data_Validation!$A:$D,4,0)</f>
        <v>0</v>
      </c>
      <c r="W58" s="153" t="str">
        <f>+VLOOKUP($L58,Data_Validation!$A:$E,5,0)</f>
        <v>$</v>
      </c>
      <c r="X58" s="153">
        <f>+VLOOKUP($L58,Data_Validation!$A:$F,6,0)</f>
        <v>0</v>
      </c>
    </row>
    <row r="59" spans="1:24" ht="15" customHeight="1">
      <c r="A59" s="1236" t="s">
        <v>2356</v>
      </c>
      <c r="B59" s="1237">
        <v>644</v>
      </c>
      <c r="C59" s="1240"/>
      <c r="D59" s="1240"/>
      <c r="E59" s="1240"/>
      <c r="F59" s="1236" t="s">
        <v>1</v>
      </c>
      <c r="G59" s="1236" t="s">
        <v>2358</v>
      </c>
      <c r="H59" s="1238"/>
      <c r="I59" s="1239">
        <v>12</v>
      </c>
      <c r="J59" s="1239">
        <v>0</v>
      </c>
      <c r="K59" s="1239">
        <v>12</v>
      </c>
      <c r="L59" s="150">
        <f t="shared" si="0"/>
        <v>644</v>
      </c>
      <c r="M59" s="151" t="str">
        <f t="shared" si="1"/>
        <v>VW TECHNICIENS - SERVICE</v>
      </c>
      <c r="N59" s="152">
        <f>+IF(OR($Q59=Parametres!$G$2,$Q59=Parametres!$G$3),I59,C59)</f>
        <v>12</v>
      </c>
      <c r="O59" s="152">
        <f>+IF(OR($Q59=Parametres!$G$2,$Q59=Parametres!$G$3),J59,D59)</f>
        <v>0</v>
      </c>
      <c r="P59" s="152">
        <f>+IF(OR($Q59=Parametres!$G$2,$Q59=Parametres!$G$3),K59,E59)</f>
        <v>12</v>
      </c>
      <c r="Q59" s="151" t="str">
        <f t="shared" si="5"/>
        <v>1-Mémo</v>
      </c>
      <c r="R59" s="150" t="str">
        <f t="shared" si="5"/>
        <v>64</v>
      </c>
      <c r="S59" s="151">
        <f t="shared" si="5"/>
        <v>0</v>
      </c>
      <c r="T59" s="153">
        <f>+VLOOKUP($L59,Data_Validation!$A:$D,1,0)</f>
        <v>644</v>
      </c>
      <c r="U59" s="153">
        <f>+VLOOKUP($L59,Data_Validation!$A:$D,3,0)</f>
        <v>0</v>
      </c>
      <c r="V59" s="153">
        <f>+VLOOKUP($L59,Data_Validation!$A:$D,4,0)</f>
        <v>0</v>
      </c>
      <c r="W59" s="153" t="str">
        <f>+VLOOKUP($L59,Data_Validation!$A:$E,5,0)</f>
        <v>$</v>
      </c>
      <c r="X59" s="153">
        <f>+VLOOKUP($L59,Data_Validation!$A:$F,6,0)</f>
        <v>0</v>
      </c>
    </row>
    <row r="60" spans="1:24" ht="15" customHeight="1">
      <c r="A60" s="1236" t="s">
        <v>2359</v>
      </c>
      <c r="B60" s="1237">
        <v>651</v>
      </c>
      <c r="C60" s="1240"/>
      <c r="D60" s="1240"/>
      <c r="E60" s="1240"/>
      <c r="F60" s="1236" t="s">
        <v>1</v>
      </c>
      <c r="G60" s="1236" t="s">
        <v>2208</v>
      </c>
      <c r="H60" s="1238"/>
      <c r="I60" s="1239">
        <v>0.2</v>
      </c>
      <c r="J60" s="1239">
        <v>0</v>
      </c>
      <c r="K60" s="1239">
        <v>0.2</v>
      </c>
      <c r="L60" s="150">
        <f t="shared" si="0"/>
        <v>651</v>
      </c>
      <c r="M60" s="151" t="str">
        <f t="shared" si="1"/>
        <v>DIR. ADMINIS. NEUFS</v>
      </c>
      <c r="N60" s="152">
        <f>+IF(OR($Q60=Parametres!$G$2,$Q60=Parametres!$G$3),I60,C60)</f>
        <v>0.2</v>
      </c>
      <c r="O60" s="569">
        <f>+IF(OR($Q60=Parametres!$G$2,$Q60=Parametres!$G$3),J60,D60)</f>
        <v>0</v>
      </c>
      <c r="P60" s="152">
        <f>+IF(OR($Q60=Parametres!$G$2,$Q60=Parametres!$G$3),K60,E60)</f>
        <v>0.2</v>
      </c>
      <c r="Q60" s="151" t="str">
        <f t="shared" si="5"/>
        <v>1-Mémo</v>
      </c>
      <c r="R60" s="150" t="str">
        <f t="shared" si="5"/>
        <v>50</v>
      </c>
      <c r="S60" s="151">
        <f t="shared" si="5"/>
        <v>0</v>
      </c>
      <c r="T60" s="153">
        <f>+VLOOKUP($L60,Data_Validation!$A:$D,1,0)</f>
        <v>651</v>
      </c>
      <c r="U60" s="153">
        <f>+VLOOKUP($L60,Data_Validation!$A:$D,3,0)</f>
        <v>0</v>
      </c>
      <c r="V60" s="153">
        <f>+VLOOKUP($L60,Data_Validation!$A:$D,4,0)</f>
        <v>0</v>
      </c>
      <c r="W60" s="153" t="str">
        <f>+VLOOKUP($L60,Data_Validation!$A:$E,5,0)</f>
        <v>$</v>
      </c>
      <c r="X60" s="153">
        <f>+VLOOKUP($L60,Data_Validation!$A:$F,6,0)</f>
        <v>0</v>
      </c>
    </row>
    <row r="61" spans="1:24" ht="15" customHeight="1">
      <c r="A61" s="1236" t="s">
        <v>2361</v>
      </c>
      <c r="B61" s="1237">
        <v>652</v>
      </c>
      <c r="C61" s="1239"/>
      <c r="D61" s="1239"/>
      <c r="E61" s="1239"/>
      <c r="F61" s="1236" t="s">
        <v>1</v>
      </c>
      <c r="G61" s="1236" t="s">
        <v>2208</v>
      </c>
      <c r="H61" s="1238"/>
      <c r="I61" s="1238">
        <v>0.2</v>
      </c>
      <c r="J61" s="1238">
        <v>0</v>
      </c>
      <c r="K61" s="1238">
        <v>0.2</v>
      </c>
      <c r="L61" s="150">
        <f t="shared" si="0"/>
        <v>652</v>
      </c>
      <c r="M61" s="151" t="str">
        <f t="shared" si="1"/>
        <v>DIR. ADMINIS. USAGES</v>
      </c>
      <c r="N61" s="152">
        <f>+IF(OR($Q61=Parametres!$G$2,$Q61=Parametres!$G$3),I61,C61)</f>
        <v>0.2</v>
      </c>
      <c r="O61" s="569">
        <f>+IF(OR($Q61=Parametres!$G$2,$Q61=Parametres!$G$3),J61,D61)</f>
        <v>0</v>
      </c>
      <c r="P61" s="152">
        <f>+IF(OR($Q61=Parametres!$G$2,$Q61=Parametres!$G$3),K61,E61)</f>
        <v>0.2</v>
      </c>
      <c r="Q61" s="151" t="str">
        <f t="shared" si="5"/>
        <v>1-Mémo</v>
      </c>
      <c r="R61" s="150" t="str">
        <f t="shared" si="5"/>
        <v>50</v>
      </c>
      <c r="S61" s="151">
        <f t="shared" si="5"/>
        <v>0</v>
      </c>
      <c r="T61" s="153">
        <f>+VLOOKUP($L61,Data_Validation!$A:$D,1,0)</f>
        <v>652</v>
      </c>
      <c r="U61" s="153">
        <f>+VLOOKUP($L61,Data_Validation!$A:$D,3,0)</f>
        <v>0</v>
      </c>
      <c r="V61" s="153">
        <f>+VLOOKUP($L61,Data_Validation!$A:$D,4,0)</f>
        <v>0</v>
      </c>
      <c r="W61" s="153" t="str">
        <f>+VLOOKUP($L61,Data_Validation!$A:$E,5,0)</f>
        <v>$</v>
      </c>
      <c r="X61" s="153">
        <f>+VLOOKUP($L61,Data_Validation!$A:$F,6,0)</f>
        <v>0</v>
      </c>
    </row>
    <row r="62" spans="1:24" ht="15" customHeight="1">
      <c r="A62" s="1236" t="s">
        <v>2363</v>
      </c>
      <c r="B62" s="1237">
        <v>654</v>
      </c>
      <c r="C62" s="1239"/>
      <c r="D62" s="1239"/>
      <c r="E62" s="1239"/>
      <c r="F62" s="1236" t="s">
        <v>1</v>
      </c>
      <c r="G62" s="1236" t="s">
        <v>2208</v>
      </c>
      <c r="H62" s="1238"/>
      <c r="I62" s="1238">
        <v>0.2</v>
      </c>
      <c r="J62" s="1238">
        <v>0</v>
      </c>
      <c r="K62" s="1238">
        <v>0.2</v>
      </c>
      <c r="L62" s="150">
        <f t="shared" si="0"/>
        <v>654</v>
      </c>
      <c r="M62" s="151" t="str">
        <f t="shared" si="1"/>
        <v>DIR. ADMINIS. SERVICE</v>
      </c>
      <c r="N62" s="152">
        <f>+IF(OR($Q62=Parametres!$G$2,$Q62=Parametres!$G$3),I62,C62)</f>
        <v>0.2</v>
      </c>
      <c r="O62" s="152">
        <f>+IF(OR($Q62=Parametres!$G$2,$Q62=Parametres!$G$3),J62,D62)</f>
        <v>0</v>
      </c>
      <c r="P62" s="152">
        <f>+IF(OR($Q62=Parametres!$G$2,$Q62=Parametres!$G$3),K62,E62)</f>
        <v>0.2</v>
      </c>
      <c r="Q62" s="151" t="str">
        <f t="shared" si="5"/>
        <v>1-Mémo</v>
      </c>
      <c r="R62" s="150" t="str">
        <f t="shared" si="5"/>
        <v>50</v>
      </c>
      <c r="S62" s="151">
        <f t="shared" si="5"/>
        <v>0</v>
      </c>
      <c r="T62" s="153">
        <f>+VLOOKUP($L62,Data_Validation!$A:$D,1,0)</f>
        <v>654</v>
      </c>
      <c r="U62" s="153">
        <f>+VLOOKUP($L62,Data_Validation!$A:$D,3,0)</f>
        <v>0</v>
      </c>
      <c r="V62" s="153">
        <f>+VLOOKUP($L62,Data_Validation!$A:$D,4,0)</f>
        <v>0</v>
      </c>
      <c r="W62" s="153" t="str">
        <f>+VLOOKUP($L62,Data_Validation!$A:$E,5,0)</f>
        <v>$</v>
      </c>
      <c r="X62" s="153">
        <f>+VLOOKUP($L62,Data_Validation!$A:$F,6,0)</f>
        <v>0</v>
      </c>
    </row>
    <row r="63" spans="1:24" ht="15" customHeight="1">
      <c r="A63" s="1236" t="s">
        <v>2365</v>
      </c>
      <c r="B63" s="1237">
        <v>655</v>
      </c>
      <c r="C63" s="1239"/>
      <c r="D63" s="1239"/>
      <c r="E63" s="1239"/>
      <c r="F63" s="1236" t="s">
        <v>1</v>
      </c>
      <c r="G63" s="1236" t="s">
        <v>2208</v>
      </c>
      <c r="H63" s="1238"/>
      <c r="I63" s="1238">
        <v>0.2</v>
      </c>
      <c r="J63" s="1238">
        <v>0</v>
      </c>
      <c r="K63" s="1238">
        <v>0.2</v>
      </c>
      <c r="L63" s="150">
        <f t="shared" si="0"/>
        <v>655</v>
      </c>
      <c r="M63" s="151" t="str">
        <f t="shared" si="1"/>
        <v>DIR. ADMINIS. CARROSS.</v>
      </c>
      <c r="N63" s="152">
        <f>+IF(OR($Q63=Parametres!$G$2,$Q63=Parametres!$G$3),I63,C63)</f>
        <v>0.2</v>
      </c>
      <c r="O63" s="152">
        <f>+IF(OR($Q63=Parametres!$G$2,$Q63=Parametres!$G$3),J63,D63)</f>
        <v>0</v>
      </c>
      <c r="P63" s="152">
        <f>+IF(OR($Q63=Parametres!$G$2,$Q63=Parametres!$G$3),K63,E63)</f>
        <v>0.2</v>
      </c>
      <c r="Q63" s="151" t="str">
        <f t="shared" si="5"/>
        <v>1-Mémo</v>
      </c>
      <c r="R63" s="150" t="str">
        <f t="shared" si="5"/>
        <v>50</v>
      </c>
      <c r="S63" s="151">
        <f t="shared" si="5"/>
        <v>0</v>
      </c>
      <c r="T63" s="153">
        <f>+VLOOKUP($L63,Data_Validation!$A:$D,1,0)</f>
        <v>655</v>
      </c>
      <c r="U63" s="153">
        <f>+VLOOKUP($L63,Data_Validation!$A:$D,3,0)</f>
        <v>0</v>
      </c>
      <c r="V63" s="153">
        <f>+VLOOKUP($L63,Data_Validation!$A:$D,4,0)</f>
        <v>0</v>
      </c>
      <c r="W63" s="153" t="str">
        <f>+VLOOKUP($L63,Data_Validation!$A:$E,5,0)</f>
        <v>$</v>
      </c>
      <c r="X63" s="153">
        <f>+VLOOKUP($L63,Data_Validation!$A:$F,6,0)</f>
        <v>0</v>
      </c>
    </row>
    <row r="64" spans="1:24" ht="15" customHeight="1">
      <c r="A64" s="1236" t="s">
        <v>2367</v>
      </c>
      <c r="B64" s="1237">
        <v>657</v>
      </c>
      <c r="C64" s="1239"/>
      <c r="D64" s="1239"/>
      <c r="E64" s="1239"/>
      <c r="F64" s="1236" t="s">
        <v>1</v>
      </c>
      <c r="G64" s="1236" t="s">
        <v>2208</v>
      </c>
      <c r="H64" s="1238"/>
      <c r="I64" s="1238">
        <v>0.2</v>
      </c>
      <c r="J64" s="1238">
        <v>0</v>
      </c>
      <c r="K64" s="1238">
        <v>0.2</v>
      </c>
      <c r="L64" s="150">
        <f t="shared" si="0"/>
        <v>657</v>
      </c>
      <c r="M64" s="151" t="str">
        <f t="shared" si="1"/>
        <v>DIR. ADMINIS. PIECES</v>
      </c>
      <c r="N64" s="152">
        <f>+IF(OR($Q64=Parametres!$G$2,$Q64=Parametres!$G$3),I64,C64)</f>
        <v>0.2</v>
      </c>
      <c r="O64" s="152">
        <f>+IF(OR($Q64=Parametres!$G$2,$Q64=Parametres!$G$3),J64,D64)</f>
        <v>0</v>
      </c>
      <c r="P64" s="152">
        <f>+IF(OR($Q64=Parametres!$G$2,$Q64=Parametres!$G$3),K64,E64)</f>
        <v>0.2</v>
      </c>
      <c r="Q64" s="151" t="str">
        <f t="shared" si="5"/>
        <v>1-Mémo</v>
      </c>
      <c r="R64" s="150" t="str">
        <f t="shared" si="5"/>
        <v>50</v>
      </c>
      <c r="S64" s="151">
        <f t="shared" si="5"/>
        <v>0</v>
      </c>
      <c r="T64" s="153">
        <f>+VLOOKUP($L64,Data_Validation!$A:$D,1,0)</f>
        <v>657</v>
      </c>
      <c r="U64" s="153">
        <f>+VLOOKUP($L64,Data_Validation!$A:$D,3,0)</f>
        <v>0</v>
      </c>
      <c r="V64" s="153">
        <f>+VLOOKUP($L64,Data_Validation!$A:$D,4,0)</f>
        <v>0</v>
      </c>
      <c r="W64" s="153" t="str">
        <f>+VLOOKUP($L64,Data_Validation!$A:$E,5,0)</f>
        <v>$</v>
      </c>
      <c r="X64" s="153">
        <f>+VLOOKUP($L64,Data_Validation!$A:$F,6,0)</f>
        <v>0</v>
      </c>
    </row>
    <row r="65" spans="1:24" ht="15" customHeight="1">
      <c r="A65" s="1236" t="s">
        <v>2369</v>
      </c>
      <c r="B65" s="1237">
        <v>661</v>
      </c>
      <c r="C65" s="1239"/>
      <c r="D65" s="1239"/>
      <c r="E65" s="1239"/>
      <c r="F65" s="1236" t="s">
        <v>1</v>
      </c>
      <c r="G65" s="1236" t="s">
        <v>2208</v>
      </c>
      <c r="H65" s="1238"/>
      <c r="I65" s="1238">
        <v>1</v>
      </c>
      <c r="J65" s="1238">
        <v>0</v>
      </c>
      <c r="K65" s="1238">
        <v>1</v>
      </c>
      <c r="L65" s="150">
        <f t="shared" si="0"/>
        <v>661</v>
      </c>
      <c r="M65" s="151" t="str">
        <f t="shared" si="1"/>
        <v>PERSONELS CLER. NEUFS</v>
      </c>
      <c r="N65" s="152">
        <f>+IF(OR($Q65=Parametres!$G$2,$Q65=Parametres!$G$3),I65,C65)</f>
        <v>1</v>
      </c>
      <c r="O65" s="571">
        <f>+IF(OR($Q65=Parametres!$G$2,$Q65=Parametres!$G$3),J65,D65)</f>
        <v>0</v>
      </c>
      <c r="P65" s="152">
        <f>+IF(OR($Q65=Parametres!$G$2,$Q65=Parametres!$G$3),K65,E65)</f>
        <v>1</v>
      </c>
      <c r="Q65" s="151" t="str">
        <f t="shared" si="5"/>
        <v>1-Mémo</v>
      </c>
      <c r="R65" s="150" t="str">
        <f t="shared" si="5"/>
        <v>50</v>
      </c>
      <c r="S65" s="151">
        <f t="shared" si="5"/>
        <v>0</v>
      </c>
      <c r="T65" s="153">
        <f>+VLOOKUP($L65,Data_Validation!$A:$D,1,0)</f>
        <v>661</v>
      </c>
      <c r="U65" s="153">
        <f>+VLOOKUP($L65,Data_Validation!$A:$D,3,0)</f>
        <v>0</v>
      </c>
      <c r="V65" s="153">
        <f>+VLOOKUP($L65,Data_Validation!$A:$D,4,0)</f>
        <v>0</v>
      </c>
      <c r="W65" s="153" t="str">
        <f>+VLOOKUP($L65,Data_Validation!$A:$E,5,0)</f>
        <v>$</v>
      </c>
      <c r="X65" s="153">
        <f>+VLOOKUP($L65,Data_Validation!$A:$F,6,0)</f>
        <v>0</v>
      </c>
    </row>
    <row r="66" spans="1:24" ht="15" customHeight="1">
      <c r="A66" s="1236" t="s">
        <v>2371</v>
      </c>
      <c r="B66" s="1237">
        <v>662</v>
      </c>
      <c r="C66" s="1239"/>
      <c r="D66" s="1239"/>
      <c r="E66" s="1239"/>
      <c r="F66" s="1236" t="s">
        <v>1</v>
      </c>
      <c r="G66" s="1236" t="s">
        <v>2208</v>
      </c>
      <c r="H66" s="1238"/>
      <c r="I66" s="1238">
        <v>1</v>
      </c>
      <c r="J66" s="1238">
        <v>0</v>
      </c>
      <c r="K66" s="1238">
        <v>1</v>
      </c>
      <c r="L66" s="150">
        <f t="shared" si="0"/>
        <v>662</v>
      </c>
      <c r="M66" s="151" t="str">
        <f t="shared" si="1"/>
        <v>PERSONELS CLER. USAGES</v>
      </c>
      <c r="N66" s="152">
        <f>+IF(OR($Q66=Parametres!$G$2,$Q66=Parametres!$G$3),I66,C66)</f>
        <v>1</v>
      </c>
      <c r="O66" s="152">
        <f>+IF(OR($Q66=Parametres!$G$2,$Q66=Parametres!$G$3),J66,D66)</f>
        <v>0</v>
      </c>
      <c r="P66" s="152">
        <f>+IF(OR($Q66=Parametres!$G$2,$Q66=Parametres!$G$3),K66,E66)</f>
        <v>1</v>
      </c>
      <c r="Q66" s="151" t="str">
        <f t="shared" ref="Q66:S81" si="6">+F66</f>
        <v>1-Mémo</v>
      </c>
      <c r="R66" s="150" t="str">
        <f t="shared" si="6"/>
        <v>50</v>
      </c>
      <c r="S66" s="151">
        <f t="shared" si="6"/>
        <v>0</v>
      </c>
      <c r="T66" s="153">
        <f>+VLOOKUP($L66,Data_Validation!$A:$D,1,0)</f>
        <v>662</v>
      </c>
      <c r="U66" s="153">
        <f>+VLOOKUP($L66,Data_Validation!$A:$D,3,0)</f>
        <v>0</v>
      </c>
      <c r="V66" s="153">
        <f>+VLOOKUP($L66,Data_Validation!$A:$D,4,0)</f>
        <v>0</v>
      </c>
      <c r="W66" s="153" t="str">
        <f>+VLOOKUP($L66,Data_Validation!$A:$E,5,0)</f>
        <v>$</v>
      </c>
      <c r="X66" s="153">
        <f>+VLOOKUP($L66,Data_Validation!$A:$F,6,0)</f>
        <v>0</v>
      </c>
    </row>
    <row r="67" spans="1:24" ht="15" customHeight="1">
      <c r="A67" s="1236" t="s">
        <v>2373</v>
      </c>
      <c r="B67" s="1237">
        <v>664</v>
      </c>
      <c r="C67" s="1239"/>
      <c r="D67" s="1239"/>
      <c r="E67" s="1239"/>
      <c r="F67" s="1236" t="s">
        <v>1</v>
      </c>
      <c r="G67" s="1236" t="s">
        <v>2208</v>
      </c>
      <c r="H67" s="1238"/>
      <c r="I67" s="1238">
        <v>1</v>
      </c>
      <c r="J67" s="1238">
        <v>0</v>
      </c>
      <c r="K67" s="1238">
        <v>1</v>
      </c>
      <c r="L67" s="150">
        <f t="shared" si="0"/>
        <v>664</v>
      </c>
      <c r="M67" s="151" t="str">
        <f t="shared" si="1"/>
        <v>PERSONELS CLER. SERVICE</v>
      </c>
      <c r="N67" s="152">
        <f>+IF(OR($Q67=Parametres!$G$2,$Q67=Parametres!$G$3),I67,C67)</f>
        <v>1</v>
      </c>
      <c r="O67" s="569">
        <f>+IF(OR($Q67=Parametres!$G$2,$Q67=Parametres!$G$3),J67,D67)</f>
        <v>0</v>
      </c>
      <c r="P67" s="152">
        <f>+IF(OR($Q67=Parametres!$G$2,$Q67=Parametres!$G$3),K67,E67)</f>
        <v>1</v>
      </c>
      <c r="Q67" s="151" t="str">
        <f t="shared" si="6"/>
        <v>1-Mémo</v>
      </c>
      <c r="R67" s="150" t="str">
        <f t="shared" si="6"/>
        <v>50</v>
      </c>
      <c r="S67" s="151">
        <f t="shared" si="6"/>
        <v>0</v>
      </c>
      <c r="T67" s="153">
        <f>+VLOOKUP($L67,Data_Validation!$A:$D,1,0)</f>
        <v>664</v>
      </c>
      <c r="U67" s="153">
        <f>+VLOOKUP($L67,Data_Validation!$A:$D,3,0)</f>
        <v>0</v>
      </c>
      <c r="V67" s="153">
        <f>+VLOOKUP($L67,Data_Validation!$A:$D,4,0)</f>
        <v>0</v>
      </c>
      <c r="W67" s="153" t="str">
        <f>+VLOOKUP($L67,Data_Validation!$A:$E,5,0)</f>
        <v>$</v>
      </c>
      <c r="X67" s="153">
        <f>+VLOOKUP($L67,Data_Validation!$A:$F,6,0)</f>
        <v>0</v>
      </c>
    </row>
    <row r="68" spans="1:24" ht="15" customHeight="1">
      <c r="A68" s="1236" t="s">
        <v>2375</v>
      </c>
      <c r="B68" s="1237">
        <v>667</v>
      </c>
      <c r="C68" s="1239"/>
      <c r="D68" s="1239"/>
      <c r="E68" s="1239"/>
      <c r="F68" s="1236" t="s">
        <v>1</v>
      </c>
      <c r="G68" s="1236" t="s">
        <v>2208</v>
      </c>
      <c r="H68" s="1238"/>
      <c r="I68" s="1238">
        <v>1</v>
      </c>
      <c r="J68" s="1238">
        <v>0</v>
      </c>
      <c r="K68" s="1238">
        <v>1</v>
      </c>
      <c r="L68" s="150">
        <f t="shared" si="0"/>
        <v>667</v>
      </c>
      <c r="M68" s="151" t="str">
        <f t="shared" si="1"/>
        <v>PERSONELS CLER. PIECES</v>
      </c>
      <c r="N68" s="152">
        <f>+IF(OR($Q68=Parametres!$G$2,$Q68=Parametres!$G$3),I68,C68)</f>
        <v>1</v>
      </c>
      <c r="O68" s="152">
        <f>+IF(OR($Q68=Parametres!$G$2,$Q68=Parametres!$G$3),J68,D68)</f>
        <v>0</v>
      </c>
      <c r="P68" s="152">
        <f>+IF(OR($Q68=Parametres!$G$2,$Q68=Parametres!$G$3),K68,E68)</f>
        <v>1</v>
      </c>
      <c r="Q68" s="151" t="str">
        <f t="shared" si="6"/>
        <v>1-Mémo</v>
      </c>
      <c r="R68" s="150" t="str">
        <f t="shared" si="6"/>
        <v>50</v>
      </c>
      <c r="S68" s="151">
        <f t="shared" si="6"/>
        <v>0</v>
      </c>
      <c r="T68" s="153">
        <f>+VLOOKUP($L68,Data_Validation!$A:$D,1,0)</f>
        <v>667</v>
      </c>
      <c r="U68" s="153">
        <f>+VLOOKUP($L68,Data_Validation!$A:$D,3,0)</f>
        <v>0</v>
      </c>
      <c r="V68" s="153">
        <f>+VLOOKUP($L68,Data_Validation!$A:$D,4,0)</f>
        <v>0</v>
      </c>
      <c r="W68" s="153" t="str">
        <f>+VLOOKUP($L68,Data_Validation!$A:$E,5,0)</f>
        <v>$</v>
      </c>
      <c r="X68" s="153">
        <f>+VLOOKUP($L68,Data_Validation!$A:$F,6,0)</f>
        <v>0</v>
      </c>
    </row>
    <row r="69" spans="1:24" ht="15" customHeight="1">
      <c r="A69" s="1236" t="s">
        <v>2377</v>
      </c>
      <c r="B69" s="1237">
        <v>677</v>
      </c>
      <c r="C69" s="1239"/>
      <c r="D69" s="1239"/>
      <c r="E69" s="1239"/>
      <c r="F69" s="1236" t="s">
        <v>1</v>
      </c>
      <c r="G69" s="1236" t="s">
        <v>2379</v>
      </c>
      <c r="H69" s="1238"/>
      <c r="I69" s="1238">
        <v>3</v>
      </c>
      <c r="J69" s="1238">
        <v>0</v>
      </c>
      <c r="K69" s="1238">
        <v>3</v>
      </c>
      <c r="L69" s="150">
        <f t="shared" si="0"/>
        <v>677</v>
      </c>
      <c r="M69" s="151" t="str">
        <f t="shared" si="1"/>
        <v>VW PIECES</v>
      </c>
      <c r="N69" s="152">
        <f>+IF(OR($Q69=Parametres!$G$2,$Q69=Parametres!$G$3),I69,C69)</f>
        <v>3</v>
      </c>
      <c r="O69" s="152">
        <f>+IF(OR($Q69=Parametres!$G$2,$Q69=Parametres!$G$3),J69,D69)</f>
        <v>0</v>
      </c>
      <c r="P69" s="152">
        <f>+IF(OR($Q69=Parametres!$G$2,$Q69=Parametres!$G$3),K69,E69)</f>
        <v>3</v>
      </c>
      <c r="Q69" s="151" t="str">
        <f t="shared" si="6"/>
        <v>1-Mémo</v>
      </c>
      <c r="R69" s="150" t="str">
        <f t="shared" si="6"/>
        <v>67</v>
      </c>
      <c r="S69" s="151">
        <f t="shared" si="6"/>
        <v>0</v>
      </c>
      <c r="T69" s="153">
        <f>+VLOOKUP($L69,Data_Validation!$A:$D,1,0)</f>
        <v>677</v>
      </c>
      <c r="U69" s="153">
        <f>+VLOOKUP($L69,Data_Validation!$A:$D,3,0)</f>
        <v>0</v>
      </c>
      <c r="V69" s="153">
        <f>+VLOOKUP($L69,Data_Validation!$A:$D,4,0)</f>
        <v>0</v>
      </c>
      <c r="W69" s="153" t="str">
        <f>+VLOOKUP($L69,Data_Validation!$A:$E,5,0)</f>
        <v>$</v>
      </c>
      <c r="X69" s="153">
        <f>+VLOOKUP($L69,Data_Validation!$A:$F,6,0)</f>
        <v>0</v>
      </c>
    </row>
    <row r="70" spans="1:24" ht="15" customHeight="1">
      <c r="A70" s="1236" t="s">
        <v>2845</v>
      </c>
      <c r="B70" s="1237">
        <v>1102</v>
      </c>
      <c r="C70" s="1239">
        <v>2452488.14</v>
      </c>
      <c r="D70" s="1239">
        <v>-634143.07999999996</v>
      </c>
      <c r="E70" s="1239">
        <v>1818345.06</v>
      </c>
      <c r="F70" s="1236" t="s">
        <v>290</v>
      </c>
      <c r="G70" s="1236" t="s">
        <v>2384</v>
      </c>
      <c r="H70" s="1238"/>
      <c r="I70" s="1238"/>
      <c r="J70" s="1238"/>
      <c r="K70" s="1238"/>
      <c r="L70" s="150">
        <f t="shared" si="0"/>
        <v>1102</v>
      </c>
      <c r="M70" s="151" t="str">
        <f t="shared" si="1"/>
        <v>BANQUE DE COMMERCE C/C</v>
      </c>
      <c r="N70" s="152">
        <f>+IF(OR($Q70=Parametres!$G$2,$Q70=Parametres!$G$3),I70,C70)</f>
        <v>2452488.14</v>
      </c>
      <c r="O70" s="152">
        <f>+IF(OR($Q70=Parametres!$G$2,$Q70=Parametres!$G$3),J70,D70)</f>
        <v>-634143.07999999996</v>
      </c>
      <c r="P70" s="152">
        <f>+IF(OR($Q70=Parametres!$G$2,$Q70=Parametres!$G$3),K70,E70)</f>
        <v>1818345.06</v>
      </c>
      <c r="Q70" s="151" t="str">
        <f t="shared" si="6"/>
        <v>2-Actifs</v>
      </c>
      <c r="R70" s="150" t="str">
        <f t="shared" si="6"/>
        <v>1102</v>
      </c>
      <c r="S70" s="151">
        <f t="shared" si="6"/>
        <v>0</v>
      </c>
      <c r="T70" s="153">
        <f>+VLOOKUP($L70,Data_Validation!$A:$D,1,0)</f>
        <v>1102</v>
      </c>
      <c r="U70" s="153" t="str">
        <f>+VLOOKUP($L70,Data_Validation!$A:$D,3,0)</f>
        <v>Bilan</v>
      </c>
      <c r="V70" s="153" t="str">
        <f>+VLOOKUP($L70,Data_Validation!$A:$D,4,0)</f>
        <v>Encaisse</v>
      </c>
      <c r="W70" s="153" t="str">
        <f>+VLOOKUP($L70,Data_Validation!$A:$E,5,0)</f>
        <v>$</v>
      </c>
      <c r="X70" s="153">
        <f>+VLOOKUP($L70,Data_Validation!$A:$F,6,0)</f>
        <v>0</v>
      </c>
    </row>
    <row r="71" spans="1:24" ht="15" customHeight="1">
      <c r="A71" s="1236" t="s">
        <v>2382</v>
      </c>
      <c r="B71" s="1237">
        <v>1182</v>
      </c>
      <c r="C71" s="1239">
        <v>50.2</v>
      </c>
      <c r="D71" s="1239">
        <v>0</v>
      </c>
      <c r="E71" s="1239">
        <v>50.2</v>
      </c>
      <c r="F71" s="1236" t="s">
        <v>290</v>
      </c>
      <c r="G71" s="1236" t="s">
        <v>2384</v>
      </c>
      <c r="H71" s="1238"/>
      <c r="I71" s="1238"/>
      <c r="J71" s="1238"/>
      <c r="K71" s="1238"/>
      <c r="L71" s="150">
        <f t="shared" si="0"/>
        <v>1182</v>
      </c>
      <c r="M71" s="151" t="str">
        <f t="shared" si="1"/>
        <v>PETITE CAISSE</v>
      </c>
      <c r="N71" s="152">
        <f>+IF(OR($Q71=Parametres!$G$2,$Q71=Parametres!$G$3),I71,C71)</f>
        <v>50.2</v>
      </c>
      <c r="O71" s="569">
        <f>+IF(OR($Q71=Parametres!$G$2,$Q71=Parametres!$G$3),J71,D71)</f>
        <v>0</v>
      </c>
      <c r="P71" s="152">
        <f>+IF(OR($Q71=Parametres!$G$2,$Q71=Parametres!$G$3),K71,E71)</f>
        <v>50.2</v>
      </c>
      <c r="Q71" s="151" t="str">
        <f t="shared" si="6"/>
        <v>2-Actifs</v>
      </c>
      <c r="R71" s="150" t="str">
        <f t="shared" si="6"/>
        <v>1102</v>
      </c>
      <c r="S71" s="151">
        <f t="shared" si="6"/>
        <v>0</v>
      </c>
      <c r="T71" s="153">
        <f>+VLOOKUP($L71,Data_Validation!$A:$D,1,0)</f>
        <v>1182</v>
      </c>
      <c r="U71" s="153" t="str">
        <f>+VLOOKUP($L71,Data_Validation!$A:$D,3,0)</f>
        <v>Bilan</v>
      </c>
      <c r="V71" s="153" t="str">
        <f>+VLOOKUP($L71,Data_Validation!$A:$D,4,0)</f>
        <v>Encaisse</v>
      </c>
      <c r="W71" s="153" t="str">
        <f>+VLOOKUP($L71,Data_Validation!$A:$E,5,0)</f>
        <v>$</v>
      </c>
      <c r="X71" s="153">
        <f>+VLOOKUP($L71,Data_Validation!$A:$F,6,0)</f>
        <v>0</v>
      </c>
    </row>
    <row r="72" spans="1:24" ht="15" customHeight="1">
      <c r="A72" s="1236" t="s">
        <v>2176</v>
      </c>
      <c r="B72" s="1237">
        <v>1202</v>
      </c>
      <c r="C72" s="1239">
        <v>2066027.21</v>
      </c>
      <c r="D72" s="1239">
        <v>821340.59</v>
      </c>
      <c r="E72" s="1239">
        <v>2887367.8</v>
      </c>
      <c r="F72" s="1236" t="s">
        <v>290</v>
      </c>
      <c r="G72" s="1236" t="s">
        <v>2177</v>
      </c>
      <c r="H72" s="1238"/>
      <c r="I72" s="1238"/>
      <c r="J72" s="1238"/>
      <c r="K72" s="1238"/>
      <c r="L72" s="150">
        <f t="shared" si="0"/>
        <v>1202</v>
      </c>
      <c r="M72" s="151" t="str">
        <f t="shared" si="1"/>
        <v>CONTRATS EN TRANSIT</v>
      </c>
      <c r="N72" s="152">
        <f>+IF(OR($Q72=Parametres!$G$2,$Q72=Parametres!$G$3),I72,C72)</f>
        <v>2066027.21</v>
      </c>
      <c r="O72" s="152">
        <f>+IF(OR($Q72=Parametres!$G$2,$Q72=Parametres!$G$3),J72,D72)</f>
        <v>821340.59</v>
      </c>
      <c r="P72" s="152">
        <f>+IF(OR($Q72=Parametres!$G$2,$Q72=Parametres!$G$3),K72,E72)</f>
        <v>2887367.8</v>
      </c>
      <c r="Q72" s="151" t="str">
        <f t="shared" si="6"/>
        <v>2-Actifs</v>
      </c>
      <c r="R72" s="150" t="str">
        <f t="shared" si="6"/>
        <v>1202</v>
      </c>
      <c r="S72" s="151">
        <f t="shared" si="6"/>
        <v>0</v>
      </c>
      <c r="T72" s="153">
        <f>+VLOOKUP($L72,Data_Validation!$A:$D,1,0)</f>
        <v>1202</v>
      </c>
      <c r="U72" s="153" t="str">
        <f>+VLOOKUP($L72,Data_Validation!$A:$D,3,0)</f>
        <v>Bilan</v>
      </c>
      <c r="V72" s="153" t="str">
        <f>+VLOOKUP($L72,Data_Validation!$A:$D,4,0)</f>
        <v>Recevables Contrats en Transit</v>
      </c>
      <c r="W72" s="153" t="str">
        <f>+VLOOKUP($L72,Data_Validation!$A:$E,5,0)</f>
        <v>$</v>
      </c>
      <c r="X72" s="153">
        <f>+VLOOKUP($L72,Data_Validation!$A:$F,6,0)</f>
        <v>0</v>
      </c>
    </row>
    <row r="73" spans="1:24" ht="15" customHeight="1">
      <c r="A73" s="1236" t="s">
        <v>2020</v>
      </c>
      <c r="B73" s="1237">
        <v>1302</v>
      </c>
      <c r="C73" s="1239">
        <v>53609.73</v>
      </c>
      <c r="D73" s="1239">
        <v>31020.34</v>
      </c>
      <c r="E73" s="1239">
        <v>84630.07</v>
      </c>
      <c r="F73" s="1236" t="s">
        <v>290</v>
      </c>
      <c r="G73" s="1236" t="s">
        <v>2010</v>
      </c>
      <c r="H73" s="1238"/>
      <c r="I73" s="1238"/>
      <c r="J73" s="1238"/>
      <c r="K73" s="1238"/>
      <c r="L73" s="150">
        <f t="shared" si="0"/>
        <v>1302</v>
      </c>
      <c r="M73" s="151" t="str">
        <f t="shared" si="1"/>
        <v>RECEVABLE-CLIENT-VEHICULE</v>
      </c>
      <c r="N73" s="152">
        <f>+IF(OR($Q73=Parametres!$G$2,$Q73=Parametres!$G$3),I73,C73)</f>
        <v>53609.73</v>
      </c>
      <c r="O73" s="152">
        <f>+IF(OR($Q73=Parametres!$G$2,$Q73=Parametres!$G$3),J73,D73)</f>
        <v>31020.34</v>
      </c>
      <c r="P73" s="152">
        <f>+IF(OR($Q73=Parametres!$G$2,$Q73=Parametres!$G$3),K73,E73)</f>
        <v>84630.07</v>
      </c>
      <c r="Q73" s="151" t="str">
        <f t="shared" si="6"/>
        <v>2-Actifs</v>
      </c>
      <c r="R73" s="150" t="str">
        <f t="shared" si="6"/>
        <v>1302</v>
      </c>
      <c r="S73" s="151">
        <f t="shared" si="6"/>
        <v>0</v>
      </c>
      <c r="T73" s="153">
        <f>+VLOOKUP($L73,Data_Validation!$A:$D,1,0)</f>
        <v>1302</v>
      </c>
      <c r="U73" s="153" t="str">
        <f>+VLOOKUP($L73,Data_Validation!$A:$D,3,0)</f>
        <v>Bilan</v>
      </c>
      <c r="V73" s="153" t="str">
        <f>+VLOOKUP($L73,Data_Validation!$A:$D,4,0)</f>
        <v>Recevables Véhicules</v>
      </c>
      <c r="W73" s="153" t="str">
        <f>+VLOOKUP($L73,Data_Validation!$A:$E,5,0)</f>
        <v>$</v>
      </c>
      <c r="X73" s="153">
        <f>+VLOOKUP($L73,Data_Validation!$A:$F,6,0)</f>
        <v>0</v>
      </c>
    </row>
    <row r="74" spans="1:24" ht="15" customHeight="1">
      <c r="A74" s="1236" t="s">
        <v>2008</v>
      </c>
      <c r="B74" s="1237">
        <v>1303</v>
      </c>
      <c r="C74" s="1239">
        <v>224341.36</v>
      </c>
      <c r="D74" s="1239">
        <v>131305.41</v>
      </c>
      <c r="E74" s="1239">
        <v>355646.77</v>
      </c>
      <c r="F74" s="1236" t="s">
        <v>290</v>
      </c>
      <c r="G74" s="1236" t="s">
        <v>2010</v>
      </c>
      <c r="H74" s="1238"/>
      <c r="I74" s="1238"/>
      <c r="J74" s="1238"/>
      <c r="K74" s="1238"/>
      <c r="L74" s="150">
        <f t="shared" si="0"/>
        <v>1303</v>
      </c>
      <c r="M74" s="151" t="str">
        <f t="shared" si="1"/>
        <v>RECEVABLES LPA ET AU GROS</v>
      </c>
      <c r="N74" s="152">
        <f>+IF(OR($Q74=Parametres!$G$2,$Q74=Parametres!$G$3),I74,C74)</f>
        <v>224341.36</v>
      </c>
      <c r="O74" s="152">
        <f>+IF(OR($Q74=Parametres!$G$2,$Q74=Parametres!$G$3),J74,D74)</f>
        <v>131305.41</v>
      </c>
      <c r="P74" s="152">
        <f>+IF(OR($Q74=Parametres!$G$2,$Q74=Parametres!$G$3),K74,E74)</f>
        <v>355646.77</v>
      </c>
      <c r="Q74" s="151" t="str">
        <f t="shared" si="6"/>
        <v>2-Actifs</v>
      </c>
      <c r="R74" s="150" t="str">
        <f t="shared" si="6"/>
        <v>1302</v>
      </c>
      <c r="S74" s="151">
        <f t="shared" si="6"/>
        <v>0</v>
      </c>
      <c r="T74" s="153">
        <f>+VLOOKUP($L74,Data_Validation!$A:$D,1,0)</f>
        <v>1303</v>
      </c>
      <c r="U74" s="153" t="str">
        <f>+VLOOKUP($L74,Data_Validation!$A:$D,3,0)</f>
        <v>Bilan</v>
      </c>
      <c r="V74" s="153" t="str">
        <f>+VLOOKUP($L74,Data_Validation!$A:$D,4,0)</f>
        <v>Recevables Véhicules</v>
      </c>
      <c r="W74" s="153" t="str">
        <f>+VLOOKUP($L74,Data_Validation!$A:$E,5,0)</f>
        <v>$</v>
      </c>
      <c r="X74" s="153">
        <f>+VLOOKUP($L74,Data_Validation!$A:$F,6,0)</f>
        <v>0</v>
      </c>
    </row>
    <row r="75" spans="1:24" ht="15" customHeight="1">
      <c r="A75" s="1236" t="s">
        <v>2095</v>
      </c>
      <c r="B75" s="1237">
        <v>1304</v>
      </c>
      <c r="C75" s="1240">
        <v>43793.03</v>
      </c>
      <c r="D75" s="1240">
        <v>1051.0899999999999</v>
      </c>
      <c r="E75" s="1240">
        <v>44844.12</v>
      </c>
      <c r="F75" s="1236" t="s">
        <v>290</v>
      </c>
      <c r="G75" s="1236" t="s">
        <v>2096</v>
      </c>
      <c r="H75" s="1238"/>
      <c r="I75" s="1239"/>
      <c r="J75" s="1239"/>
      <c r="K75" s="1239"/>
      <c r="L75" s="150">
        <f t="shared" si="0"/>
        <v>1304</v>
      </c>
      <c r="M75" s="151" t="str">
        <f t="shared" si="1"/>
        <v>RECEVABLES PIECES &amp; SERVICE</v>
      </c>
      <c r="N75" s="152">
        <f>+IF(OR($Q75=Parametres!$G$2,$Q75=Parametres!$G$3),I75,C75)</f>
        <v>43793.03</v>
      </c>
      <c r="O75" s="152">
        <f>+IF(OR($Q75=Parametres!$G$2,$Q75=Parametres!$G$3),J75,D75)</f>
        <v>1051.0899999999999</v>
      </c>
      <c r="P75" s="152">
        <f>+IF(OR($Q75=Parametres!$G$2,$Q75=Parametres!$G$3),K75,E75)</f>
        <v>44844.12</v>
      </c>
      <c r="Q75" s="151" t="str">
        <f t="shared" si="6"/>
        <v>2-Actifs</v>
      </c>
      <c r="R75" s="150" t="str">
        <f t="shared" si="6"/>
        <v>1304</v>
      </c>
      <c r="S75" s="151">
        <f t="shared" si="6"/>
        <v>0</v>
      </c>
      <c r="T75" s="153">
        <f>+VLOOKUP($L75,Data_Validation!$A:$D,1,0)</f>
        <v>1304</v>
      </c>
      <c r="U75" s="153" t="str">
        <f>+VLOOKUP($L75,Data_Validation!$A:$D,3,0)</f>
        <v>Bilan</v>
      </c>
      <c r="V75" s="153" t="str">
        <f>+VLOOKUP($L75,Data_Validation!$A:$D,4,0)</f>
        <v>Recevables Pièces et Service</v>
      </c>
      <c r="W75" s="153" t="str">
        <f>+VLOOKUP($L75,Data_Validation!$A:$E,5,0)</f>
        <v>$</v>
      </c>
      <c r="X75" s="153">
        <f>+VLOOKUP($L75,Data_Validation!$A:$F,6,0)</f>
        <v>0</v>
      </c>
    </row>
    <row r="76" spans="1:24" ht="15" customHeight="1">
      <c r="A76" s="1236" t="s">
        <v>2728</v>
      </c>
      <c r="B76" s="1237">
        <v>1305</v>
      </c>
      <c r="C76" s="1239">
        <v>46290.52</v>
      </c>
      <c r="D76" s="1239">
        <v>-21433.93</v>
      </c>
      <c r="E76" s="1239">
        <v>24856.59</v>
      </c>
      <c r="F76" s="1236" t="s">
        <v>290</v>
      </c>
      <c r="G76" s="1236" t="s">
        <v>2096</v>
      </c>
      <c r="H76" s="1238"/>
      <c r="I76" s="1238"/>
      <c r="J76" s="1238"/>
      <c r="K76" s="1238"/>
      <c r="L76" s="150">
        <f t="shared" si="0"/>
        <v>1305</v>
      </c>
      <c r="M76" s="151" t="str">
        <f t="shared" si="1"/>
        <v>RECEVABLES CARROSSERIE</v>
      </c>
      <c r="N76" s="152">
        <f>+IF(OR($Q76=Parametres!$G$2,$Q76=Parametres!$G$3),I76,C76)</f>
        <v>46290.52</v>
      </c>
      <c r="O76" s="152">
        <f>+IF(OR($Q76=Parametres!$G$2,$Q76=Parametres!$G$3),J76,D76)</f>
        <v>-21433.93</v>
      </c>
      <c r="P76" s="152">
        <f>+IF(OR($Q76=Parametres!$G$2,$Q76=Parametres!$G$3),K76,E76)</f>
        <v>24856.59</v>
      </c>
      <c r="Q76" s="151" t="str">
        <f t="shared" si="6"/>
        <v>2-Actifs</v>
      </c>
      <c r="R76" s="150" t="str">
        <f t="shared" si="6"/>
        <v>1304</v>
      </c>
      <c r="S76" s="151">
        <f t="shared" si="6"/>
        <v>0</v>
      </c>
      <c r="T76" s="153">
        <f>+VLOOKUP($L76,Data_Validation!$A:$D,1,0)</f>
        <v>1305</v>
      </c>
      <c r="U76" s="153" t="str">
        <f>+VLOOKUP($L76,Data_Validation!$A:$D,3,0)</f>
        <v>Bilan</v>
      </c>
      <c r="V76" s="153" t="str">
        <f>+VLOOKUP($L76,Data_Validation!$A:$D,4,0)</f>
        <v>Recevables Carrosserie</v>
      </c>
      <c r="W76" s="153" t="str">
        <f>+VLOOKUP($L76,Data_Validation!$A:$E,5,0)</f>
        <v>$</v>
      </c>
      <c r="X76" s="153">
        <f>+VLOOKUP($L76,Data_Validation!$A:$F,6,0)</f>
        <v>0</v>
      </c>
    </row>
    <row r="77" spans="1:24" ht="15" customHeight="1">
      <c r="A77" s="1236" t="s">
        <v>2825</v>
      </c>
      <c r="B77" s="1237">
        <v>1312</v>
      </c>
      <c r="C77" s="1239">
        <v>37730</v>
      </c>
      <c r="D77" s="1239">
        <v>40142</v>
      </c>
      <c r="E77" s="1239">
        <v>77872</v>
      </c>
      <c r="F77" s="1236" t="s">
        <v>290</v>
      </c>
      <c r="G77" s="1236" t="s">
        <v>2015</v>
      </c>
      <c r="H77" s="1238"/>
      <c r="I77" s="1238"/>
      <c r="J77" s="1238"/>
      <c r="K77" s="1238"/>
      <c r="L77" s="150">
        <f t="shared" si="0"/>
        <v>1312</v>
      </c>
      <c r="M77" s="151" t="str">
        <f t="shared" si="1"/>
        <v>RESEVE VOLKS</v>
      </c>
      <c r="N77" s="152">
        <f>+IF(OR($Q77=Parametres!$G$2,$Q77=Parametres!$G$3),I77,C77)</f>
        <v>37730</v>
      </c>
      <c r="O77" s="152">
        <f>+IF(OR($Q77=Parametres!$G$2,$Q77=Parametres!$G$3),J77,D77)</f>
        <v>40142</v>
      </c>
      <c r="P77" s="152">
        <f>+IF(OR($Q77=Parametres!$G$2,$Q77=Parametres!$G$3),K77,E77)</f>
        <v>77872</v>
      </c>
      <c r="Q77" s="151" t="str">
        <f t="shared" si="6"/>
        <v>2-Actifs</v>
      </c>
      <c r="R77" s="150" t="str">
        <f t="shared" si="6"/>
        <v>1314</v>
      </c>
      <c r="S77" s="151">
        <f t="shared" si="6"/>
        <v>0</v>
      </c>
      <c r="T77" s="153">
        <f>+VLOOKUP($L77,Data_Validation!$A:$D,1,0)</f>
        <v>1312</v>
      </c>
      <c r="U77" s="153" t="str">
        <f>+VLOOKUP($L77,Data_Validation!$A:$D,3,0)</f>
        <v>Bilan</v>
      </c>
      <c r="V77" s="153" t="str">
        <f>+VLOOKUP($L77,Data_Validation!$A:$D,4,0)</f>
        <v>Recevables Manufacturier</v>
      </c>
      <c r="W77" s="153" t="str">
        <f>+VLOOKUP($L77,Data_Validation!$A:$E,5,0)</f>
        <v>$</v>
      </c>
      <c r="X77" s="153">
        <f>+VLOOKUP($L77,Data_Validation!$A:$F,6,0)</f>
        <v>0</v>
      </c>
    </row>
    <row r="78" spans="1:24" ht="15" customHeight="1">
      <c r="A78" s="986" t="s">
        <v>2053</v>
      </c>
      <c r="B78" s="1103">
        <v>1332</v>
      </c>
      <c r="C78" s="988">
        <v>74140.34</v>
      </c>
      <c r="D78" s="988">
        <v>-19009.900000000001</v>
      </c>
      <c r="E78" s="988">
        <v>55130.44</v>
      </c>
      <c r="F78" s="986" t="s">
        <v>290</v>
      </c>
      <c r="G78" s="986" t="s">
        <v>2054</v>
      </c>
      <c r="H78" s="987"/>
      <c r="I78" s="987"/>
      <c r="J78" s="987"/>
      <c r="K78" s="987"/>
      <c r="L78" s="150">
        <f t="shared" si="0"/>
        <v>1332</v>
      </c>
      <c r="M78" s="151" t="str">
        <f t="shared" si="1"/>
        <v>RECLAM. RECEVABLE-GARANTIE</v>
      </c>
      <c r="N78" s="152">
        <f>+IF(OR($Q78=Parametres!$G$2,$Q78=Parametres!$G$3),I78,C78)</f>
        <v>74140.34</v>
      </c>
      <c r="O78" s="569">
        <f>+IF(OR($Q78=Parametres!$G$2,$Q78=Parametres!$G$3),J78,D78)</f>
        <v>-19009.900000000001</v>
      </c>
      <c r="P78" s="152">
        <f>+IF(OR($Q78=Parametres!$G$2,$Q78=Parametres!$G$3),K78,E78)</f>
        <v>55130.44</v>
      </c>
      <c r="Q78" s="151" t="str">
        <f t="shared" si="6"/>
        <v>2-Actifs</v>
      </c>
      <c r="R78" s="150" t="str">
        <f t="shared" si="6"/>
        <v>1332</v>
      </c>
      <c r="S78" s="151">
        <f t="shared" si="6"/>
        <v>0</v>
      </c>
      <c r="T78" s="153">
        <f>+VLOOKUP($L78,Data_Validation!$A:$D,1,0)</f>
        <v>1332</v>
      </c>
      <c r="U78" s="153" t="str">
        <f>+VLOOKUP($L78,Data_Validation!$A:$D,3,0)</f>
        <v>Bilan</v>
      </c>
      <c r="V78" s="153" t="str">
        <f>+VLOOKUP($L78,Data_Validation!$A:$D,4,0)</f>
        <v>Recevables Garantie Manufacturier</v>
      </c>
      <c r="W78" s="153" t="str">
        <f>+VLOOKUP($L78,Data_Validation!$A:$E,5,0)</f>
        <v>$</v>
      </c>
      <c r="X78" s="153">
        <f>+VLOOKUP($L78,Data_Validation!$A:$F,6,0)</f>
        <v>0</v>
      </c>
    </row>
    <row r="79" spans="1:24" ht="15" customHeight="1">
      <c r="A79" s="1236" t="s">
        <v>2774</v>
      </c>
      <c r="B79" s="1237">
        <v>1340</v>
      </c>
      <c r="C79" s="1240">
        <v>-2504.33</v>
      </c>
      <c r="D79" s="1240">
        <v>9566.07</v>
      </c>
      <c r="E79" s="1240">
        <v>7061.74</v>
      </c>
      <c r="F79" s="1236" t="s">
        <v>290</v>
      </c>
      <c r="G79" s="1236" t="s">
        <v>2614</v>
      </c>
      <c r="H79" s="1238"/>
      <c r="I79" s="1239"/>
      <c r="J79" s="1239"/>
      <c r="K79" s="1239"/>
      <c r="L79" s="150">
        <f t="shared" si="0"/>
        <v>1340</v>
      </c>
      <c r="M79" s="151" t="str">
        <f t="shared" si="1"/>
        <v>GARANTIE PPM</v>
      </c>
      <c r="N79" s="152">
        <f>+IF(OR($Q79=Parametres!$G$2,$Q79=Parametres!$G$3),I79,C79)</f>
        <v>-2504.33</v>
      </c>
      <c r="O79" s="152">
        <f>+IF(OR($Q79=Parametres!$G$2,$Q79=Parametres!$G$3),J79,D79)</f>
        <v>9566.07</v>
      </c>
      <c r="P79" s="152">
        <f>+IF(OR($Q79=Parametres!$G$2,$Q79=Parametres!$G$3),K79,E79)</f>
        <v>7061.74</v>
      </c>
      <c r="Q79" s="151" t="str">
        <f t="shared" si="6"/>
        <v>2-Actifs</v>
      </c>
      <c r="R79" s="150" t="str">
        <f t="shared" si="6"/>
        <v>1382</v>
      </c>
      <c r="S79" s="151">
        <f t="shared" si="6"/>
        <v>0</v>
      </c>
      <c r="T79" s="153">
        <f>+VLOOKUP($L79,Data_Validation!$A:$D,1,0)</f>
        <v>1340</v>
      </c>
      <c r="U79" s="153" t="str">
        <f>+VLOOKUP($L79,Data_Validation!$A:$D,3,0)</f>
        <v>Bilan</v>
      </c>
      <c r="V79" s="153" t="str">
        <f>+VLOOKUP($L79,Data_Validation!$A:$D,4,0)</f>
        <v>recevables Autres</v>
      </c>
      <c r="W79" s="153" t="str">
        <f>+VLOOKUP($L79,Data_Validation!$A:$E,5,0)</f>
        <v>$</v>
      </c>
      <c r="X79" s="153">
        <f>+VLOOKUP($L79,Data_Validation!$A:$F,6,0)</f>
        <v>0</v>
      </c>
    </row>
    <row r="80" spans="1:24" ht="15.75" customHeight="1">
      <c r="A80" s="1236" t="s">
        <v>2013</v>
      </c>
      <c r="B80" s="1237">
        <v>1352</v>
      </c>
      <c r="C80" s="1239">
        <v>88150.74</v>
      </c>
      <c r="D80" s="1239">
        <v>-8950</v>
      </c>
      <c r="E80" s="1239">
        <v>79200.740000000005</v>
      </c>
      <c r="F80" s="1236" t="s">
        <v>290</v>
      </c>
      <c r="G80" s="1236" t="s">
        <v>2015</v>
      </c>
      <c r="H80" s="1238"/>
      <c r="I80" s="1238"/>
      <c r="J80" s="1238"/>
      <c r="K80" s="1238"/>
      <c r="L80" s="150">
        <f t="shared" si="0"/>
        <v>1352</v>
      </c>
      <c r="M80" s="151" t="str">
        <f t="shared" si="1"/>
        <v>RECEV. MANUFACTURIER VOLKS</v>
      </c>
      <c r="N80" s="152">
        <f>+IF(OR($Q80=Parametres!$G$2,$Q80=Parametres!$G$3),I80,C80)</f>
        <v>88150.74</v>
      </c>
      <c r="O80" s="152">
        <f>+IF(OR($Q80=Parametres!$G$2,$Q80=Parametres!$G$3),J80,D80)</f>
        <v>-8950</v>
      </c>
      <c r="P80" s="152">
        <f>+IF(OR($Q80=Parametres!$G$2,$Q80=Parametres!$G$3),K80,E80)</f>
        <v>79200.740000000005</v>
      </c>
      <c r="Q80" s="151" t="str">
        <f t="shared" si="6"/>
        <v>2-Actifs</v>
      </c>
      <c r="R80" s="150" t="str">
        <f t="shared" si="6"/>
        <v>1314</v>
      </c>
      <c r="S80" s="151">
        <f t="shared" si="6"/>
        <v>0</v>
      </c>
      <c r="T80" s="153">
        <f>+VLOOKUP($L80,Data_Validation!$A:$D,1,0)</f>
        <v>1352</v>
      </c>
      <c r="U80" s="153" t="str">
        <f>+VLOOKUP($L80,Data_Validation!$A:$D,3,0)</f>
        <v>Bilan</v>
      </c>
      <c r="V80" s="153" t="str">
        <f>+VLOOKUP($L80,Data_Validation!$A:$D,4,0)</f>
        <v>Recevables Manufacturier</v>
      </c>
      <c r="W80" s="153" t="str">
        <f>+VLOOKUP($L80,Data_Validation!$A:$E,5,0)</f>
        <v>$</v>
      </c>
      <c r="X80" s="153">
        <f>+VLOOKUP($L80,Data_Validation!$A:$F,6,0)</f>
        <v>0</v>
      </c>
    </row>
    <row r="81" spans="1:24" ht="15" customHeight="1">
      <c r="A81" s="1236" t="s">
        <v>2813</v>
      </c>
      <c r="B81" s="1237">
        <v>1372</v>
      </c>
      <c r="C81" s="1239">
        <v>90703.88</v>
      </c>
      <c r="D81" s="1239">
        <v>0</v>
      </c>
      <c r="E81" s="1239">
        <v>90703.88</v>
      </c>
      <c r="F81" s="1236" t="s">
        <v>290</v>
      </c>
      <c r="G81" s="1236" t="s">
        <v>2814</v>
      </c>
      <c r="H81" s="1241"/>
      <c r="I81" s="1242"/>
      <c r="J81" s="1242"/>
      <c r="K81" s="1242"/>
      <c r="L81" s="150">
        <f t="shared" si="0"/>
        <v>1372</v>
      </c>
      <c r="M81" s="151" t="str">
        <f t="shared" si="1"/>
        <v>TAXES DE VENTES A RECEVOIR</v>
      </c>
      <c r="N81" s="152">
        <f>+IF(OR($Q81=Parametres!$G$2,$Q81=Parametres!$G$3),I81,C81)</f>
        <v>90703.88</v>
      </c>
      <c r="O81" s="152">
        <f>+IF(OR($Q81=Parametres!$G$2,$Q81=Parametres!$G$3),J81,D81)</f>
        <v>0</v>
      </c>
      <c r="P81" s="152">
        <f>+IF(OR($Q81=Parametres!$G$2,$Q81=Parametres!$G$3),K81,E81)</f>
        <v>90703.88</v>
      </c>
      <c r="Q81" s="151" t="str">
        <f t="shared" si="6"/>
        <v>2-Actifs</v>
      </c>
      <c r="R81" s="150" t="str">
        <f t="shared" si="6"/>
        <v>1372</v>
      </c>
      <c r="S81" s="151">
        <f t="shared" si="6"/>
        <v>0</v>
      </c>
      <c r="T81" s="153">
        <f>+VLOOKUP($L81,Data_Validation!$A:$D,1,0)</f>
        <v>1372</v>
      </c>
      <c r="U81" s="153" t="str">
        <f>+VLOOKUP($L81,Data_Validation!$A:$D,3,0)</f>
        <v>Bilan</v>
      </c>
      <c r="V81" s="153" t="str">
        <f>+VLOOKUP($L81,Data_Validation!$A:$D,4,0)</f>
        <v>Taxes de Vente à Payer</v>
      </c>
      <c r="W81" s="153" t="str">
        <f>+VLOOKUP($L81,Data_Validation!$A:$E,5,0)</f>
        <v>$</v>
      </c>
      <c r="X81" s="153">
        <f>+VLOOKUP($L81,Data_Validation!$A:$F,6,0)</f>
        <v>0</v>
      </c>
    </row>
    <row r="82" spans="1:24" ht="15" customHeight="1">
      <c r="A82" s="986" t="s">
        <v>2856</v>
      </c>
      <c r="B82" s="1103">
        <v>1399</v>
      </c>
      <c r="C82" s="988">
        <v>-45000</v>
      </c>
      <c r="D82" s="988">
        <v>149.47</v>
      </c>
      <c r="E82" s="988">
        <v>-44850.53</v>
      </c>
      <c r="F82" s="986" t="s">
        <v>290</v>
      </c>
      <c r="G82" s="986" t="s">
        <v>2857</v>
      </c>
      <c r="H82" s="948"/>
      <c r="I82" s="949"/>
      <c r="J82" s="949"/>
      <c r="K82" s="949"/>
      <c r="L82" s="150">
        <f t="shared" si="0"/>
        <v>1399</v>
      </c>
      <c r="M82" s="151" t="str">
        <f t="shared" si="1"/>
        <v>RESERVE CREANCE DOUTEUSES</v>
      </c>
      <c r="N82" s="152">
        <f>+IF(OR($Q82=Parametres!$G$2,$Q82=Parametres!$G$3),I82,C82)</f>
        <v>-45000</v>
      </c>
      <c r="O82" s="152">
        <f>+IF(OR($Q82=Parametres!$G$2,$Q82=Parametres!$G$3),J82,D82)</f>
        <v>149.47</v>
      </c>
      <c r="P82" s="152">
        <f>+IF(OR($Q82=Parametres!$G$2,$Q82=Parametres!$G$3),K82,E82)</f>
        <v>-44850.53</v>
      </c>
      <c r="Q82" s="151" t="str">
        <f t="shared" ref="Q82:S97" si="7">+F82</f>
        <v>2-Actifs</v>
      </c>
      <c r="R82" s="150" t="str">
        <f t="shared" si="7"/>
        <v>1399</v>
      </c>
      <c r="S82" s="151">
        <f t="shared" si="7"/>
        <v>0</v>
      </c>
      <c r="T82" s="153">
        <f>+VLOOKUP($L82,Data_Validation!$A:$D,1,0)</f>
        <v>1399</v>
      </c>
      <c r="U82" s="153" t="str">
        <f>+VLOOKUP($L82,Data_Validation!$A:$D,3,0)</f>
        <v>Bilan</v>
      </c>
      <c r="V82" s="153" t="str">
        <f>+VLOOKUP($L82,Data_Validation!$A:$D,4,0)</f>
        <v>Recevables Pièces et Service</v>
      </c>
      <c r="W82" s="153" t="str">
        <f>+VLOOKUP($L82,Data_Validation!$A:$E,5,0)</f>
        <v>$</v>
      </c>
      <c r="X82" s="153">
        <f>+VLOOKUP($L82,Data_Validation!$A:$F,6,0)</f>
        <v>0</v>
      </c>
    </row>
    <row r="83" spans="1:24" ht="15" customHeight="1">
      <c r="A83" s="1236" t="s">
        <v>2102</v>
      </c>
      <c r="B83" s="1237">
        <v>1402</v>
      </c>
      <c r="C83" s="1239">
        <v>5069007.76</v>
      </c>
      <c r="D83" s="1239">
        <v>307009.01</v>
      </c>
      <c r="E83" s="1239">
        <v>5376016.7699999996</v>
      </c>
      <c r="F83" s="1236" t="s">
        <v>290</v>
      </c>
      <c r="G83" s="1236" t="s">
        <v>2103</v>
      </c>
      <c r="H83" s="1241"/>
      <c r="I83" s="1242"/>
      <c r="J83" s="1242"/>
      <c r="K83" s="1242"/>
      <c r="L83" s="150">
        <f t="shared" si="0"/>
        <v>1402</v>
      </c>
      <c r="M83" s="151" t="str">
        <f t="shared" si="1"/>
        <v>VEHIC. NEUFS VOLKS</v>
      </c>
      <c r="N83" s="152">
        <f>+IF(OR($Q83=Parametres!$G$2,$Q83=Parametres!$G$3),I83,C83)</f>
        <v>5069007.76</v>
      </c>
      <c r="O83" s="152">
        <f>+IF(OR($Q83=Parametres!$G$2,$Q83=Parametres!$G$3),J83,D83)</f>
        <v>307009.01</v>
      </c>
      <c r="P83" s="152">
        <f>+IF(OR($Q83=Parametres!$G$2,$Q83=Parametres!$G$3),K83,E83)</f>
        <v>5376016.7699999996</v>
      </c>
      <c r="Q83" s="151" t="str">
        <f t="shared" si="7"/>
        <v>2-Actifs</v>
      </c>
      <c r="R83" s="150" t="str">
        <f t="shared" si="7"/>
        <v>1402</v>
      </c>
      <c r="S83" s="151">
        <f t="shared" si="7"/>
        <v>0</v>
      </c>
      <c r="T83" s="153">
        <f>+VLOOKUP($L83,Data_Validation!$A:$D,1,0)</f>
        <v>1402</v>
      </c>
      <c r="U83" s="153" t="str">
        <f>+VLOOKUP($L83,Data_Validation!$A:$D,3,0)</f>
        <v>Bilan</v>
      </c>
      <c r="V83" s="153" t="str">
        <f>+VLOOKUP($L83,Data_Validation!$A:$D,4,0)</f>
        <v>Inventaire Véhicules Neufs</v>
      </c>
      <c r="W83" s="153" t="str">
        <f>+VLOOKUP($L83,Data_Validation!$A:$E,5,0)</f>
        <v>$</v>
      </c>
      <c r="X83" s="153">
        <f>+VLOOKUP($L83,Data_Validation!$A:$F,6,0)</f>
        <v>0</v>
      </c>
    </row>
    <row r="84" spans="1:24" ht="15.75" customHeight="1">
      <c r="A84" s="1236" t="s">
        <v>2468</v>
      </c>
      <c r="B84" s="1237" t="s">
        <v>2469</v>
      </c>
      <c r="C84" s="1239"/>
      <c r="D84" s="1239"/>
      <c r="E84" s="1239"/>
      <c r="F84" s="1236" t="s">
        <v>4</v>
      </c>
      <c r="G84" s="1236" t="s">
        <v>2103</v>
      </c>
      <c r="H84" s="1241"/>
      <c r="I84" s="1242">
        <v>152</v>
      </c>
      <c r="J84" s="1242">
        <v>17</v>
      </c>
      <c r="K84" s="1242">
        <v>169</v>
      </c>
      <c r="L84" s="150" t="str">
        <f t="shared" si="0"/>
        <v>1402@</v>
      </c>
      <c r="M84" s="151" t="str">
        <f t="shared" si="1"/>
        <v># DE INVENTAIRE VEH.NEUFS VW</v>
      </c>
      <c r="N84" s="152">
        <f>+IF(OR($Q84=Parametres!$G$2,$Q84=Parametres!$G$3),I84,C84)</f>
        <v>152</v>
      </c>
      <c r="O84" s="569">
        <f>+IF(OR($Q84=Parametres!$G$2,$Q84=Parametres!$G$3),J84,D84)</f>
        <v>17</v>
      </c>
      <c r="P84" s="152">
        <f>+IF(OR($Q84=Parametres!$G$2,$Q84=Parametres!$G$3),K84,E84)</f>
        <v>169</v>
      </c>
      <c r="Q84" s="151" t="str">
        <f t="shared" si="7"/>
        <v>10-Compte compteur</v>
      </c>
      <c r="R84" s="150" t="str">
        <f t="shared" si="7"/>
        <v>1402</v>
      </c>
      <c r="S84" s="151">
        <f t="shared" si="7"/>
        <v>0</v>
      </c>
      <c r="T84" s="153" t="str">
        <f>+VLOOKUP($L84,Data_Validation!$A:$D,1,0)</f>
        <v>1402@</v>
      </c>
      <c r="U84" s="153" t="str">
        <f>+VLOOKUP($L84,Data_Validation!$A:$D,3,0)</f>
        <v>Bilan</v>
      </c>
      <c r="V84" s="153">
        <f>+VLOOKUP($L84,Data_Validation!$A:$D,4,0)</f>
        <v>0</v>
      </c>
      <c r="W84" s="153" t="str">
        <f>+VLOOKUP($L84,Data_Validation!$A:$E,5,0)</f>
        <v>NB</v>
      </c>
      <c r="X84" s="153">
        <f>+VLOOKUP($L84,Data_Validation!$A:$F,6,0)</f>
        <v>0</v>
      </c>
    </row>
    <row r="85" spans="1:24" ht="15" customHeight="1">
      <c r="A85" s="1236" t="s">
        <v>2111</v>
      </c>
      <c r="B85" s="1237">
        <v>1403</v>
      </c>
      <c r="C85" s="1239">
        <v>-129664.36</v>
      </c>
      <c r="D85" s="1239">
        <v>-8100</v>
      </c>
      <c r="E85" s="1239">
        <v>-137764.35999999999</v>
      </c>
      <c r="F85" s="1236" t="s">
        <v>290</v>
      </c>
      <c r="G85" s="1236" t="s">
        <v>2103</v>
      </c>
      <c r="H85" s="1241"/>
      <c r="I85" s="1242"/>
      <c r="J85" s="1242"/>
      <c r="K85" s="1242"/>
      <c r="L85" s="150">
        <f t="shared" si="0"/>
        <v>1403</v>
      </c>
      <c r="M85" s="151" t="str">
        <f t="shared" si="1"/>
        <v>BRUISING VOLKS VEH. NEUFS</v>
      </c>
      <c r="N85" s="152">
        <f>+IF(OR($Q85=Parametres!$G$2,$Q85=Parametres!$G$3),I85,C85)</f>
        <v>-129664.36</v>
      </c>
      <c r="O85" s="569">
        <f>+IF(OR($Q85=Parametres!$G$2,$Q85=Parametres!$G$3),J85,D85)</f>
        <v>-8100</v>
      </c>
      <c r="P85" s="152">
        <f>+IF(OR($Q85=Parametres!$G$2,$Q85=Parametres!$G$3),K85,E85)</f>
        <v>-137764.35999999999</v>
      </c>
      <c r="Q85" s="151" t="str">
        <f t="shared" si="7"/>
        <v>2-Actifs</v>
      </c>
      <c r="R85" s="150" t="str">
        <f t="shared" si="7"/>
        <v>1402</v>
      </c>
      <c r="S85" s="151">
        <f t="shared" si="7"/>
        <v>0</v>
      </c>
      <c r="T85" s="153">
        <f>+VLOOKUP($L85,Data_Validation!$A:$D,1,0)</f>
        <v>1403</v>
      </c>
      <c r="U85" s="153" t="str">
        <f>+VLOOKUP($L85,Data_Validation!$A:$D,3,0)</f>
        <v>Bilan</v>
      </c>
      <c r="V85" s="153" t="str">
        <f>+VLOOKUP($L85,Data_Validation!$A:$D,4,0)</f>
        <v>Inventaire Véhicules Neufs</v>
      </c>
      <c r="W85" s="153" t="str">
        <f>+VLOOKUP($L85,Data_Validation!$A:$E,5,0)</f>
        <v>$</v>
      </c>
      <c r="X85" s="153">
        <f>+VLOOKUP($L85,Data_Validation!$A:$F,6,0)</f>
        <v>0</v>
      </c>
    </row>
    <row r="86" spans="1:24" ht="15" customHeight="1">
      <c r="A86" s="1236" t="s">
        <v>2752</v>
      </c>
      <c r="B86" s="1237">
        <v>1413</v>
      </c>
      <c r="C86" s="1239">
        <v>-37974.71</v>
      </c>
      <c r="D86" s="1239">
        <v>-16200</v>
      </c>
      <c r="E86" s="1239">
        <v>-54174.71</v>
      </c>
      <c r="F86" s="1236" t="s">
        <v>290</v>
      </c>
      <c r="G86" s="1236" t="s">
        <v>2753</v>
      </c>
      <c r="H86" s="1241"/>
      <c r="I86" s="1242"/>
      <c r="J86" s="1242"/>
      <c r="K86" s="1242"/>
      <c r="L86" s="150">
        <f t="shared" si="0"/>
        <v>1413</v>
      </c>
      <c r="M86" s="151" t="str">
        <f t="shared" si="1"/>
        <v>BRUISING USED CAR</v>
      </c>
      <c r="N86" s="152">
        <f>+IF(OR($Q86=Parametres!$G$2,$Q86=Parametres!$G$3),I86,C86)</f>
        <v>-37974.71</v>
      </c>
      <c r="O86" s="152">
        <f>+IF(OR($Q86=Parametres!$G$2,$Q86=Parametres!$G$3),J86,D86)</f>
        <v>-16200</v>
      </c>
      <c r="P86" s="152">
        <f>+IF(OR($Q86=Parametres!$G$2,$Q86=Parametres!$G$3),K86,E86)</f>
        <v>-54174.71</v>
      </c>
      <c r="Q86" s="151" t="str">
        <f t="shared" si="7"/>
        <v>2-Actifs</v>
      </c>
      <c r="R86" s="150" t="str">
        <f t="shared" si="7"/>
        <v>1413</v>
      </c>
      <c r="S86" s="151">
        <f t="shared" si="7"/>
        <v>0</v>
      </c>
      <c r="T86" s="153">
        <f>+VLOOKUP($L86,Data_Validation!$A:$D,1,0)</f>
        <v>1413</v>
      </c>
      <c r="U86" s="153" t="str">
        <f>+VLOOKUP($L86,Data_Validation!$A:$D,3,0)</f>
        <v>Bilan</v>
      </c>
      <c r="V86" s="153" t="str">
        <f>+VLOOKUP($L86,Data_Validation!$A:$D,4,0)</f>
        <v>Inventaire Véhicules Usagés</v>
      </c>
      <c r="W86" s="153" t="str">
        <f>+VLOOKUP($L86,Data_Validation!$A:$E,5,0)</f>
        <v>$</v>
      </c>
      <c r="X86" s="153">
        <f>+VLOOKUP($L86,Data_Validation!$A:$F,6,0)</f>
        <v>0</v>
      </c>
    </row>
    <row r="87" spans="1:24" ht="15" customHeight="1">
      <c r="A87" s="1236" t="s">
        <v>2817</v>
      </c>
      <c r="B87" s="1237">
        <v>1416</v>
      </c>
      <c r="C87" s="1239">
        <v>1821693.5</v>
      </c>
      <c r="D87" s="1239">
        <v>417344.62</v>
      </c>
      <c r="E87" s="1239">
        <v>2239038.12</v>
      </c>
      <c r="F87" s="1236" t="s">
        <v>290</v>
      </c>
      <c r="G87" s="1236" t="s">
        <v>2472</v>
      </c>
      <c r="H87" s="1241"/>
      <c r="I87" s="1242"/>
      <c r="J87" s="1242"/>
      <c r="K87" s="1242"/>
      <c r="L87" s="150">
        <f t="shared" si="0"/>
        <v>1416</v>
      </c>
      <c r="M87" s="151" t="str">
        <f t="shared" si="1"/>
        <v>INV. VEH. USAGE VW</v>
      </c>
      <c r="N87" s="152">
        <f>+IF(OR($Q87=Parametres!$G$2,$Q87=Parametres!$G$3),I87,C87)</f>
        <v>1821693.5</v>
      </c>
      <c r="O87" s="152">
        <f>+IF(OR($Q87=Parametres!$G$2,$Q87=Parametres!$G$3),J87,D87)</f>
        <v>417344.62</v>
      </c>
      <c r="P87" s="152">
        <f>+IF(OR($Q87=Parametres!$G$2,$Q87=Parametres!$G$3),K87,E87)</f>
        <v>2239038.12</v>
      </c>
      <c r="Q87" s="151" t="str">
        <f t="shared" si="7"/>
        <v>2-Actifs</v>
      </c>
      <c r="R87" s="150" t="str">
        <f t="shared" si="7"/>
        <v>1416</v>
      </c>
      <c r="S87" s="151">
        <f t="shared" si="7"/>
        <v>0</v>
      </c>
      <c r="T87" s="153">
        <f>+VLOOKUP($L87,Data_Validation!$A:$D,1,0)</f>
        <v>1416</v>
      </c>
      <c r="U87" s="153" t="str">
        <f>+VLOOKUP($L87,Data_Validation!$A:$D,3,0)</f>
        <v>Bilan</v>
      </c>
      <c r="V87" s="153" t="str">
        <f>+VLOOKUP($L87,Data_Validation!$A:$D,4,0)</f>
        <v>Inventaire Véhicules Usagés</v>
      </c>
      <c r="W87" s="153" t="str">
        <f>+VLOOKUP($L87,Data_Validation!$A:$E,5,0)</f>
        <v>$</v>
      </c>
      <c r="X87" s="153">
        <f>+VLOOKUP($L87,Data_Validation!$A:$F,6,0)</f>
        <v>0</v>
      </c>
    </row>
    <row r="88" spans="1:24" ht="15" customHeight="1">
      <c r="A88" s="1236" t="s">
        <v>2470</v>
      </c>
      <c r="B88" s="1237" t="s">
        <v>2471</v>
      </c>
      <c r="C88" s="1239"/>
      <c r="D88" s="1239"/>
      <c r="E88" s="1239"/>
      <c r="F88" s="1236" t="s">
        <v>4</v>
      </c>
      <c r="G88" s="1236" t="s">
        <v>2472</v>
      </c>
      <c r="H88" s="1241"/>
      <c r="I88" s="1242">
        <v>106</v>
      </c>
      <c r="J88" s="1242">
        <v>14</v>
      </c>
      <c r="K88" s="1242">
        <v>120</v>
      </c>
      <c r="L88" s="150" t="str">
        <f t="shared" si="0"/>
        <v>1416@</v>
      </c>
      <c r="M88" s="151" t="str">
        <f t="shared" si="1"/>
        <v># DE INV. VEH. USAGE VW</v>
      </c>
      <c r="N88" s="152">
        <f>+IF(OR($Q88=Parametres!$G$2,$Q88=Parametres!$G$3),I88,C88)</f>
        <v>106</v>
      </c>
      <c r="O88" s="569">
        <f>+IF(OR($Q88=Parametres!$G$2,$Q88=Parametres!$G$3),J88,D88)</f>
        <v>14</v>
      </c>
      <c r="P88" s="152">
        <f>+IF(OR($Q88=Parametres!$G$2,$Q88=Parametres!$G$3),K88,E88)</f>
        <v>120</v>
      </c>
      <c r="Q88" s="151" t="str">
        <f t="shared" si="7"/>
        <v>10-Compte compteur</v>
      </c>
      <c r="R88" s="150" t="str">
        <f t="shared" si="7"/>
        <v>1416</v>
      </c>
      <c r="S88" s="151">
        <f t="shared" si="7"/>
        <v>0</v>
      </c>
      <c r="T88" s="153" t="str">
        <f>+VLOOKUP($L88,Data_Validation!$A:$D,1,0)</f>
        <v>1416@</v>
      </c>
      <c r="U88" s="153" t="str">
        <f>+VLOOKUP($L88,Data_Validation!$A:$D,3,0)</f>
        <v>Bilan</v>
      </c>
      <c r="V88" s="153">
        <f>+VLOOKUP($L88,Data_Validation!$A:$D,4,0)</f>
        <v>0</v>
      </c>
      <c r="W88" s="153" t="str">
        <f>+VLOOKUP($L88,Data_Validation!$A:$E,5,0)</f>
        <v>NB</v>
      </c>
      <c r="X88" s="153">
        <f>+VLOOKUP($L88,Data_Validation!$A:$F,6,0)</f>
        <v>0</v>
      </c>
    </row>
    <row r="89" spans="1:24" ht="15" customHeight="1">
      <c r="A89" s="1236" t="s">
        <v>2886</v>
      </c>
      <c r="B89" s="1237" t="s">
        <v>2887</v>
      </c>
      <c r="C89" s="1239"/>
      <c r="D89" s="1239"/>
      <c r="E89" s="1239"/>
      <c r="F89" s="1236" t="s">
        <v>4</v>
      </c>
      <c r="G89" s="1236" t="s">
        <v>2888</v>
      </c>
      <c r="H89" s="1241"/>
      <c r="I89" s="1242">
        <v>1</v>
      </c>
      <c r="J89" s="1242">
        <v>0</v>
      </c>
      <c r="K89" s="1242">
        <v>1</v>
      </c>
      <c r="L89" s="150" t="str">
        <f t="shared" si="0"/>
        <v>1418@</v>
      </c>
      <c r="M89" s="151" t="str">
        <f t="shared" si="1"/>
        <v># DE INV.VEH.USAGE AUDI</v>
      </c>
      <c r="N89" s="152">
        <f>+IF(OR($Q89=Parametres!$G$2,$Q89=Parametres!$G$3),I89,C89)</f>
        <v>1</v>
      </c>
      <c r="O89" s="152">
        <f>+IF(OR($Q89=Parametres!$G$2,$Q89=Parametres!$G$3),J89,D89)</f>
        <v>0</v>
      </c>
      <c r="P89" s="152">
        <f>+IF(OR($Q89=Parametres!$G$2,$Q89=Parametres!$G$3),K89,E89)</f>
        <v>1</v>
      </c>
      <c r="Q89" s="151" t="str">
        <f t="shared" si="7"/>
        <v>10-Compte compteur</v>
      </c>
      <c r="R89" s="150" t="str">
        <f t="shared" si="7"/>
        <v>1418</v>
      </c>
      <c r="S89" s="151">
        <f t="shared" si="7"/>
        <v>0</v>
      </c>
      <c r="T89" s="153" t="str">
        <f>+VLOOKUP($L89,Data_Validation!$A:$D,1,0)</f>
        <v>1418@</v>
      </c>
      <c r="U89" s="153">
        <f>+VLOOKUP($L89,Data_Validation!$A:$D,3,0)</f>
        <v>0</v>
      </c>
      <c r="V89" s="153">
        <f>+VLOOKUP($L89,Data_Validation!$A:$D,4,0)</f>
        <v>0</v>
      </c>
      <c r="W89" s="153">
        <f>+VLOOKUP($L89,Data_Validation!$A:$E,5,0)</f>
        <v>0</v>
      </c>
      <c r="X89" s="153">
        <f>+VLOOKUP($L89,Data_Validation!$A:$F,6,0)</f>
        <v>0</v>
      </c>
    </row>
    <row r="90" spans="1:24" ht="15" customHeight="1">
      <c r="A90" s="1236" t="s">
        <v>2858</v>
      </c>
      <c r="B90" s="1237">
        <v>1423</v>
      </c>
      <c r="C90" s="1239">
        <v>-16980.63</v>
      </c>
      <c r="D90" s="1239">
        <v>6055.44</v>
      </c>
      <c r="E90" s="1239">
        <v>-10925.19</v>
      </c>
      <c r="F90" s="1236" t="s">
        <v>290</v>
      </c>
      <c r="G90" s="1236" t="s">
        <v>2859</v>
      </c>
      <c r="H90" s="1241"/>
      <c r="I90" s="1242"/>
      <c r="J90" s="1242"/>
      <c r="K90" s="1242"/>
      <c r="L90" s="150">
        <f t="shared" si="0"/>
        <v>1423</v>
      </c>
      <c r="M90" s="151" t="str">
        <f t="shared" si="1"/>
        <v>RESERVE DEMO</v>
      </c>
      <c r="N90" s="152">
        <f>+IF(OR($Q90=Parametres!$G$2,$Q90=Parametres!$G$3),I90,C90)</f>
        <v>-16980.63</v>
      </c>
      <c r="O90" s="152">
        <f>+IF(OR($Q90=Parametres!$G$2,$Q90=Parametres!$G$3),J90,D90)</f>
        <v>6055.44</v>
      </c>
      <c r="P90" s="152">
        <f>+IF(OR($Q90=Parametres!$G$2,$Q90=Parametres!$G$3),K90,E90)</f>
        <v>-10925.19</v>
      </c>
      <c r="Q90" s="151" t="str">
        <f t="shared" si="7"/>
        <v>2-Actifs</v>
      </c>
      <c r="R90" s="150" t="str">
        <f t="shared" si="7"/>
        <v>1423</v>
      </c>
      <c r="S90" s="151">
        <f t="shared" si="7"/>
        <v>0</v>
      </c>
      <c r="T90" s="153">
        <f>+VLOOKUP($L90,Data_Validation!$A:$D,1,0)</f>
        <v>1423</v>
      </c>
      <c r="U90" s="153" t="str">
        <f>+VLOOKUP($L90,Data_Validation!$A:$D,3,0)</f>
        <v>Bilan</v>
      </c>
      <c r="V90" s="153" t="str">
        <f>+VLOOKUP($L90,Data_Validation!$A:$D,4,0)</f>
        <v>Inventaire Véhicules Neufs</v>
      </c>
      <c r="W90" s="153" t="str">
        <f>+VLOOKUP($L90,Data_Validation!$A:$E,5,0)</f>
        <v>$</v>
      </c>
      <c r="X90" s="153">
        <f>+VLOOKUP($L90,Data_Validation!$A:$F,6,0)</f>
        <v>0</v>
      </c>
    </row>
    <row r="91" spans="1:24" ht="15" customHeight="1">
      <c r="A91" s="1236" t="s">
        <v>2860</v>
      </c>
      <c r="B91" s="1237">
        <v>1433</v>
      </c>
      <c r="C91" s="1239">
        <v>-47741.22</v>
      </c>
      <c r="D91" s="1239">
        <v>-3321.96</v>
      </c>
      <c r="E91" s="1239">
        <v>-51063.18</v>
      </c>
      <c r="F91" s="1236" t="s">
        <v>290</v>
      </c>
      <c r="G91" s="1236" t="s">
        <v>2861</v>
      </c>
      <c r="H91" s="1241"/>
      <c r="I91" s="1242"/>
      <c r="J91" s="1242"/>
      <c r="K91" s="1242"/>
      <c r="L91" s="150">
        <f t="shared" si="0"/>
        <v>1433</v>
      </c>
      <c r="M91" s="151" t="str">
        <f t="shared" si="1"/>
        <v>RESERVE COURTOISIE</v>
      </c>
      <c r="N91" s="152">
        <f>+IF(OR($Q91=Parametres!$G$2,$Q91=Parametres!$G$3),I91,C91)</f>
        <v>-47741.22</v>
      </c>
      <c r="O91" s="152">
        <f>+IF(OR($Q91=Parametres!$G$2,$Q91=Parametres!$G$3),J91,D91)</f>
        <v>-3321.96</v>
      </c>
      <c r="P91" s="152">
        <f>+IF(OR($Q91=Parametres!$G$2,$Q91=Parametres!$G$3),K91,E91)</f>
        <v>-51063.18</v>
      </c>
      <c r="Q91" s="151" t="str">
        <f t="shared" si="7"/>
        <v>2-Actifs</v>
      </c>
      <c r="R91" s="150" t="str">
        <f t="shared" si="7"/>
        <v>143</v>
      </c>
      <c r="S91" s="151">
        <f t="shared" si="7"/>
        <v>0</v>
      </c>
      <c r="T91" s="153">
        <f>+VLOOKUP($L91,Data_Validation!$A:$D,1,0)</f>
        <v>1433</v>
      </c>
      <c r="U91" s="153" t="str">
        <f>+VLOOKUP($L91,Data_Validation!$A:$D,3,0)</f>
        <v>Bilan</v>
      </c>
      <c r="V91" s="153" t="str">
        <f>+VLOOKUP($L91,Data_Validation!$A:$D,4,0)</f>
        <v>Inventaire Véhicules Neufs</v>
      </c>
      <c r="W91" s="153" t="str">
        <f>+VLOOKUP($L91,Data_Validation!$A:$E,5,0)</f>
        <v>$</v>
      </c>
      <c r="X91" s="153">
        <f>+VLOOKUP($L91,Data_Validation!$A:$F,6,0)</f>
        <v>0</v>
      </c>
    </row>
    <row r="92" spans="1:24" ht="15" customHeight="1">
      <c r="A92" s="1236" t="s">
        <v>2025</v>
      </c>
      <c r="B92" s="1237">
        <v>1442</v>
      </c>
      <c r="C92" s="1239">
        <v>93341.77</v>
      </c>
      <c r="D92" s="1239">
        <v>-35785.56</v>
      </c>
      <c r="E92" s="1239">
        <v>57556.21</v>
      </c>
      <c r="F92" s="1236" t="s">
        <v>290</v>
      </c>
      <c r="G92" s="1236" t="s">
        <v>2026</v>
      </c>
      <c r="H92" s="1241"/>
      <c r="I92" s="1242"/>
      <c r="J92" s="1242"/>
      <c r="K92" s="1242"/>
      <c r="L92" s="150">
        <f t="shared" si="0"/>
        <v>1442</v>
      </c>
      <c r="M92" s="151" t="str">
        <f t="shared" si="1"/>
        <v>PIECES &amp; ACCESSOIRES NEUFS</v>
      </c>
      <c r="N92" s="152">
        <f>+IF(OR($Q92=Parametres!$G$2,$Q92=Parametres!$G$3),I92,C92)</f>
        <v>93341.77</v>
      </c>
      <c r="O92" s="152">
        <f>+IF(OR($Q92=Parametres!$G$2,$Q92=Parametres!$G$3),J92,D92)</f>
        <v>-35785.56</v>
      </c>
      <c r="P92" s="152">
        <f>+IF(OR($Q92=Parametres!$G$2,$Q92=Parametres!$G$3),K92,E92)</f>
        <v>57556.21</v>
      </c>
      <c r="Q92" s="151" t="str">
        <f t="shared" si="7"/>
        <v>2-Actifs</v>
      </c>
      <c r="R92" s="150" t="str">
        <f t="shared" si="7"/>
        <v>1442</v>
      </c>
      <c r="S92" s="151">
        <f t="shared" si="7"/>
        <v>0</v>
      </c>
      <c r="T92" s="153">
        <f>+VLOOKUP($L92,Data_Validation!$A:$D,1,0)</f>
        <v>1442</v>
      </c>
      <c r="U92" s="153" t="str">
        <f>+VLOOKUP($L92,Data_Validation!$A:$D,3,0)</f>
        <v>Bilan</v>
      </c>
      <c r="V92" s="153" t="str">
        <f>+VLOOKUP($L92,Data_Validation!$A:$D,4,0)</f>
        <v>Inventaire Pièces, Pneus, Huile</v>
      </c>
      <c r="W92" s="153" t="str">
        <f>+VLOOKUP($L92,Data_Validation!$A:$E,5,0)</f>
        <v>$</v>
      </c>
      <c r="X92" s="153">
        <f>+VLOOKUP($L92,Data_Validation!$A:$F,6,0)</f>
        <v>0</v>
      </c>
    </row>
    <row r="93" spans="1:24" ht="15" customHeight="1">
      <c r="A93" s="1236" t="s">
        <v>2862</v>
      </c>
      <c r="B93" s="1237">
        <v>1448</v>
      </c>
      <c r="C93" s="1239">
        <v>297.64</v>
      </c>
      <c r="D93" s="1239">
        <v>267.70999999999998</v>
      </c>
      <c r="E93" s="1239">
        <v>565.35</v>
      </c>
      <c r="F93" s="1236" t="s">
        <v>290</v>
      </c>
      <c r="G93" s="1236" t="s">
        <v>2026</v>
      </c>
      <c r="H93" s="1241"/>
      <c r="I93" s="1242"/>
      <c r="J93" s="1242"/>
      <c r="K93" s="1242"/>
      <c r="L93" s="150">
        <f t="shared" si="0"/>
        <v>1448</v>
      </c>
      <c r="M93" s="151" t="str">
        <f t="shared" si="1"/>
        <v>AUTRES MARQUES P&amp;A</v>
      </c>
      <c r="N93" s="152">
        <f>+IF(OR($Q93=Parametres!$G$2,$Q93=Parametres!$G$3),I93,C93)</f>
        <v>297.64</v>
      </c>
      <c r="O93" s="569">
        <f>+IF(OR($Q93=Parametres!$G$2,$Q93=Parametres!$G$3),J93,D93)</f>
        <v>267.70999999999998</v>
      </c>
      <c r="P93" s="152">
        <f>+IF(OR($Q93=Parametres!$G$2,$Q93=Parametres!$G$3),K93,E93)</f>
        <v>565.35</v>
      </c>
      <c r="Q93" s="151" t="str">
        <f t="shared" si="7"/>
        <v>2-Actifs</v>
      </c>
      <c r="R93" s="150" t="str">
        <f t="shared" si="7"/>
        <v>1442</v>
      </c>
      <c r="S93" s="151">
        <f t="shared" si="7"/>
        <v>0</v>
      </c>
      <c r="T93" s="153">
        <f>+VLOOKUP($L93,Data_Validation!$A:$D,1,0)</f>
        <v>1448</v>
      </c>
      <c r="U93" s="153" t="str">
        <f>+VLOOKUP($L93,Data_Validation!$A:$D,3,0)</f>
        <v>Bilan</v>
      </c>
      <c r="V93" s="153" t="str">
        <f>+VLOOKUP($L93,Data_Validation!$A:$D,4,0)</f>
        <v>Inventaire Pièces, Pneus, Huile</v>
      </c>
      <c r="W93" s="153" t="str">
        <f>+VLOOKUP($L93,Data_Validation!$A:$E,5,0)</f>
        <v>$</v>
      </c>
      <c r="X93" s="153">
        <f>+VLOOKUP($L93,Data_Validation!$A:$F,6,0)</f>
        <v>0</v>
      </c>
    </row>
    <row r="94" spans="1:24" ht="15.75" customHeight="1">
      <c r="A94" s="1236" t="s">
        <v>2815</v>
      </c>
      <c r="B94" s="1237">
        <v>1452</v>
      </c>
      <c r="C94" s="1239">
        <v>243136.4</v>
      </c>
      <c r="D94" s="1239">
        <v>43732.71</v>
      </c>
      <c r="E94" s="1239">
        <v>286869.11</v>
      </c>
      <c r="F94" s="1236" t="s">
        <v>290</v>
      </c>
      <c r="G94" s="1236" t="s">
        <v>2026</v>
      </c>
      <c r="H94" s="1241"/>
      <c r="I94" s="1242"/>
      <c r="J94" s="1242"/>
      <c r="K94" s="1242"/>
      <c r="L94" s="150">
        <f t="shared" si="0"/>
        <v>1452</v>
      </c>
      <c r="M94" s="151" t="str">
        <f t="shared" si="1"/>
        <v>PNEUS</v>
      </c>
      <c r="N94" s="152">
        <f>+IF(OR($Q94=Parametres!$G$2,$Q94=Parametres!$G$3),I94,C94)</f>
        <v>243136.4</v>
      </c>
      <c r="O94" s="152">
        <f>+IF(OR($Q94=Parametres!$G$2,$Q94=Parametres!$G$3),J94,D94)</f>
        <v>43732.71</v>
      </c>
      <c r="P94" s="152">
        <f>+IF(OR($Q94=Parametres!$G$2,$Q94=Parametres!$G$3),K94,E94)</f>
        <v>286869.11</v>
      </c>
      <c r="Q94" s="151" t="str">
        <f t="shared" si="7"/>
        <v>2-Actifs</v>
      </c>
      <c r="R94" s="150" t="str">
        <f t="shared" si="7"/>
        <v>1442</v>
      </c>
      <c r="S94" s="151">
        <f t="shared" si="7"/>
        <v>0</v>
      </c>
      <c r="T94" s="153">
        <f>+VLOOKUP($L94,Data_Validation!$A:$D,1,0)</f>
        <v>1452</v>
      </c>
      <c r="U94" s="153" t="str">
        <f>+VLOOKUP($L94,Data_Validation!$A:$D,3,0)</f>
        <v>Bilan</v>
      </c>
      <c r="V94" s="153" t="str">
        <f>+VLOOKUP($L94,Data_Validation!$A:$D,4,0)</f>
        <v>Inventaire Pièces, Pneus, Huile</v>
      </c>
      <c r="W94" s="153" t="str">
        <f>+VLOOKUP($L94,Data_Validation!$A:$E,5,0)</f>
        <v>$</v>
      </c>
      <c r="X94" s="153">
        <f>+VLOOKUP($L94,Data_Validation!$A:$F,6,0)</f>
        <v>0</v>
      </c>
    </row>
    <row r="95" spans="1:24" ht="15" customHeight="1">
      <c r="A95" s="1236" t="s">
        <v>2731</v>
      </c>
      <c r="B95" s="1237">
        <v>1456</v>
      </c>
      <c r="C95" s="1239">
        <v>37950.519999999997</v>
      </c>
      <c r="D95" s="1239">
        <v>3334.09</v>
      </c>
      <c r="E95" s="1239">
        <v>41284.61</v>
      </c>
      <c r="F95" s="1236" t="s">
        <v>290</v>
      </c>
      <c r="G95" s="1236" t="s">
        <v>2732</v>
      </c>
      <c r="H95" s="1241"/>
      <c r="I95" s="1242"/>
      <c r="J95" s="1242"/>
      <c r="K95" s="1242"/>
      <c r="L95" s="150">
        <f t="shared" si="0"/>
        <v>1456</v>
      </c>
      <c r="M95" s="151" t="str">
        <f t="shared" si="1"/>
        <v>PIECES VW NON ORIGINE</v>
      </c>
      <c r="N95" s="152">
        <f>+IF(OR($Q95=Parametres!$G$2,$Q95=Parametres!$G$3),I95,C95)</f>
        <v>37950.519999999997</v>
      </c>
      <c r="O95" s="152">
        <f>+IF(OR($Q95=Parametres!$G$2,$Q95=Parametres!$G$3),J95,D95)</f>
        <v>3334.09</v>
      </c>
      <c r="P95" s="152">
        <f>+IF(OR($Q95=Parametres!$G$2,$Q95=Parametres!$G$3),K95,E95)</f>
        <v>41284.61</v>
      </c>
      <c r="Q95" s="151" t="str">
        <f t="shared" si="7"/>
        <v>2-Actifs</v>
      </c>
      <c r="R95" s="150" t="str">
        <f t="shared" si="7"/>
        <v>1456</v>
      </c>
      <c r="S95" s="151">
        <f t="shared" si="7"/>
        <v>0</v>
      </c>
      <c r="T95" s="153">
        <f>+VLOOKUP($L95,Data_Validation!$A:$D,1,0)</f>
        <v>1456</v>
      </c>
      <c r="U95" s="153" t="str">
        <f>+VLOOKUP($L95,Data_Validation!$A:$D,3,0)</f>
        <v>Bilan</v>
      </c>
      <c r="V95" s="153" t="str">
        <f>+VLOOKUP($L95,Data_Validation!$A:$D,4,0)</f>
        <v>Inventaire Pièces, Pneus, Huile</v>
      </c>
      <c r="W95" s="153" t="str">
        <f>+VLOOKUP($L95,Data_Validation!$A:$E,5,0)</f>
        <v>$</v>
      </c>
      <c r="X95" s="153">
        <f>+VLOOKUP($L95,Data_Validation!$A:$F,6,0)</f>
        <v>0</v>
      </c>
    </row>
    <row r="96" spans="1:24" ht="15" customHeight="1">
      <c r="A96" s="1236" t="s">
        <v>2580</v>
      </c>
      <c r="B96" s="1237">
        <v>1472</v>
      </c>
      <c r="C96" s="1239">
        <v>4349.26</v>
      </c>
      <c r="D96" s="1239">
        <v>907.47</v>
      </c>
      <c r="E96" s="1239">
        <v>5256.73</v>
      </c>
      <c r="F96" s="1236" t="s">
        <v>290</v>
      </c>
      <c r="G96" s="1236" t="s">
        <v>2581</v>
      </c>
      <c r="H96" s="1241"/>
      <c r="I96" s="1242"/>
      <c r="J96" s="1242"/>
      <c r="K96" s="1242"/>
      <c r="L96" s="150">
        <f t="shared" si="0"/>
        <v>1472</v>
      </c>
      <c r="M96" s="151" t="str">
        <f t="shared" si="1"/>
        <v>WIP M-O VW</v>
      </c>
      <c r="N96" s="152">
        <f>+IF(OR($Q96=Parametres!$G$2,$Q96=Parametres!$G$3),I96,C96)</f>
        <v>4349.26</v>
      </c>
      <c r="O96" s="152">
        <f>+IF(OR($Q96=Parametres!$G$2,$Q96=Parametres!$G$3),J96,D96)</f>
        <v>907.47</v>
      </c>
      <c r="P96" s="152">
        <f>+IF(OR($Q96=Parametres!$G$2,$Q96=Parametres!$G$3),K96,E96)</f>
        <v>5256.73</v>
      </c>
      <c r="Q96" s="151" t="str">
        <f t="shared" si="7"/>
        <v>2-Actifs</v>
      </c>
      <c r="R96" s="150" t="str">
        <f t="shared" si="7"/>
        <v>1472</v>
      </c>
      <c r="S96" s="151">
        <f t="shared" si="7"/>
        <v>0</v>
      </c>
      <c r="T96" s="153">
        <f>+VLOOKUP($L96,Data_Validation!$A:$D,1,0)</f>
        <v>1472</v>
      </c>
      <c r="U96" s="153" t="str">
        <f>+VLOOKUP($L96,Data_Validation!$A:$D,3,0)</f>
        <v>Bilan</v>
      </c>
      <c r="V96" s="153" t="str">
        <f>+VLOOKUP($L96,Data_Validation!$A:$D,4,0)</f>
        <v>Travaux en Cours</v>
      </c>
      <c r="W96" s="153" t="str">
        <f>+VLOOKUP($L96,Data_Validation!$A:$E,5,0)</f>
        <v>$</v>
      </c>
      <c r="X96" s="153">
        <f>+VLOOKUP($L96,Data_Validation!$A:$F,6,0)</f>
        <v>0</v>
      </c>
    </row>
    <row r="97" spans="1:24" ht="15" customHeight="1">
      <c r="A97" s="1236" t="s">
        <v>2754</v>
      </c>
      <c r="B97" s="1237">
        <v>1474</v>
      </c>
      <c r="C97" s="1239">
        <v>-4116.7299999999996</v>
      </c>
      <c r="D97" s="1239">
        <v>21499.599999999999</v>
      </c>
      <c r="E97" s="1239">
        <v>17382.87</v>
      </c>
      <c r="F97" s="1236" t="s">
        <v>290</v>
      </c>
      <c r="G97" s="1236" t="s">
        <v>2581</v>
      </c>
      <c r="H97" s="1243"/>
      <c r="I97" s="1243"/>
      <c r="J97" s="1243"/>
      <c r="K97" s="1243"/>
      <c r="L97" s="150">
        <f t="shared" si="0"/>
        <v>1474</v>
      </c>
      <c r="M97" s="151" t="str">
        <f t="shared" si="1"/>
        <v>INVENTAIRE SOUS-TRAITANTS</v>
      </c>
      <c r="N97" s="152">
        <f>+IF(OR($Q97=Parametres!$G$2,$Q97=Parametres!$G$3),I97,C97)</f>
        <v>-4116.7299999999996</v>
      </c>
      <c r="O97" s="152">
        <f>+IF(OR($Q97=Parametres!$G$2,$Q97=Parametres!$G$3),J97,D97)</f>
        <v>21499.599999999999</v>
      </c>
      <c r="P97" s="152">
        <f>+IF(OR($Q97=Parametres!$G$2,$Q97=Parametres!$G$3),K97,E97)</f>
        <v>17382.87</v>
      </c>
      <c r="Q97" s="151" t="str">
        <f t="shared" si="7"/>
        <v>2-Actifs</v>
      </c>
      <c r="R97" s="150" t="str">
        <f t="shared" si="7"/>
        <v>1472</v>
      </c>
      <c r="S97" s="151">
        <f t="shared" si="7"/>
        <v>0</v>
      </c>
      <c r="T97" s="153">
        <f>+VLOOKUP($L97,Data_Validation!$A:$D,1,0)</f>
        <v>1474</v>
      </c>
      <c r="U97" s="153" t="str">
        <f>+VLOOKUP($L97,Data_Validation!$A:$D,3,0)</f>
        <v>Bilan</v>
      </c>
      <c r="V97" s="153" t="str">
        <f>+VLOOKUP($L97,Data_Validation!$A:$D,4,0)</f>
        <v>Sous-Traitance</v>
      </c>
      <c r="W97" s="153" t="str">
        <f>+VLOOKUP($L97,Data_Validation!$A:$E,5,0)</f>
        <v>$</v>
      </c>
      <c r="X97" s="153">
        <f>+VLOOKUP($L97,Data_Validation!$A:$F,6,0)</f>
        <v>0</v>
      </c>
    </row>
    <row r="98" spans="1:24" ht="15" customHeight="1">
      <c r="A98" s="1236" t="s">
        <v>2133</v>
      </c>
      <c r="B98" s="1237">
        <v>1492</v>
      </c>
      <c r="C98" s="1239">
        <v>21273.59</v>
      </c>
      <c r="D98" s="1239">
        <v>-2800.4</v>
      </c>
      <c r="E98" s="1239">
        <v>18473.189999999999</v>
      </c>
      <c r="F98" s="1236" t="s">
        <v>290</v>
      </c>
      <c r="G98" s="1236" t="s">
        <v>2026</v>
      </c>
      <c r="H98" s="1243"/>
      <c r="I98" s="1243"/>
      <c r="J98" s="1243"/>
      <c r="K98" s="1243"/>
      <c r="L98" s="150">
        <f t="shared" si="0"/>
        <v>1492</v>
      </c>
      <c r="M98" s="151" t="str">
        <f t="shared" si="1"/>
        <v>CARBURANT, HUILE, GRAISSE</v>
      </c>
      <c r="N98" s="152">
        <f>+IF(OR($Q98=Parametres!$G$2,$Q98=Parametres!$G$3),I98,C98)</f>
        <v>21273.59</v>
      </c>
      <c r="O98" s="152">
        <f>+IF(OR($Q98=Parametres!$G$2,$Q98=Parametres!$G$3),J98,D98)</f>
        <v>-2800.4</v>
      </c>
      <c r="P98" s="152">
        <f>+IF(OR($Q98=Parametres!$G$2,$Q98=Parametres!$G$3),K98,E98)</f>
        <v>18473.189999999999</v>
      </c>
      <c r="Q98" s="151" t="str">
        <f t="shared" ref="Q98:S113" si="8">+F98</f>
        <v>2-Actifs</v>
      </c>
      <c r="R98" s="150" t="str">
        <f t="shared" si="8"/>
        <v>1442</v>
      </c>
      <c r="S98" s="151">
        <f t="shared" si="8"/>
        <v>0</v>
      </c>
      <c r="T98" s="153">
        <f>+VLOOKUP($L98,Data_Validation!$A:$D,1,0)</f>
        <v>1492</v>
      </c>
      <c r="U98" s="153" t="str">
        <f>+VLOOKUP($L98,Data_Validation!$A:$D,3,0)</f>
        <v>Bilan</v>
      </c>
      <c r="V98" s="153" t="str">
        <f>+VLOOKUP($L98,Data_Validation!$A:$D,4,0)</f>
        <v>Inventaire Pièces, Pneus, Huile</v>
      </c>
      <c r="W98" s="153" t="str">
        <f>+VLOOKUP($L98,Data_Validation!$A:$E,5,0)</f>
        <v>$</v>
      </c>
      <c r="X98" s="153">
        <f>+VLOOKUP($L98,Data_Validation!$A:$F,6,0)</f>
        <v>0</v>
      </c>
    </row>
    <row r="99" spans="1:24" ht="15.75" customHeight="1">
      <c r="A99" s="1236" t="s">
        <v>2682</v>
      </c>
      <c r="B99" s="1237">
        <v>1498</v>
      </c>
      <c r="C99" s="1239">
        <v>55.02</v>
      </c>
      <c r="D99" s="1239">
        <v>0</v>
      </c>
      <c r="E99" s="1239">
        <v>55.02</v>
      </c>
      <c r="F99" s="1236" t="s">
        <v>290</v>
      </c>
      <c r="G99" s="1236" t="s">
        <v>2683</v>
      </c>
      <c r="H99" s="1243"/>
      <c r="I99" s="1243"/>
      <c r="J99" s="1243"/>
      <c r="K99" s="1243"/>
      <c r="L99" s="150">
        <f t="shared" si="0"/>
        <v>1498</v>
      </c>
      <c r="M99" s="151" t="str">
        <f t="shared" si="1"/>
        <v>AUTRES INVENTAIRES</v>
      </c>
      <c r="N99" s="152">
        <f>+IF(OR($Q99=Parametres!$G$2,$Q99=Parametres!$G$3),I99,C99)</f>
        <v>55.02</v>
      </c>
      <c r="O99" s="152">
        <f>+IF(OR($Q99=Parametres!$G$2,$Q99=Parametres!$G$3),J99,D99)</f>
        <v>0</v>
      </c>
      <c r="P99" s="152">
        <f>+IF(OR($Q99=Parametres!$G$2,$Q99=Parametres!$G$3),K99,E99)</f>
        <v>55.02</v>
      </c>
      <c r="Q99" s="151" t="str">
        <f t="shared" si="8"/>
        <v>2-Actifs</v>
      </c>
      <c r="R99" s="150" t="str">
        <f t="shared" si="8"/>
        <v>1498</v>
      </c>
      <c r="S99" s="151">
        <f t="shared" si="8"/>
        <v>0</v>
      </c>
      <c r="T99" s="153">
        <f>+VLOOKUP($L99,Data_Validation!$A:$D,1,0)</f>
        <v>1498</v>
      </c>
      <c r="U99" s="153" t="str">
        <f>+VLOOKUP($L99,Data_Validation!$A:$D,3,0)</f>
        <v>Bilan</v>
      </c>
      <c r="V99" s="153" t="str">
        <f>+VLOOKUP($L99,Data_Validation!$A:$D,4,0)</f>
        <v>Inventaire Pièces, Pneus, Huile</v>
      </c>
      <c r="W99" s="153" t="str">
        <f>+VLOOKUP($L99,Data_Validation!$A:$E,5,0)</f>
        <v>$</v>
      </c>
      <c r="X99" s="153">
        <f>+VLOOKUP($L99,Data_Validation!$A:$F,6,0)</f>
        <v>0</v>
      </c>
    </row>
    <row r="100" spans="1:24" ht="15" customHeight="1">
      <c r="A100" s="1236" t="s">
        <v>2097</v>
      </c>
      <c r="B100" s="1237">
        <v>1502</v>
      </c>
      <c r="C100" s="1239">
        <v>-2486.7199999999998</v>
      </c>
      <c r="D100" s="1239">
        <v>1923.71</v>
      </c>
      <c r="E100" s="1239">
        <v>-563.01</v>
      </c>
      <c r="F100" s="1236" t="s">
        <v>290</v>
      </c>
      <c r="G100" s="1236" t="s">
        <v>2099</v>
      </c>
      <c r="H100" s="1243"/>
      <c r="I100" s="1243"/>
      <c r="J100" s="1243"/>
      <c r="K100" s="1243"/>
      <c r="L100" s="150">
        <f t="shared" si="0"/>
        <v>1502</v>
      </c>
      <c r="M100" s="151" t="str">
        <f t="shared" si="1"/>
        <v>FPA PUB.VEHICULES NEUFS</v>
      </c>
      <c r="N100" s="152">
        <f>+IF(OR($Q100=Parametres!$G$2,$Q100=Parametres!$G$3),I100,C100)</f>
        <v>-2486.7199999999998</v>
      </c>
      <c r="O100" s="152">
        <f>+IF(OR($Q100=Parametres!$G$2,$Q100=Parametres!$G$3),J100,D100)</f>
        <v>1923.71</v>
      </c>
      <c r="P100" s="152">
        <f>+IF(OR($Q100=Parametres!$G$2,$Q100=Parametres!$G$3),K100,E100)</f>
        <v>-563.01</v>
      </c>
      <c r="Q100" s="151" t="str">
        <f t="shared" si="8"/>
        <v>2-Actifs</v>
      </c>
      <c r="R100" s="150" t="str">
        <f t="shared" si="8"/>
        <v>1500</v>
      </c>
      <c r="S100" s="151">
        <f t="shared" si="8"/>
        <v>0</v>
      </c>
      <c r="T100" s="153">
        <f>+VLOOKUP($L100,Data_Validation!$A:$D,1,0)</f>
        <v>1502</v>
      </c>
      <c r="U100" s="153" t="str">
        <f>+VLOOKUP($L100,Data_Validation!$A:$D,3,0)</f>
        <v>Bilan</v>
      </c>
      <c r="V100" s="153" t="str">
        <f>+VLOOKUP($L100,Data_Validation!$A:$D,4,0)</f>
        <v>Frais Payés d'Avance</v>
      </c>
      <c r="W100" s="153" t="str">
        <f>+VLOOKUP($L100,Data_Validation!$A:$E,5,0)</f>
        <v>$</v>
      </c>
      <c r="X100" s="153">
        <f>+VLOOKUP($L100,Data_Validation!$A:$F,6,0)</f>
        <v>0</v>
      </c>
    </row>
    <row r="101" spans="1:24" ht="15" customHeight="1">
      <c r="A101" s="1236" t="s">
        <v>2123</v>
      </c>
      <c r="B101" s="1237">
        <v>1504</v>
      </c>
      <c r="C101" s="1239">
        <v>-615</v>
      </c>
      <c r="D101" s="1239">
        <v>-570</v>
      </c>
      <c r="E101" s="1239">
        <v>-1185</v>
      </c>
      <c r="F101" s="1236" t="s">
        <v>290</v>
      </c>
      <c r="G101" s="1236" t="s">
        <v>2099</v>
      </c>
      <c r="H101" s="1243"/>
      <c r="I101" s="1243"/>
      <c r="J101" s="1243"/>
      <c r="K101" s="1243"/>
      <c r="L101" s="150">
        <f t="shared" si="0"/>
        <v>1504</v>
      </c>
      <c r="M101" s="151" t="str">
        <f t="shared" si="1"/>
        <v>PUBLICITE VEH USAGES</v>
      </c>
      <c r="N101" s="152">
        <f>+IF(OR($Q101=Parametres!$G$2,$Q101=Parametres!$G$3),I101,C101)</f>
        <v>-615</v>
      </c>
      <c r="O101" s="152">
        <f>+IF(OR($Q101=Parametres!$G$2,$Q101=Parametres!$G$3),J101,D101)</f>
        <v>-570</v>
      </c>
      <c r="P101" s="152">
        <f>+IF(OR($Q101=Parametres!$G$2,$Q101=Parametres!$G$3),K101,E101)</f>
        <v>-1185</v>
      </c>
      <c r="Q101" s="151" t="str">
        <f t="shared" si="8"/>
        <v>2-Actifs</v>
      </c>
      <c r="R101" s="150" t="str">
        <f t="shared" si="8"/>
        <v>1500</v>
      </c>
      <c r="S101" s="151">
        <f t="shared" si="8"/>
        <v>0</v>
      </c>
      <c r="T101" s="153">
        <f>+VLOOKUP($L101,Data_Validation!$A:$D,1,0)</f>
        <v>1504</v>
      </c>
      <c r="U101" s="153" t="str">
        <f>+VLOOKUP($L101,Data_Validation!$A:$D,3,0)</f>
        <v>Bilan</v>
      </c>
      <c r="V101" s="153" t="str">
        <f>+VLOOKUP($L101,Data_Validation!$A:$D,4,0)</f>
        <v>Frais Payés d'Avance</v>
      </c>
      <c r="W101" s="153" t="str">
        <f>+VLOOKUP($L101,Data_Validation!$A:$E,5,0)</f>
        <v>$</v>
      </c>
      <c r="X101" s="153">
        <f>+VLOOKUP($L101,Data_Validation!$A:$F,6,0)</f>
        <v>0</v>
      </c>
    </row>
    <row r="102" spans="1:24" ht="15" customHeight="1">
      <c r="A102" s="1236" t="s">
        <v>2633</v>
      </c>
      <c r="B102" s="1237">
        <v>1510</v>
      </c>
      <c r="C102" s="1239">
        <v>3701.95</v>
      </c>
      <c r="D102" s="1239">
        <v>-280</v>
      </c>
      <c r="E102" s="1239">
        <v>3421.95</v>
      </c>
      <c r="F102" s="1236" t="s">
        <v>290</v>
      </c>
      <c r="G102" s="1236" t="s">
        <v>2099</v>
      </c>
      <c r="H102" s="1243"/>
      <c r="I102" s="1243"/>
      <c r="J102" s="1243"/>
      <c r="K102" s="1243"/>
      <c r="L102" s="150">
        <f t="shared" si="0"/>
        <v>1510</v>
      </c>
      <c r="M102" s="151" t="str">
        <f t="shared" si="1"/>
        <v>DIAMOND KOTE (NANO)</v>
      </c>
      <c r="N102" s="152">
        <f>+IF(OR($Q102=Parametres!$G$2,$Q102=Parametres!$G$3),I102,C102)</f>
        <v>3701.95</v>
      </c>
      <c r="O102" s="569">
        <f>+IF(OR($Q102=Parametres!$G$2,$Q102=Parametres!$G$3),J102,D102)</f>
        <v>-280</v>
      </c>
      <c r="P102" s="152">
        <f>+IF(OR($Q102=Parametres!$G$2,$Q102=Parametres!$G$3),K102,E102)</f>
        <v>3421.95</v>
      </c>
      <c r="Q102" s="151" t="str">
        <f t="shared" si="8"/>
        <v>2-Actifs</v>
      </c>
      <c r="R102" s="150" t="str">
        <f t="shared" si="8"/>
        <v>1500</v>
      </c>
      <c r="S102" s="151">
        <f t="shared" si="8"/>
        <v>0</v>
      </c>
      <c r="T102" s="153">
        <f>+VLOOKUP($L102,Data_Validation!$A:$D,1,0)</f>
        <v>1510</v>
      </c>
      <c r="U102" s="153" t="str">
        <f>+VLOOKUP($L102,Data_Validation!$A:$D,3,0)</f>
        <v>Bilan</v>
      </c>
      <c r="V102" s="153" t="str">
        <f>+VLOOKUP($L102,Data_Validation!$A:$D,4,0)</f>
        <v>Frais Payés d'Avance</v>
      </c>
      <c r="W102" s="153" t="str">
        <f>+VLOOKUP($L102,Data_Validation!$A:$E,5,0)</f>
        <v>$</v>
      </c>
      <c r="X102" s="153">
        <f>+VLOOKUP($L102,Data_Validation!$A:$F,6,0)</f>
        <v>0</v>
      </c>
    </row>
    <row r="103" spans="1:24" ht="15.75" customHeight="1">
      <c r="A103" s="1236" t="s">
        <v>2145</v>
      </c>
      <c r="B103" s="1237">
        <v>1520</v>
      </c>
      <c r="C103" s="1239">
        <v>9684.59</v>
      </c>
      <c r="D103" s="1239">
        <v>329.19</v>
      </c>
      <c r="E103" s="1239">
        <v>10013.780000000001</v>
      </c>
      <c r="F103" s="1236" t="s">
        <v>290</v>
      </c>
      <c r="G103" s="1236" t="s">
        <v>2099</v>
      </c>
      <c r="H103" s="1243"/>
      <c r="I103" s="1244"/>
      <c r="J103" s="1244"/>
      <c r="K103" s="1244"/>
      <c r="L103" s="150">
        <f t="shared" si="0"/>
        <v>1520</v>
      </c>
      <c r="M103" s="151" t="str">
        <f t="shared" si="1"/>
        <v>FPA IMMATRICULATION</v>
      </c>
      <c r="N103" s="152">
        <f>+IF(OR($Q103=Parametres!$G$2,$Q103=Parametres!$G$3),I103,C103)</f>
        <v>9684.59</v>
      </c>
      <c r="O103" s="152">
        <f>+IF(OR($Q103=Parametres!$G$2,$Q103=Parametres!$G$3),J103,D103)</f>
        <v>329.19</v>
      </c>
      <c r="P103" s="152">
        <f>+IF(OR($Q103=Parametres!$G$2,$Q103=Parametres!$G$3),K103,E103)</f>
        <v>10013.780000000001</v>
      </c>
      <c r="Q103" s="151" t="str">
        <f t="shared" si="8"/>
        <v>2-Actifs</v>
      </c>
      <c r="R103" s="150" t="str">
        <f t="shared" si="8"/>
        <v>1500</v>
      </c>
      <c r="S103" s="151">
        <f t="shared" si="8"/>
        <v>0</v>
      </c>
      <c r="T103" s="153">
        <f>+VLOOKUP($L103,Data_Validation!$A:$D,1,0)</f>
        <v>1520</v>
      </c>
      <c r="U103" s="153" t="str">
        <f>+VLOOKUP($L103,Data_Validation!$A:$D,3,0)</f>
        <v>Bilan</v>
      </c>
      <c r="V103" s="153" t="str">
        <f>+VLOOKUP($L103,Data_Validation!$A:$D,4,0)</f>
        <v>Frais Payés d'Avance</v>
      </c>
      <c r="W103" s="153" t="str">
        <f>+VLOOKUP($L103,Data_Validation!$A:$E,5,0)</f>
        <v>$</v>
      </c>
      <c r="X103" s="153">
        <f>+VLOOKUP($L103,Data_Validation!$A:$F,6,0)</f>
        <v>0</v>
      </c>
    </row>
    <row r="104" spans="1:24" ht="15" customHeight="1">
      <c r="A104" s="1236" t="s">
        <v>2174</v>
      </c>
      <c r="B104" s="1237">
        <v>1532</v>
      </c>
      <c r="C104" s="1239">
        <v>1769.3</v>
      </c>
      <c r="D104" s="1239">
        <v>0</v>
      </c>
      <c r="E104" s="1239">
        <v>1769.3</v>
      </c>
      <c r="F104" s="1236" t="s">
        <v>290</v>
      </c>
      <c r="G104" s="1236" t="s">
        <v>2099</v>
      </c>
      <c r="H104" s="1243"/>
      <c r="I104" s="1244"/>
      <c r="J104" s="1244"/>
      <c r="K104" s="1244"/>
      <c r="L104" s="150">
        <f t="shared" si="0"/>
        <v>1532</v>
      </c>
      <c r="M104" s="151" t="str">
        <f t="shared" si="1"/>
        <v>FPA C.C.A.M.Q.</v>
      </c>
      <c r="N104" s="152">
        <f>+IF(OR($Q104=Parametres!$G$2,$Q104=Parametres!$G$3),I104,C104)</f>
        <v>1769.3</v>
      </c>
      <c r="O104" s="152">
        <f>+IF(OR($Q104=Parametres!$G$2,$Q104=Parametres!$G$3),J104,D104)</f>
        <v>0</v>
      </c>
      <c r="P104" s="152">
        <f>+IF(OR($Q104=Parametres!$G$2,$Q104=Parametres!$G$3),K104,E104)</f>
        <v>1769.3</v>
      </c>
      <c r="Q104" s="151" t="str">
        <f t="shared" si="8"/>
        <v>2-Actifs</v>
      </c>
      <c r="R104" s="150" t="str">
        <f t="shared" si="8"/>
        <v>1500</v>
      </c>
      <c r="S104" s="151">
        <f t="shared" si="8"/>
        <v>0</v>
      </c>
      <c r="T104" s="153">
        <f>+VLOOKUP($L104,Data_Validation!$A:$D,1,0)</f>
        <v>1532</v>
      </c>
      <c r="U104" s="153" t="str">
        <f>+VLOOKUP($L104,Data_Validation!$A:$D,3,0)</f>
        <v>Bilan</v>
      </c>
      <c r="V104" s="153" t="str">
        <f>+VLOOKUP($L104,Data_Validation!$A:$D,4,0)</f>
        <v>Frais Payés d'Avance</v>
      </c>
      <c r="W104" s="153" t="str">
        <f>+VLOOKUP($L104,Data_Validation!$A:$E,5,0)</f>
        <v>$</v>
      </c>
      <c r="X104" s="153">
        <f>+VLOOKUP($L104,Data_Validation!$A:$F,6,0)</f>
        <v>0</v>
      </c>
    </row>
    <row r="105" spans="1:24" ht="15" customHeight="1">
      <c r="A105" s="1236" t="s">
        <v>2192</v>
      </c>
      <c r="B105" s="1237">
        <v>1534</v>
      </c>
      <c r="C105" s="1239">
        <v>-65</v>
      </c>
      <c r="D105" s="1239">
        <v>-65</v>
      </c>
      <c r="E105" s="1239">
        <v>-130</v>
      </c>
      <c r="F105" s="1236" t="s">
        <v>290</v>
      </c>
      <c r="G105" s="1236" t="s">
        <v>2099</v>
      </c>
      <c r="H105" s="1243"/>
      <c r="I105" s="1244"/>
      <c r="J105" s="1244"/>
      <c r="K105" s="1244"/>
      <c r="L105" s="150">
        <f t="shared" si="0"/>
        <v>1534</v>
      </c>
      <c r="M105" s="151" t="str">
        <f t="shared" si="1"/>
        <v>FPA FOURNITURES LAVAGE</v>
      </c>
      <c r="N105" s="152">
        <f>+IF(OR($Q105=Parametres!$G$2,$Q105=Parametres!$G$3),I105,C105)</f>
        <v>-65</v>
      </c>
      <c r="O105" s="152">
        <f>+IF(OR($Q105=Parametres!$G$2,$Q105=Parametres!$G$3),J105,D105)</f>
        <v>-65</v>
      </c>
      <c r="P105" s="152">
        <f>+IF(OR($Q105=Parametres!$G$2,$Q105=Parametres!$G$3),K105,E105)</f>
        <v>-130</v>
      </c>
      <c r="Q105" s="151" t="str">
        <f t="shared" si="8"/>
        <v>2-Actifs</v>
      </c>
      <c r="R105" s="150" t="str">
        <f t="shared" si="8"/>
        <v>1500</v>
      </c>
      <c r="S105" s="151">
        <f t="shared" si="8"/>
        <v>0</v>
      </c>
      <c r="T105" s="153">
        <f>+VLOOKUP($L105,Data_Validation!$A:$D,1,0)</f>
        <v>1534</v>
      </c>
      <c r="U105" s="153" t="str">
        <f>+VLOOKUP($L105,Data_Validation!$A:$D,3,0)</f>
        <v>Bilan</v>
      </c>
      <c r="V105" s="153" t="str">
        <f>+VLOOKUP($L105,Data_Validation!$A:$D,4,0)</f>
        <v>Frais Payés d'Avance</v>
      </c>
      <c r="W105" s="153" t="str">
        <f>+VLOOKUP($L105,Data_Validation!$A:$E,5,0)</f>
        <v>$</v>
      </c>
      <c r="X105" s="153">
        <f>+VLOOKUP($L105,Data_Validation!$A:$F,6,0)</f>
        <v>0</v>
      </c>
    </row>
    <row r="106" spans="1:24" ht="15" customHeight="1">
      <c r="A106" s="1236" t="s">
        <v>2673</v>
      </c>
      <c r="B106" s="1237">
        <v>1538</v>
      </c>
      <c r="C106" s="1239">
        <v>-431.25</v>
      </c>
      <c r="D106" s="1239">
        <v>0</v>
      </c>
      <c r="E106" s="1239">
        <v>-431.25</v>
      </c>
      <c r="F106" s="1236" t="s">
        <v>290</v>
      </c>
      <c r="G106" s="1236" t="s">
        <v>2099</v>
      </c>
      <c r="H106" s="1243"/>
      <c r="I106" s="1244"/>
      <c r="J106" s="1244"/>
      <c r="K106" s="1244"/>
      <c r="L106" s="150">
        <f t="shared" si="0"/>
        <v>1538</v>
      </c>
      <c r="M106" s="151" t="str">
        <f t="shared" si="1"/>
        <v>FPA FORMATION</v>
      </c>
      <c r="N106" s="152">
        <f>+IF(OR($Q106=Parametres!$G$2,$Q106=Parametres!$G$3),I106,C106)</f>
        <v>-431.25</v>
      </c>
      <c r="O106" s="569">
        <f>+IF(OR($Q106=Parametres!$G$2,$Q106=Parametres!$G$3),J106,D106)</f>
        <v>0</v>
      </c>
      <c r="P106" s="152">
        <f>+IF(OR($Q106=Parametres!$G$2,$Q106=Parametres!$G$3),K106,E106)</f>
        <v>-431.25</v>
      </c>
      <c r="Q106" s="151" t="str">
        <f t="shared" si="8"/>
        <v>2-Actifs</v>
      </c>
      <c r="R106" s="150" t="str">
        <f t="shared" si="8"/>
        <v>1500</v>
      </c>
      <c r="S106" s="151">
        <f t="shared" si="8"/>
        <v>0</v>
      </c>
      <c r="T106" s="153">
        <f>+VLOOKUP($L106,Data_Validation!$A:$D,1,0)</f>
        <v>1538</v>
      </c>
      <c r="U106" s="153" t="str">
        <f>+VLOOKUP($L106,Data_Validation!$A:$D,3,0)</f>
        <v>Bilan</v>
      </c>
      <c r="V106" s="153" t="str">
        <f>+VLOOKUP($L106,Data_Validation!$A:$D,4,0)</f>
        <v>Frais Payés d'Avance</v>
      </c>
      <c r="W106" s="153" t="str">
        <f>+VLOOKUP($L106,Data_Validation!$A:$E,5,0)</f>
        <v>$</v>
      </c>
      <c r="X106" s="153">
        <f>+VLOOKUP($L106,Data_Validation!$A:$F,6,0)</f>
        <v>0</v>
      </c>
    </row>
    <row r="107" spans="1:24" ht="15" customHeight="1">
      <c r="A107" s="1236" t="s">
        <v>2776</v>
      </c>
      <c r="B107" s="1237">
        <v>1540</v>
      </c>
      <c r="C107" s="1239">
        <v>1264.26</v>
      </c>
      <c r="D107" s="1239">
        <v>-1264.26</v>
      </c>
      <c r="E107" s="1239">
        <v>0</v>
      </c>
      <c r="F107" s="1236" t="s">
        <v>290</v>
      </c>
      <c r="G107" s="1236" t="s">
        <v>2099</v>
      </c>
      <c r="H107" s="1243"/>
      <c r="I107" s="1244"/>
      <c r="J107" s="1244"/>
      <c r="K107" s="1244"/>
      <c r="L107" s="150">
        <f t="shared" si="0"/>
        <v>1540</v>
      </c>
      <c r="M107" s="151" t="str">
        <f t="shared" si="1"/>
        <v>FPA CONTRATS DE SERVICES</v>
      </c>
      <c r="N107" s="152">
        <f>+IF(OR($Q107=Parametres!$G$2,$Q107=Parametres!$G$3),I107,C107)</f>
        <v>1264.26</v>
      </c>
      <c r="O107" s="152">
        <f>+IF(OR($Q107=Parametres!$G$2,$Q107=Parametres!$G$3),J107,D107)</f>
        <v>-1264.26</v>
      </c>
      <c r="P107" s="152">
        <f>+IF(OR($Q107=Parametres!$G$2,$Q107=Parametres!$G$3),K107,E107)</f>
        <v>0</v>
      </c>
      <c r="Q107" s="151" t="str">
        <f t="shared" si="8"/>
        <v>2-Actifs</v>
      </c>
      <c r="R107" s="150" t="str">
        <f t="shared" si="8"/>
        <v>1500</v>
      </c>
      <c r="S107" s="151">
        <f t="shared" si="8"/>
        <v>0</v>
      </c>
      <c r="T107" s="153">
        <f>+VLOOKUP($L107,Data_Validation!$A:$D,1,0)</f>
        <v>1540</v>
      </c>
      <c r="U107" s="153" t="str">
        <f>+VLOOKUP($L107,Data_Validation!$A:$D,3,0)</f>
        <v>Bilan</v>
      </c>
      <c r="V107" s="153" t="str">
        <f>+VLOOKUP($L107,Data_Validation!$A:$D,4,0)</f>
        <v>Frais Payés d'Avance</v>
      </c>
      <c r="W107" s="153" t="str">
        <f>+VLOOKUP($L107,Data_Validation!$A:$E,5,0)</f>
        <v>$</v>
      </c>
      <c r="X107" s="153">
        <f>+VLOOKUP($L107,Data_Validation!$A:$F,6,0)</f>
        <v>0</v>
      </c>
    </row>
    <row r="108" spans="1:24" ht="15" customHeight="1">
      <c r="A108" s="1236" t="s">
        <v>2194</v>
      </c>
      <c r="B108" s="1237">
        <v>1544</v>
      </c>
      <c r="C108" s="1239">
        <v>-3525.13</v>
      </c>
      <c r="D108" s="1239">
        <v>0</v>
      </c>
      <c r="E108" s="1239">
        <v>-3525.13</v>
      </c>
      <c r="F108" s="1236" t="s">
        <v>290</v>
      </c>
      <c r="G108" s="1236" t="s">
        <v>2099</v>
      </c>
      <c r="H108" s="1243"/>
      <c r="I108" s="1244"/>
      <c r="J108" s="1244"/>
      <c r="K108" s="1244"/>
      <c r="L108" s="150">
        <f t="shared" si="0"/>
        <v>1544</v>
      </c>
      <c r="M108" s="151" t="str">
        <f t="shared" si="1"/>
        <v>FPA GAZ METROPOLITAIN</v>
      </c>
      <c r="N108" s="152">
        <f>+IF(OR($Q108=Parametres!$G$2,$Q108=Parametres!$G$3),I108,C108)</f>
        <v>-3525.13</v>
      </c>
      <c r="O108" s="152">
        <f>+IF(OR($Q108=Parametres!$G$2,$Q108=Parametres!$G$3),J108,D108)</f>
        <v>0</v>
      </c>
      <c r="P108" s="152">
        <f>+IF(OR($Q108=Parametres!$G$2,$Q108=Parametres!$G$3),K108,E108)</f>
        <v>-3525.13</v>
      </c>
      <c r="Q108" s="151" t="str">
        <f t="shared" si="8"/>
        <v>2-Actifs</v>
      </c>
      <c r="R108" s="150" t="str">
        <f t="shared" si="8"/>
        <v>1500</v>
      </c>
      <c r="S108" s="151">
        <f t="shared" si="8"/>
        <v>0</v>
      </c>
      <c r="T108" s="153">
        <f>+VLOOKUP($L108,Data_Validation!$A:$D,1,0)</f>
        <v>1544</v>
      </c>
      <c r="U108" s="153" t="str">
        <f>+VLOOKUP($L108,Data_Validation!$A:$D,3,0)</f>
        <v>Bilan</v>
      </c>
      <c r="V108" s="153" t="str">
        <f>+VLOOKUP($L108,Data_Validation!$A:$D,4,0)</f>
        <v>Autres Courus</v>
      </c>
      <c r="W108" s="153" t="str">
        <f>+VLOOKUP($L108,Data_Validation!$A:$E,5,0)</f>
        <v>$</v>
      </c>
      <c r="X108" s="153">
        <f>+VLOOKUP($L108,Data_Validation!$A:$F,6,0)</f>
        <v>0</v>
      </c>
    </row>
    <row r="109" spans="1:24" ht="15.75" customHeight="1">
      <c r="A109" s="1236" t="s">
        <v>2115</v>
      </c>
      <c r="B109" s="1237">
        <v>1552</v>
      </c>
      <c r="C109" s="1239">
        <v>0</v>
      </c>
      <c r="D109" s="1239">
        <v>21851.61</v>
      </c>
      <c r="E109" s="1239">
        <v>21851.61</v>
      </c>
      <c r="F109" s="1236" t="s">
        <v>290</v>
      </c>
      <c r="G109" s="1236" t="s">
        <v>2099</v>
      </c>
      <c r="H109" s="1243"/>
      <c r="I109" s="1244"/>
      <c r="J109" s="1244"/>
      <c r="K109" s="1244"/>
      <c r="L109" s="150">
        <f t="shared" si="0"/>
        <v>1552</v>
      </c>
      <c r="M109" s="151" t="str">
        <f t="shared" si="1"/>
        <v>FPA C.S.S.T.</v>
      </c>
      <c r="N109" s="152">
        <f>+IF(OR($Q109=Parametres!$G$2,$Q109=Parametres!$G$3),I109,C109)</f>
        <v>0</v>
      </c>
      <c r="O109" s="569">
        <f>+IF(OR($Q109=Parametres!$G$2,$Q109=Parametres!$G$3),J109,D109)</f>
        <v>21851.61</v>
      </c>
      <c r="P109" s="152">
        <f>+IF(OR($Q109=Parametres!$G$2,$Q109=Parametres!$G$3),K109,E109)</f>
        <v>21851.61</v>
      </c>
      <c r="Q109" s="151" t="str">
        <f t="shared" si="8"/>
        <v>2-Actifs</v>
      </c>
      <c r="R109" s="150" t="str">
        <f t="shared" si="8"/>
        <v>1500</v>
      </c>
      <c r="S109" s="151">
        <f t="shared" si="8"/>
        <v>0</v>
      </c>
      <c r="T109" s="153">
        <f>+VLOOKUP($L109,Data_Validation!$A:$D,1,0)</f>
        <v>1552</v>
      </c>
      <c r="U109" s="153" t="str">
        <f>+VLOOKUP($L109,Data_Validation!$A:$D,3,0)</f>
        <v>Bilan</v>
      </c>
      <c r="V109" s="153" t="str">
        <f>+VLOOKUP($L109,Data_Validation!$A:$D,4,0)</f>
        <v>Frais Payés d'Avance</v>
      </c>
      <c r="W109" s="153" t="str">
        <f>+VLOOKUP($L109,Data_Validation!$A:$E,5,0)</f>
        <v>$</v>
      </c>
      <c r="X109" s="153">
        <f>+VLOOKUP($L109,Data_Validation!$A:$F,6,0)</f>
        <v>0</v>
      </c>
    </row>
    <row r="110" spans="1:24" ht="15" customHeight="1">
      <c r="A110" s="1236" t="s">
        <v>2109</v>
      </c>
      <c r="B110" s="1237">
        <v>1582</v>
      </c>
      <c r="C110" s="1239">
        <v>13950.33</v>
      </c>
      <c r="D110" s="1239">
        <v>-7699.3</v>
      </c>
      <c r="E110" s="1239">
        <v>6251.03</v>
      </c>
      <c r="F110" s="1236" t="s">
        <v>290</v>
      </c>
      <c r="G110" s="1236" t="s">
        <v>2099</v>
      </c>
      <c r="H110" s="1243"/>
      <c r="I110" s="1244"/>
      <c r="J110" s="1244"/>
      <c r="K110" s="1244"/>
      <c r="L110" s="150">
        <f t="shared" si="0"/>
        <v>1582</v>
      </c>
      <c r="M110" s="151" t="str">
        <f t="shared" si="1"/>
        <v>FPA TAXES MUNICIPALES</v>
      </c>
      <c r="N110" s="152">
        <f>+IF(OR($Q110=Parametres!$G$2,$Q110=Parametres!$G$3),I110,C110)</f>
        <v>13950.33</v>
      </c>
      <c r="O110" s="152">
        <f>+IF(OR($Q110=Parametres!$G$2,$Q110=Parametres!$G$3),J110,D110)</f>
        <v>-7699.3</v>
      </c>
      <c r="P110" s="152">
        <f>+IF(OR($Q110=Parametres!$G$2,$Q110=Parametres!$G$3),K110,E110)</f>
        <v>6251.03</v>
      </c>
      <c r="Q110" s="151" t="str">
        <f t="shared" si="8"/>
        <v>2-Actifs</v>
      </c>
      <c r="R110" s="150" t="str">
        <f t="shared" si="8"/>
        <v>1500</v>
      </c>
      <c r="S110" s="151">
        <f t="shared" si="8"/>
        <v>0</v>
      </c>
      <c r="T110" s="153">
        <f>+VLOOKUP($L110,Data_Validation!$A:$D,1,0)</f>
        <v>1582</v>
      </c>
      <c r="U110" s="153" t="str">
        <f>+VLOOKUP($L110,Data_Validation!$A:$D,3,0)</f>
        <v>Bilan</v>
      </c>
      <c r="V110" s="153" t="str">
        <f>+VLOOKUP($L110,Data_Validation!$A:$D,4,0)</f>
        <v>Frais Payés d'Avance</v>
      </c>
      <c r="W110" s="153" t="str">
        <f>+VLOOKUP($L110,Data_Validation!$A:$E,5,0)</f>
        <v>$</v>
      </c>
      <c r="X110" s="153">
        <f>+VLOOKUP($L110,Data_Validation!$A:$F,6,0)</f>
        <v>0</v>
      </c>
    </row>
    <row r="111" spans="1:24" ht="15" customHeight="1">
      <c r="A111" s="1236" t="s">
        <v>2170</v>
      </c>
      <c r="B111" s="1237">
        <v>1586</v>
      </c>
      <c r="C111" s="1239">
        <v>757.2</v>
      </c>
      <c r="D111" s="1239">
        <v>-310.7</v>
      </c>
      <c r="E111" s="1239">
        <v>446.5</v>
      </c>
      <c r="F111" s="1236" t="s">
        <v>290</v>
      </c>
      <c r="G111" s="1236" t="s">
        <v>2099</v>
      </c>
      <c r="H111" s="1243"/>
      <c r="I111" s="1244"/>
      <c r="J111" s="1244"/>
      <c r="K111" s="1244"/>
      <c r="L111" s="150">
        <f t="shared" si="0"/>
        <v>1586</v>
      </c>
      <c r="M111" s="151" t="str">
        <f t="shared" si="1"/>
        <v>FPA TAXES SCOLAIRES</v>
      </c>
      <c r="N111" s="152">
        <f>+IF(OR($Q111=Parametres!$G$2,$Q111=Parametres!$G$3),I111,C111)</f>
        <v>757.2</v>
      </c>
      <c r="O111" s="152">
        <f>+IF(OR($Q111=Parametres!$G$2,$Q111=Parametres!$G$3),J111,D111)</f>
        <v>-310.7</v>
      </c>
      <c r="P111" s="152">
        <f>+IF(OR($Q111=Parametres!$G$2,$Q111=Parametres!$G$3),K111,E111)</f>
        <v>446.5</v>
      </c>
      <c r="Q111" s="151" t="str">
        <f t="shared" si="8"/>
        <v>2-Actifs</v>
      </c>
      <c r="R111" s="150" t="str">
        <f t="shared" si="8"/>
        <v>1500</v>
      </c>
      <c r="S111" s="151">
        <f t="shared" si="8"/>
        <v>0</v>
      </c>
      <c r="T111" s="153">
        <f>+VLOOKUP($L111,Data_Validation!$A:$D,1,0)</f>
        <v>1586</v>
      </c>
      <c r="U111" s="153" t="str">
        <f>+VLOOKUP($L111,Data_Validation!$A:$D,3,0)</f>
        <v>Bilan</v>
      </c>
      <c r="V111" s="153" t="str">
        <f>+VLOOKUP($L111,Data_Validation!$A:$D,4,0)</f>
        <v>Frais Payés d'Avance</v>
      </c>
      <c r="W111" s="153" t="str">
        <f>+VLOOKUP($L111,Data_Validation!$A:$E,5,0)</f>
        <v>$</v>
      </c>
      <c r="X111" s="153">
        <f>+VLOOKUP($L111,Data_Validation!$A:$F,6,0)</f>
        <v>0</v>
      </c>
    </row>
    <row r="112" spans="1:24" ht="15" customHeight="1">
      <c r="A112" s="1236" t="s">
        <v>2794</v>
      </c>
      <c r="B112" s="1237">
        <v>1592</v>
      </c>
      <c r="C112" s="1239">
        <v>141204.44</v>
      </c>
      <c r="D112" s="1239">
        <v>-54042.46</v>
      </c>
      <c r="E112" s="1239">
        <v>87161.98</v>
      </c>
      <c r="F112" s="1236" t="s">
        <v>290</v>
      </c>
      <c r="G112" s="1236" t="s">
        <v>2099</v>
      </c>
      <c r="H112" s="1243"/>
      <c r="I112" s="1244"/>
      <c r="J112" s="1244"/>
      <c r="K112" s="1244"/>
      <c r="L112" s="150">
        <f t="shared" si="0"/>
        <v>1592</v>
      </c>
      <c r="M112" s="151" t="str">
        <f t="shared" si="1"/>
        <v>FPA AUTRES</v>
      </c>
      <c r="N112" s="152">
        <f>+IF(OR($Q112=Parametres!$G$2,$Q112=Parametres!$G$3),I112,C112)</f>
        <v>141204.44</v>
      </c>
      <c r="O112" s="152">
        <f>+IF(OR($Q112=Parametres!$G$2,$Q112=Parametres!$G$3),J112,D112)</f>
        <v>-54042.46</v>
      </c>
      <c r="P112" s="152">
        <f>+IF(OR($Q112=Parametres!$G$2,$Q112=Parametres!$G$3),K112,E112)</f>
        <v>87161.98</v>
      </c>
      <c r="Q112" s="151" t="str">
        <f t="shared" si="8"/>
        <v>2-Actifs</v>
      </c>
      <c r="R112" s="150" t="str">
        <f t="shared" si="8"/>
        <v>1500</v>
      </c>
      <c r="S112" s="151">
        <f t="shared" si="8"/>
        <v>0</v>
      </c>
      <c r="T112" s="153">
        <f>+VLOOKUP($L112,Data_Validation!$A:$D,1,0)</f>
        <v>1592</v>
      </c>
      <c r="U112" s="153" t="str">
        <f>+VLOOKUP($L112,Data_Validation!$A:$D,3,0)</f>
        <v>Bilan</v>
      </c>
      <c r="V112" s="153" t="str">
        <f>+VLOOKUP($L112,Data_Validation!$A:$D,4,0)</f>
        <v>Frais Payés d'Avance</v>
      </c>
      <c r="W112" s="153" t="str">
        <f>+VLOOKUP($L112,Data_Validation!$A:$E,5,0)</f>
        <v>$</v>
      </c>
      <c r="X112" s="153">
        <f>+VLOOKUP($L112,Data_Validation!$A:$F,6,0)</f>
        <v>0</v>
      </c>
    </row>
    <row r="113" spans="1:24" ht="15.75" customHeight="1">
      <c r="A113" s="1236" t="s">
        <v>475</v>
      </c>
      <c r="B113" s="1237">
        <v>1593</v>
      </c>
      <c r="C113" s="1239">
        <v>43.59</v>
      </c>
      <c r="D113" s="1239">
        <v>0</v>
      </c>
      <c r="E113" s="1239">
        <v>43.59</v>
      </c>
      <c r="F113" s="1236" t="s">
        <v>290</v>
      </c>
      <c r="G113" s="1236" t="s">
        <v>2099</v>
      </c>
      <c r="H113" s="1243"/>
      <c r="I113" s="1244"/>
      <c r="J113" s="1244"/>
      <c r="K113" s="1244"/>
      <c r="L113" s="150">
        <f t="shared" si="0"/>
        <v>1593</v>
      </c>
      <c r="M113" s="151" t="str">
        <f t="shared" si="1"/>
        <v>FRAIS REPAS ET REPRESENTATION 50%</v>
      </c>
      <c r="N113" s="152">
        <f>+IF(OR($Q113=Parametres!$G$2,$Q113=Parametres!$G$3),I113,C113)</f>
        <v>43.59</v>
      </c>
      <c r="O113" s="569">
        <f>+IF(OR($Q113=Parametres!$G$2,$Q113=Parametres!$G$3),J113,D113)</f>
        <v>0</v>
      </c>
      <c r="P113" s="152">
        <f>+IF(OR($Q113=Parametres!$G$2,$Q113=Parametres!$G$3),K113,E113)</f>
        <v>43.59</v>
      </c>
      <c r="Q113" s="151" t="str">
        <f t="shared" si="8"/>
        <v>2-Actifs</v>
      </c>
      <c r="R113" s="150" t="str">
        <f t="shared" si="8"/>
        <v>1500</v>
      </c>
      <c r="S113" s="151">
        <f t="shared" si="8"/>
        <v>0</v>
      </c>
      <c r="T113" s="153">
        <f>+VLOOKUP($L113,Data_Validation!$A:$D,1,0)</f>
        <v>1593</v>
      </c>
      <c r="U113" s="153" t="str">
        <f>+VLOOKUP($L113,Data_Validation!$A:$D,3,0)</f>
        <v>Bilan</v>
      </c>
      <c r="V113" s="153" t="str">
        <f>+VLOOKUP($L113,Data_Validation!$A:$D,4,0)</f>
        <v>Frais Payés d'Avance</v>
      </c>
      <c r="W113" s="153" t="str">
        <f>+VLOOKUP($L113,Data_Validation!$A:$E,5,0)</f>
        <v>$</v>
      </c>
      <c r="X113" s="153">
        <f>+VLOOKUP($L113,Data_Validation!$A:$F,6,0)</f>
        <v>0</v>
      </c>
    </row>
    <row r="114" spans="1:24" ht="15" customHeight="1">
      <c r="A114" s="1236" t="s">
        <v>2391</v>
      </c>
      <c r="B114" s="1237">
        <v>1732</v>
      </c>
      <c r="C114" s="1239">
        <v>96990.28</v>
      </c>
      <c r="D114" s="1239">
        <v>0</v>
      </c>
      <c r="E114" s="1239">
        <v>96990.28</v>
      </c>
      <c r="F114" s="1236" t="s">
        <v>290</v>
      </c>
      <c r="G114" s="1236" t="s">
        <v>2121</v>
      </c>
      <c r="H114" s="1243"/>
      <c r="I114" s="1244"/>
      <c r="J114" s="1244"/>
      <c r="K114" s="1244"/>
      <c r="L114" s="150">
        <f t="shared" si="0"/>
        <v>1732</v>
      </c>
      <c r="M114" s="573" t="str">
        <f t="shared" si="1"/>
        <v>AMELIOR. LOCATIVES</v>
      </c>
      <c r="N114" s="152">
        <f>+IF(OR($Q114=Parametres!$G$2,$Q114=Parametres!$G$3),I114,C114)</f>
        <v>96990.28</v>
      </c>
      <c r="O114" s="574">
        <f>+IF(OR($Q114=Parametres!$G$2,$Q114=Parametres!$G$3),J114,D114)</f>
        <v>0</v>
      </c>
      <c r="P114" s="575">
        <f>+IF(OR($Q114=Parametres!$G$2,$Q114=Parametres!$G$3),K114,E114)</f>
        <v>96990.28</v>
      </c>
      <c r="Q114" s="151" t="str">
        <f t="shared" ref="Q114:S129" si="9">+F114</f>
        <v>2-Actifs</v>
      </c>
      <c r="R114" s="150" t="str">
        <f t="shared" si="9"/>
        <v>1700</v>
      </c>
      <c r="S114" s="151">
        <f t="shared" si="9"/>
        <v>0</v>
      </c>
      <c r="T114" s="153">
        <f>+VLOOKUP($L114,Data_Validation!$A:$D,1,0)</f>
        <v>1732</v>
      </c>
      <c r="U114" s="153" t="str">
        <f>+VLOOKUP($L114,Data_Validation!$A:$D,3,0)</f>
        <v>Bilan</v>
      </c>
      <c r="V114" s="153" t="str">
        <f>+VLOOKUP($L114,Data_Validation!$A:$D,4,0)</f>
        <v>Améliorations Locatives</v>
      </c>
      <c r="W114" s="153" t="str">
        <f>+VLOOKUP($L114,Data_Validation!$A:$E,5,0)</f>
        <v>$</v>
      </c>
      <c r="X114" s="153">
        <f>+VLOOKUP($L114,Data_Validation!$A:$F,6,0)</f>
        <v>0</v>
      </c>
    </row>
    <row r="115" spans="1:24" ht="15" customHeight="1">
      <c r="A115" s="1236" t="s">
        <v>2149</v>
      </c>
      <c r="B115" s="1237">
        <v>1733</v>
      </c>
      <c r="C115" s="1239">
        <v>-101210.97</v>
      </c>
      <c r="D115" s="1239">
        <v>5795</v>
      </c>
      <c r="E115" s="1239">
        <v>-95415.97</v>
      </c>
      <c r="F115" s="1236" t="s">
        <v>290</v>
      </c>
      <c r="G115" s="1236" t="s">
        <v>2121</v>
      </c>
      <c r="H115" s="1243"/>
      <c r="I115" s="1244"/>
      <c r="J115" s="1244"/>
      <c r="K115" s="1244"/>
      <c r="L115" s="150">
        <f t="shared" si="0"/>
        <v>1733</v>
      </c>
      <c r="M115" s="151" t="str">
        <f t="shared" si="1"/>
        <v>AMORT. CUM. AMEL. LOCAT.</v>
      </c>
      <c r="N115" s="152">
        <f>+IF(OR($Q115=Parametres!$G$2,$Q115=Parametres!$G$3),I115,C115)</f>
        <v>-101210.97</v>
      </c>
      <c r="O115" s="152">
        <f>+IF(OR($Q115=Parametres!$G$2,$Q115=Parametres!$G$3),J115,D115)</f>
        <v>5795</v>
      </c>
      <c r="P115" s="152">
        <f>+IF(OR($Q115=Parametres!$G$2,$Q115=Parametres!$G$3),K115,E115)</f>
        <v>-95415.97</v>
      </c>
      <c r="Q115" s="151" t="str">
        <f t="shared" si="9"/>
        <v>2-Actifs</v>
      </c>
      <c r="R115" s="150" t="str">
        <f t="shared" si="9"/>
        <v>1700</v>
      </c>
      <c r="S115" s="151">
        <f t="shared" si="9"/>
        <v>0</v>
      </c>
      <c r="T115" s="153">
        <f>+VLOOKUP($L115,Data_Validation!$A:$D,1,0)</f>
        <v>1733</v>
      </c>
      <c r="U115" s="153" t="str">
        <f>+VLOOKUP($L115,Data_Validation!$A:$D,3,0)</f>
        <v>Bilan</v>
      </c>
      <c r="V115" s="153" t="str">
        <f>+VLOOKUP($L115,Data_Validation!$A:$D,4,0)</f>
        <v>Améliorations Locatives</v>
      </c>
      <c r="W115" s="153" t="str">
        <f>+VLOOKUP($L115,Data_Validation!$A:$E,5,0)</f>
        <v>$</v>
      </c>
      <c r="X115" s="153">
        <f>+VLOOKUP($L115,Data_Validation!$A:$F,6,0)</f>
        <v>0</v>
      </c>
    </row>
    <row r="116" spans="1:24" ht="15" customHeight="1">
      <c r="A116" s="1236" t="s">
        <v>2393</v>
      </c>
      <c r="B116" s="1237">
        <v>1742</v>
      </c>
      <c r="C116" s="1239">
        <v>942882.53</v>
      </c>
      <c r="D116" s="1239">
        <v>0</v>
      </c>
      <c r="E116" s="1239">
        <v>942882.53</v>
      </c>
      <c r="F116" s="1236" t="s">
        <v>290</v>
      </c>
      <c r="G116" s="1236" t="s">
        <v>2121</v>
      </c>
      <c r="H116" s="1243"/>
      <c r="I116" s="1244"/>
      <c r="J116" s="1244"/>
      <c r="K116" s="1244"/>
      <c r="L116" s="150">
        <f t="shared" si="0"/>
        <v>1742</v>
      </c>
      <c r="M116" s="151" t="str">
        <f t="shared" si="1"/>
        <v>MACHINERIE &amp; EQUIPEMENT</v>
      </c>
      <c r="N116" s="152">
        <f>+IF(OR($Q116=Parametres!$G$2,$Q116=Parametres!$G$3),I116,C116)</f>
        <v>942882.53</v>
      </c>
      <c r="O116" s="152">
        <f>+IF(OR($Q116=Parametres!$G$2,$Q116=Parametres!$G$3),J116,D116)</f>
        <v>0</v>
      </c>
      <c r="P116" s="152">
        <f>+IF(OR($Q116=Parametres!$G$2,$Q116=Parametres!$G$3),K116,E116)</f>
        <v>942882.53</v>
      </c>
      <c r="Q116" s="151" t="str">
        <f t="shared" si="9"/>
        <v>2-Actifs</v>
      </c>
      <c r="R116" s="150" t="str">
        <f t="shared" si="9"/>
        <v>1700</v>
      </c>
      <c r="S116" s="151">
        <f t="shared" si="9"/>
        <v>0</v>
      </c>
      <c r="T116" s="153">
        <f>+VLOOKUP($L116,Data_Validation!$A:$D,1,0)</f>
        <v>1742</v>
      </c>
      <c r="U116" s="153" t="str">
        <f>+VLOOKUP($L116,Data_Validation!$A:$D,3,0)</f>
        <v>Bilan</v>
      </c>
      <c r="V116" s="153" t="str">
        <f>+VLOOKUP($L116,Data_Validation!$A:$D,4,0)</f>
        <v>Équipements Service</v>
      </c>
      <c r="W116" s="153" t="str">
        <f>+VLOOKUP($L116,Data_Validation!$A:$E,5,0)</f>
        <v>$</v>
      </c>
      <c r="X116" s="153">
        <f>+VLOOKUP($L116,Data_Validation!$A:$F,6,0)</f>
        <v>0</v>
      </c>
    </row>
    <row r="117" spans="1:24" ht="15.75" customHeight="1">
      <c r="A117" s="1236" t="s">
        <v>2119</v>
      </c>
      <c r="B117" s="1237">
        <v>1743</v>
      </c>
      <c r="C117" s="1239">
        <v>-769610.84</v>
      </c>
      <c r="D117" s="1239">
        <v>2808</v>
      </c>
      <c r="E117" s="1239">
        <v>-766802.84</v>
      </c>
      <c r="F117" s="1236" t="s">
        <v>290</v>
      </c>
      <c r="G117" s="1236" t="s">
        <v>2121</v>
      </c>
      <c r="H117" s="1243"/>
      <c r="I117" s="1244"/>
      <c r="J117" s="1244"/>
      <c r="K117" s="1244"/>
      <c r="L117" s="150">
        <f t="shared" si="0"/>
        <v>1743</v>
      </c>
      <c r="M117" s="573" t="str">
        <f t="shared" si="1"/>
        <v>AMORTISS.MACHINERIE &amp; EQUIP.</v>
      </c>
      <c r="N117" s="152">
        <f>+IF(OR($Q117=Parametres!$G$2,$Q117=Parametres!$G$3),I117,C117)</f>
        <v>-769610.84</v>
      </c>
      <c r="O117" s="574">
        <f>+IF(OR($Q117=Parametres!$G$2,$Q117=Parametres!$G$3),J117,D117)</f>
        <v>2808</v>
      </c>
      <c r="P117" s="575">
        <f>+IF(OR($Q117=Parametres!$G$2,$Q117=Parametres!$G$3),K117,E117)</f>
        <v>-766802.84</v>
      </c>
      <c r="Q117" s="151" t="str">
        <f t="shared" si="9"/>
        <v>2-Actifs</v>
      </c>
      <c r="R117" s="150" t="str">
        <f t="shared" si="9"/>
        <v>1700</v>
      </c>
      <c r="S117" s="151">
        <f t="shared" si="9"/>
        <v>0</v>
      </c>
      <c r="T117" s="153">
        <f>+VLOOKUP($L117,Data_Validation!$A:$D,1,0)</f>
        <v>1743</v>
      </c>
      <c r="U117" s="153" t="str">
        <f>+VLOOKUP($L117,Data_Validation!$A:$D,3,0)</f>
        <v>Bilan</v>
      </c>
      <c r="V117" s="153" t="str">
        <f>+VLOOKUP($L117,Data_Validation!$A:$D,4,0)</f>
        <v>Équipements Service</v>
      </c>
      <c r="W117" s="153" t="str">
        <f>+VLOOKUP($L117,Data_Validation!$A:$E,5,0)</f>
        <v>$</v>
      </c>
      <c r="X117" s="153">
        <f>+VLOOKUP($L117,Data_Validation!$A:$F,6,0)</f>
        <v>0</v>
      </c>
    </row>
    <row r="118" spans="1:24" ht="15" customHeight="1">
      <c r="A118" s="1236" t="s">
        <v>2395</v>
      </c>
      <c r="B118" s="1237">
        <v>1744</v>
      </c>
      <c r="C118" s="1239">
        <v>47461.59</v>
      </c>
      <c r="D118" s="1239">
        <v>0</v>
      </c>
      <c r="E118" s="1239">
        <v>47461.59</v>
      </c>
      <c r="F118" s="1236" t="s">
        <v>290</v>
      </c>
      <c r="G118" s="1236" t="s">
        <v>2121</v>
      </c>
      <c r="H118" s="1243"/>
      <c r="I118" s="1244"/>
      <c r="J118" s="1244"/>
      <c r="K118" s="1244"/>
      <c r="L118" s="150">
        <f t="shared" si="0"/>
        <v>1744</v>
      </c>
      <c r="M118" s="151" t="str">
        <f t="shared" si="1"/>
        <v>EQUIPEMENT PIECES</v>
      </c>
      <c r="N118" s="152">
        <f>+IF(OR($Q118=Parametres!$G$2,$Q118=Parametres!$G$3),I118,C118)</f>
        <v>47461.59</v>
      </c>
      <c r="O118" s="569">
        <f>+IF(OR($Q118=Parametres!$G$2,$Q118=Parametres!$G$3),J118,D118)</f>
        <v>0</v>
      </c>
      <c r="P118" s="152">
        <f>+IF(OR($Q118=Parametres!$G$2,$Q118=Parametres!$G$3),K118,E118)</f>
        <v>47461.59</v>
      </c>
      <c r="Q118" s="151" t="str">
        <f t="shared" si="9"/>
        <v>2-Actifs</v>
      </c>
      <c r="R118" s="150" t="str">
        <f t="shared" si="9"/>
        <v>1700</v>
      </c>
      <c r="S118" s="151">
        <f t="shared" si="9"/>
        <v>0</v>
      </c>
      <c r="T118" s="153">
        <f>+VLOOKUP($L118,Data_Validation!$A:$D,1,0)</f>
        <v>1744</v>
      </c>
      <c r="U118" s="153" t="str">
        <f>+VLOOKUP($L118,Data_Validation!$A:$D,3,0)</f>
        <v>Bilan</v>
      </c>
      <c r="V118" s="153" t="str">
        <f>+VLOOKUP($L118,Data_Validation!$A:$D,4,0)</f>
        <v>Équipements Service</v>
      </c>
      <c r="W118" s="153" t="str">
        <f>+VLOOKUP($L118,Data_Validation!$A:$E,5,0)</f>
        <v>$</v>
      </c>
      <c r="X118" s="153">
        <f>+VLOOKUP($L118,Data_Validation!$A:$F,6,0)</f>
        <v>0</v>
      </c>
    </row>
    <row r="119" spans="1:24" ht="15" customHeight="1">
      <c r="A119" s="1236" t="s">
        <v>2190</v>
      </c>
      <c r="B119" s="1237">
        <v>1745</v>
      </c>
      <c r="C119" s="1239">
        <v>-48013.48</v>
      </c>
      <c r="D119" s="1239">
        <v>672</v>
      </c>
      <c r="E119" s="1239">
        <v>-47341.48</v>
      </c>
      <c r="F119" s="1236" t="s">
        <v>290</v>
      </c>
      <c r="G119" s="1236" t="s">
        <v>2121</v>
      </c>
      <c r="H119" s="1243"/>
      <c r="I119" s="1244"/>
      <c r="J119" s="1244"/>
      <c r="K119" s="1244"/>
      <c r="L119" s="150">
        <f t="shared" si="0"/>
        <v>1745</v>
      </c>
      <c r="M119" s="151" t="str">
        <f t="shared" si="1"/>
        <v>AMORTISS.EQUIPEMENTS PIECES</v>
      </c>
      <c r="N119" s="152">
        <f>+IF(OR($Q119=Parametres!$G$2,$Q119=Parametres!$G$3),I119,C119)</f>
        <v>-48013.48</v>
      </c>
      <c r="O119" s="569">
        <f>+IF(OR($Q119=Parametres!$G$2,$Q119=Parametres!$G$3),J119,D119)</f>
        <v>672</v>
      </c>
      <c r="P119" s="152">
        <f>+IF(OR($Q119=Parametres!$G$2,$Q119=Parametres!$G$3),K119,E119)</f>
        <v>-47341.48</v>
      </c>
      <c r="Q119" s="151" t="str">
        <f t="shared" si="9"/>
        <v>2-Actifs</v>
      </c>
      <c r="R119" s="150" t="str">
        <f t="shared" si="9"/>
        <v>1700</v>
      </c>
      <c r="S119" s="151">
        <f t="shared" si="9"/>
        <v>0</v>
      </c>
      <c r="T119" s="153">
        <f>+VLOOKUP($L119,Data_Validation!$A:$D,1,0)</f>
        <v>1745</v>
      </c>
      <c r="U119" s="153" t="str">
        <f>+VLOOKUP($L119,Data_Validation!$A:$D,3,0)</f>
        <v>Bilan</v>
      </c>
      <c r="V119" s="153" t="str">
        <f>+VLOOKUP($L119,Data_Validation!$A:$D,4,0)</f>
        <v>Équipements Service</v>
      </c>
      <c r="W119" s="153" t="str">
        <f>+VLOOKUP($L119,Data_Validation!$A:$E,5,0)</f>
        <v>$</v>
      </c>
      <c r="X119" s="153">
        <f>+VLOOKUP($L119,Data_Validation!$A:$F,6,0)</f>
        <v>0</v>
      </c>
    </row>
    <row r="120" spans="1:24" ht="15" customHeight="1">
      <c r="A120" s="1236" t="s">
        <v>2397</v>
      </c>
      <c r="B120" s="1237">
        <v>1760</v>
      </c>
      <c r="C120" s="1239">
        <v>155280.23000000001</v>
      </c>
      <c r="D120" s="1239">
        <v>0</v>
      </c>
      <c r="E120" s="1239">
        <v>155280.23000000001</v>
      </c>
      <c r="F120" s="1236" t="s">
        <v>290</v>
      </c>
      <c r="G120" s="1236" t="s">
        <v>2121</v>
      </c>
      <c r="H120" s="1243"/>
      <c r="I120" s="1244"/>
      <c r="J120" s="1244"/>
      <c r="K120" s="1244"/>
      <c r="L120" s="150">
        <f t="shared" si="0"/>
        <v>1760</v>
      </c>
      <c r="M120" s="151" t="str">
        <f t="shared" si="1"/>
        <v>EQUIPEMENT TELEPHONIQUE</v>
      </c>
      <c r="N120" s="152">
        <f>+IF(OR($Q120=Parametres!$G$2,$Q120=Parametres!$G$3),I120,C120)</f>
        <v>155280.23000000001</v>
      </c>
      <c r="O120" s="152">
        <f>+IF(OR($Q120=Parametres!$G$2,$Q120=Parametres!$G$3),J120,D120)</f>
        <v>0</v>
      </c>
      <c r="P120" s="152">
        <f>+IF(OR($Q120=Parametres!$G$2,$Q120=Parametres!$G$3),K120,E120)</f>
        <v>155280.23000000001</v>
      </c>
      <c r="Q120" s="151" t="str">
        <f t="shared" si="9"/>
        <v>2-Actifs</v>
      </c>
      <c r="R120" s="150" t="str">
        <f t="shared" si="9"/>
        <v>1700</v>
      </c>
      <c r="S120" s="151">
        <f t="shared" si="9"/>
        <v>0</v>
      </c>
      <c r="T120" s="153">
        <f>+VLOOKUP($L120,Data_Validation!$A:$D,1,0)</f>
        <v>1760</v>
      </c>
      <c r="U120" s="153" t="str">
        <f>+VLOOKUP($L120,Data_Validation!$A:$D,3,0)</f>
        <v>Bilan</v>
      </c>
      <c r="V120" s="153" t="str">
        <f>+VLOOKUP($L120,Data_Validation!$A:$D,4,0)</f>
        <v>Équipements Téléphonique</v>
      </c>
      <c r="W120" s="153" t="str">
        <f>+VLOOKUP($L120,Data_Validation!$A:$E,5,0)</f>
        <v>$</v>
      </c>
      <c r="X120" s="153">
        <f>+VLOOKUP($L120,Data_Validation!$A:$F,6,0)</f>
        <v>0</v>
      </c>
    </row>
    <row r="121" spans="1:24" ht="15" customHeight="1">
      <c r="A121" s="1236" t="s">
        <v>2561</v>
      </c>
      <c r="B121" s="1237">
        <v>1761</v>
      </c>
      <c r="C121" s="1239">
        <v>-155200.23000000001</v>
      </c>
      <c r="D121" s="1239">
        <v>-80</v>
      </c>
      <c r="E121" s="1239">
        <v>-155280.23000000001</v>
      </c>
      <c r="F121" s="1236" t="s">
        <v>290</v>
      </c>
      <c r="G121" s="1236" t="s">
        <v>2121</v>
      </c>
      <c r="H121" s="1243"/>
      <c r="I121" s="1244"/>
      <c r="J121" s="1244"/>
      <c r="K121" s="1244"/>
      <c r="L121" s="150">
        <f t="shared" si="0"/>
        <v>1761</v>
      </c>
      <c r="M121" s="151" t="str">
        <f t="shared" si="1"/>
        <v>AMORTISS.EQUIP.TELEPHONIQUES</v>
      </c>
      <c r="N121" s="152">
        <f>+IF(OR($Q121=Parametres!$G$2,$Q121=Parametres!$G$3),I121,C121)</f>
        <v>-155200.23000000001</v>
      </c>
      <c r="O121" s="152">
        <f>+IF(OR($Q121=Parametres!$G$2,$Q121=Parametres!$G$3),J121,D121)</f>
        <v>-80</v>
      </c>
      <c r="P121" s="152">
        <f>+IF(OR($Q121=Parametres!$G$2,$Q121=Parametres!$G$3),K121,E121)</f>
        <v>-155280.23000000001</v>
      </c>
      <c r="Q121" s="151" t="str">
        <f t="shared" si="9"/>
        <v>2-Actifs</v>
      </c>
      <c r="R121" s="150" t="str">
        <f t="shared" si="9"/>
        <v>1700</v>
      </c>
      <c r="S121" s="151">
        <f t="shared" si="9"/>
        <v>0</v>
      </c>
      <c r="T121" s="153">
        <f>+VLOOKUP($L121,Data_Validation!$A:$D,1,0)</f>
        <v>1761</v>
      </c>
      <c r="U121" s="153" t="str">
        <f>+VLOOKUP($L121,Data_Validation!$A:$D,3,0)</f>
        <v>Bilan</v>
      </c>
      <c r="V121" s="153" t="str">
        <f>+VLOOKUP($L121,Data_Validation!$A:$D,4,0)</f>
        <v>Équipements Téléphonique</v>
      </c>
      <c r="W121" s="153" t="str">
        <f>+VLOOKUP($L121,Data_Validation!$A:$E,5,0)</f>
        <v>$</v>
      </c>
      <c r="X121" s="153">
        <f>+VLOOKUP($L121,Data_Validation!$A:$F,6,0)</f>
        <v>0</v>
      </c>
    </row>
    <row r="122" spans="1:24" ht="15" customHeight="1">
      <c r="A122" s="1236" t="s">
        <v>2399</v>
      </c>
      <c r="B122" s="1237">
        <v>1762</v>
      </c>
      <c r="C122" s="1239">
        <v>433206.49</v>
      </c>
      <c r="D122" s="1239">
        <v>0</v>
      </c>
      <c r="E122" s="1239">
        <v>433206.49</v>
      </c>
      <c r="F122" s="1236" t="s">
        <v>290</v>
      </c>
      <c r="G122" s="1236" t="s">
        <v>2121</v>
      </c>
      <c r="H122" s="1243"/>
      <c r="I122" s="1244"/>
      <c r="J122" s="1244"/>
      <c r="K122" s="1244"/>
      <c r="L122" s="150">
        <f t="shared" si="0"/>
        <v>1762</v>
      </c>
      <c r="M122" s="151" t="str">
        <f t="shared" si="1"/>
        <v>AMEUBLEMENT &amp; INSTR.</v>
      </c>
      <c r="N122" s="152">
        <f>+IF(OR($Q122=Parametres!$G$2,$Q122=Parametres!$G$3),I122,C122)</f>
        <v>433206.49</v>
      </c>
      <c r="O122" s="152">
        <f>+IF(OR($Q122=Parametres!$G$2,$Q122=Parametres!$G$3),J122,D122)</f>
        <v>0</v>
      </c>
      <c r="P122" s="152">
        <f>+IF(OR($Q122=Parametres!$G$2,$Q122=Parametres!$G$3),K122,E122)</f>
        <v>433206.49</v>
      </c>
      <c r="Q122" s="151" t="str">
        <f t="shared" si="9"/>
        <v>2-Actifs</v>
      </c>
      <c r="R122" s="150" t="str">
        <f t="shared" si="9"/>
        <v>1700</v>
      </c>
      <c r="S122" s="151">
        <f t="shared" si="9"/>
        <v>0</v>
      </c>
      <c r="T122" s="153">
        <f>+VLOOKUP($L122,Data_Validation!$A:$D,1,0)</f>
        <v>1762</v>
      </c>
      <c r="U122" s="153" t="str">
        <f>+VLOOKUP($L122,Data_Validation!$A:$D,3,0)</f>
        <v>Bilan</v>
      </c>
      <c r="V122" s="153" t="str">
        <f>+VLOOKUP($L122,Data_Validation!$A:$D,4,0)</f>
        <v>Mobilier</v>
      </c>
      <c r="W122" s="153" t="str">
        <f>+VLOOKUP($L122,Data_Validation!$A:$E,5,0)</f>
        <v>$</v>
      </c>
      <c r="X122" s="153">
        <f>+VLOOKUP($L122,Data_Validation!$A:$F,6,0)</f>
        <v>0</v>
      </c>
    </row>
    <row r="123" spans="1:24" ht="15.75" customHeight="1">
      <c r="A123" s="1236" t="s">
        <v>2156</v>
      </c>
      <c r="B123" s="1237">
        <v>1763</v>
      </c>
      <c r="C123" s="1239">
        <v>-401242.54</v>
      </c>
      <c r="D123" s="1239">
        <v>2291</v>
      </c>
      <c r="E123" s="1239">
        <v>-398951.54</v>
      </c>
      <c r="F123" s="1236" t="s">
        <v>290</v>
      </c>
      <c r="G123" s="1236" t="s">
        <v>2121</v>
      </c>
      <c r="H123" s="1243"/>
      <c r="I123" s="1244"/>
      <c r="J123" s="1244"/>
      <c r="K123" s="1244"/>
      <c r="L123" s="150">
        <f t="shared" si="0"/>
        <v>1763</v>
      </c>
      <c r="M123" s="151" t="str">
        <f t="shared" si="1"/>
        <v>AMORTISS.AMEUBL.INSTR.</v>
      </c>
      <c r="N123" s="152">
        <f>+IF(OR($Q123=Parametres!$G$2,$Q123=Parametres!$G$3),I123,C123)</f>
        <v>-401242.54</v>
      </c>
      <c r="O123" s="152">
        <f>+IF(OR($Q123=Parametres!$G$2,$Q123=Parametres!$G$3),J123,D123)</f>
        <v>2291</v>
      </c>
      <c r="P123" s="152">
        <f>+IF(OR($Q123=Parametres!$G$2,$Q123=Parametres!$G$3),K123,E123)</f>
        <v>-398951.54</v>
      </c>
      <c r="Q123" s="151" t="str">
        <f t="shared" si="9"/>
        <v>2-Actifs</v>
      </c>
      <c r="R123" s="150" t="str">
        <f t="shared" si="9"/>
        <v>1700</v>
      </c>
      <c r="S123" s="151">
        <f t="shared" si="9"/>
        <v>0</v>
      </c>
      <c r="T123" s="153">
        <f>+VLOOKUP($L123,Data_Validation!$A:$D,1,0)</f>
        <v>1763</v>
      </c>
      <c r="U123" s="153" t="str">
        <f>+VLOOKUP($L123,Data_Validation!$A:$D,3,0)</f>
        <v>Bilan</v>
      </c>
      <c r="V123" s="153" t="str">
        <f>+VLOOKUP($L123,Data_Validation!$A:$D,4,0)</f>
        <v>Mobilier</v>
      </c>
      <c r="W123" s="153" t="str">
        <f>+VLOOKUP($L123,Data_Validation!$A:$E,5,0)</f>
        <v>$</v>
      </c>
      <c r="X123" s="153">
        <f>+VLOOKUP($L123,Data_Validation!$A:$F,6,0)</f>
        <v>0</v>
      </c>
    </row>
    <row r="124" spans="1:24" ht="15" customHeight="1">
      <c r="A124" s="1236" t="s">
        <v>2401</v>
      </c>
      <c r="B124" s="1237">
        <v>1772</v>
      </c>
      <c r="C124" s="1239">
        <v>3987.88</v>
      </c>
      <c r="D124" s="1239">
        <v>0</v>
      </c>
      <c r="E124" s="1239">
        <v>3987.88</v>
      </c>
      <c r="F124" s="1236" t="s">
        <v>290</v>
      </c>
      <c r="G124" s="1236" t="s">
        <v>2121</v>
      </c>
      <c r="H124" s="1243"/>
      <c r="I124" s="1244"/>
      <c r="J124" s="1244"/>
      <c r="K124" s="1244"/>
      <c r="L124" s="150">
        <f t="shared" si="0"/>
        <v>1772</v>
      </c>
      <c r="M124" s="151" t="str">
        <f t="shared" si="1"/>
        <v>VEHICULES DE CIE</v>
      </c>
      <c r="N124" s="152">
        <f>+IF(OR($Q124=Parametres!$G$2,$Q124=Parametres!$G$3),I124,C124)</f>
        <v>3987.88</v>
      </c>
      <c r="O124" s="152">
        <f>+IF(OR($Q124=Parametres!$G$2,$Q124=Parametres!$G$3),J124,D124)</f>
        <v>0</v>
      </c>
      <c r="P124" s="152">
        <f>+IF(OR($Q124=Parametres!$G$2,$Q124=Parametres!$G$3),K124,E124)</f>
        <v>3987.88</v>
      </c>
      <c r="Q124" s="151" t="str">
        <f t="shared" si="9"/>
        <v>2-Actifs</v>
      </c>
      <c r="R124" s="150" t="str">
        <f t="shared" si="9"/>
        <v>1700</v>
      </c>
      <c r="S124" s="151">
        <f t="shared" si="9"/>
        <v>0</v>
      </c>
      <c r="T124" s="153">
        <f>+VLOOKUP($L124,Data_Validation!$A:$D,1,0)</f>
        <v>1772</v>
      </c>
      <c r="U124" s="153" t="str">
        <f>+VLOOKUP($L124,Data_Validation!$A:$D,3,0)</f>
        <v>Bilan</v>
      </c>
      <c r="V124" s="153" t="str">
        <f>+VLOOKUP($L124,Data_Validation!$A:$D,4,0)</f>
        <v>Équipements Service</v>
      </c>
      <c r="W124" s="153" t="str">
        <f>+VLOOKUP($L124,Data_Validation!$A:$E,5,0)</f>
        <v>$</v>
      </c>
      <c r="X124" s="153">
        <f>+VLOOKUP($L124,Data_Validation!$A:$F,6,0)</f>
        <v>0</v>
      </c>
    </row>
    <row r="125" spans="1:24" ht="15" customHeight="1">
      <c r="A125" s="1236" t="s">
        <v>2403</v>
      </c>
      <c r="B125" s="1237">
        <v>1773</v>
      </c>
      <c r="C125" s="1239">
        <v>-3987.88</v>
      </c>
      <c r="D125" s="1239">
        <v>0</v>
      </c>
      <c r="E125" s="1239">
        <v>-3987.88</v>
      </c>
      <c r="F125" s="1236" t="s">
        <v>290</v>
      </c>
      <c r="G125" s="1236" t="s">
        <v>2121</v>
      </c>
      <c r="H125" s="1243"/>
      <c r="I125" s="1244"/>
      <c r="J125" s="1244"/>
      <c r="K125" s="1244"/>
      <c r="L125" s="150">
        <f t="shared" si="0"/>
        <v>1773</v>
      </c>
      <c r="M125" s="151" t="str">
        <f t="shared" si="1"/>
        <v>DEPRECIATION &amp; AMORT.</v>
      </c>
      <c r="N125" s="152">
        <f>+IF(OR($Q125=Parametres!$G$2,$Q125=Parametres!$G$3),I125,C125)</f>
        <v>-3987.88</v>
      </c>
      <c r="O125" s="569">
        <f>+IF(OR($Q125=Parametres!$G$2,$Q125=Parametres!$G$3),J125,D125)</f>
        <v>0</v>
      </c>
      <c r="P125" s="152">
        <f>+IF(OR($Q125=Parametres!$G$2,$Q125=Parametres!$G$3),K125,E125)</f>
        <v>-3987.88</v>
      </c>
      <c r="Q125" s="151" t="str">
        <f t="shared" si="9"/>
        <v>2-Actifs</v>
      </c>
      <c r="R125" s="150" t="str">
        <f t="shared" si="9"/>
        <v>1700</v>
      </c>
      <c r="S125" s="151">
        <f t="shared" si="9"/>
        <v>0</v>
      </c>
      <c r="T125" s="153">
        <f>+VLOOKUP($L125,Data_Validation!$A:$D,1,0)</f>
        <v>1773</v>
      </c>
      <c r="U125" s="153" t="str">
        <f>+VLOOKUP($L125,Data_Validation!$A:$D,3,0)</f>
        <v>Bilan</v>
      </c>
      <c r="V125" s="153" t="str">
        <f>+VLOOKUP($L125,Data_Validation!$A:$D,4,0)</f>
        <v>Équipements Service</v>
      </c>
      <c r="W125" s="153" t="str">
        <f>+VLOOKUP($L125,Data_Validation!$A:$E,5,0)</f>
        <v>$</v>
      </c>
      <c r="X125" s="153">
        <f>+VLOOKUP($L125,Data_Validation!$A:$F,6,0)</f>
        <v>0</v>
      </c>
    </row>
    <row r="126" spans="1:24" ht="15" customHeight="1">
      <c r="A126" s="1236" t="s">
        <v>2559</v>
      </c>
      <c r="B126" s="1237">
        <v>1786</v>
      </c>
      <c r="C126" s="1239">
        <v>271520.27</v>
      </c>
      <c r="D126" s="1239">
        <v>0</v>
      </c>
      <c r="E126" s="1239">
        <v>271520.27</v>
      </c>
      <c r="F126" s="1236" t="s">
        <v>290</v>
      </c>
      <c r="G126" s="1236" t="s">
        <v>2121</v>
      </c>
      <c r="H126" s="1243"/>
      <c r="I126" s="1244"/>
      <c r="J126" s="1244"/>
      <c r="K126" s="1244"/>
      <c r="L126" s="150">
        <f t="shared" si="0"/>
        <v>1786</v>
      </c>
      <c r="M126" s="151" t="str">
        <f t="shared" si="1"/>
        <v>EQUIPEMENT INFORMATIQUE</v>
      </c>
      <c r="N126" s="152">
        <f>+IF(OR($Q126=Parametres!$G$2,$Q126=Parametres!$G$3),I126,C126)</f>
        <v>271520.27</v>
      </c>
      <c r="O126" s="569">
        <f>+IF(OR($Q126=Parametres!$G$2,$Q126=Parametres!$G$3),J126,D126)</f>
        <v>0</v>
      </c>
      <c r="P126" s="152">
        <f>+IF(OR($Q126=Parametres!$G$2,$Q126=Parametres!$G$3),K126,E126)</f>
        <v>271520.27</v>
      </c>
      <c r="Q126" s="151" t="str">
        <f t="shared" si="9"/>
        <v>2-Actifs</v>
      </c>
      <c r="R126" s="150" t="str">
        <f t="shared" si="9"/>
        <v>1700</v>
      </c>
      <c r="S126" s="151">
        <f t="shared" si="9"/>
        <v>0</v>
      </c>
      <c r="T126" s="153">
        <f>+VLOOKUP($L126,Data_Validation!$A:$D,1,0)</f>
        <v>1786</v>
      </c>
      <c r="U126" s="153" t="str">
        <f>+VLOOKUP($L126,Data_Validation!$A:$D,3,0)</f>
        <v>Bilan</v>
      </c>
      <c r="V126" s="153" t="str">
        <f>+VLOOKUP($L126,Data_Validation!$A:$D,4,0)</f>
        <v>Équipements Informatique</v>
      </c>
      <c r="W126" s="153" t="str">
        <f>+VLOOKUP($L126,Data_Validation!$A:$E,5,0)</f>
        <v>$</v>
      </c>
      <c r="X126" s="153">
        <f>+VLOOKUP($L126,Data_Validation!$A:$F,6,0)</f>
        <v>0</v>
      </c>
    </row>
    <row r="127" spans="1:24" ht="15" customHeight="1">
      <c r="A127" s="1236" t="s">
        <v>2147</v>
      </c>
      <c r="B127" s="1237">
        <v>1787</v>
      </c>
      <c r="C127" s="1239">
        <v>-251784.65</v>
      </c>
      <c r="D127" s="1239">
        <v>2075</v>
      </c>
      <c r="E127" s="1239">
        <v>-249709.65</v>
      </c>
      <c r="F127" s="1236" t="s">
        <v>290</v>
      </c>
      <c r="G127" s="1236" t="s">
        <v>2121</v>
      </c>
      <c r="H127" s="1243"/>
      <c r="I127" s="1244"/>
      <c r="J127" s="1244"/>
      <c r="K127" s="1244"/>
      <c r="L127" s="150">
        <f t="shared" si="0"/>
        <v>1787</v>
      </c>
      <c r="M127" s="151" t="str">
        <f t="shared" si="1"/>
        <v>AMORTISS.EQUIP.INFORMATIQUES</v>
      </c>
      <c r="N127" s="152">
        <f>+IF(OR($Q127=Parametres!$G$2,$Q127=Parametres!$G$3),I127,C127)</f>
        <v>-251784.65</v>
      </c>
      <c r="O127" s="152">
        <f>+IF(OR($Q127=Parametres!$G$2,$Q127=Parametres!$G$3),J127,D127)</f>
        <v>2075</v>
      </c>
      <c r="P127" s="152">
        <f>+IF(OR($Q127=Parametres!$G$2,$Q127=Parametres!$G$3),K127,E127)</f>
        <v>-249709.65</v>
      </c>
      <c r="Q127" s="151" t="str">
        <f t="shared" si="9"/>
        <v>2-Actifs</v>
      </c>
      <c r="R127" s="150" t="str">
        <f t="shared" si="9"/>
        <v>1700</v>
      </c>
      <c r="S127" s="151">
        <f t="shared" si="9"/>
        <v>0</v>
      </c>
      <c r="T127" s="153">
        <f>+VLOOKUP($L127,Data_Validation!$A:$D,1,0)</f>
        <v>1787</v>
      </c>
      <c r="U127" s="153" t="str">
        <f>+VLOOKUP($L127,Data_Validation!$A:$D,3,0)</f>
        <v>Bilan</v>
      </c>
      <c r="V127" s="153" t="str">
        <f>+VLOOKUP($L127,Data_Validation!$A:$D,4,0)</f>
        <v>Équipements Informatique</v>
      </c>
      <c r="W127" s="153" t="str">
        <f>+VLOOKUP($L127,Data_Validation!$A:$E,5,0)</f>
        <v>$</v>
      </c>
      <c r="X127" s="153">
        <f>+VLOOKUP($L127,Data_Validation!$A:$F,6,0)</f>
        <v>0</v>
      </c>
    </row>
    <row r="128" spans="1:24" ht="15" customHeight="1">
      <c r="A128" s="1236" t="s">
        <v>819</v>
      </c>
      <c r="B128" s="1237">
        <v>1792</v>
      </c>
      <c r="C128" s="1239">
        <v>119393.66</v>
      </c>
      <c r="D128" s="1239">
        <v>0</v>
      </c>
      <c r="E128" s="1239">
        <v>119393.66</v>
      </c>
      <c r="F128" s="1236" t="s">
        <v>290</v>
      </c>
      <c r="G128" s="1236" t="s">
        <v>2121</v>
      </c>
      <c r="H128" s="1243"/>
      <c r="I128" s="1244"/>
      <c r="J128" s="1244"/>
      <c r="K128" s="1244"/>
      <c r="L128" s="150">
        <f t="shared" si="0"/>
        <v>1792</v>
      </c>
      <c r="M128" s="573" t="str">
        <f t="shared" si="1"/>
        <v>ENSEIGNES</v>
      </c>
      <c r="N128" s="152">
        <f>+IF(OR($Q128=Parametres!$G$2,$Q128=Parametres!$G$3),I128,C128)</f>
        <v>119393.66</v>
      </c>
      <c r="O128" s="574">
        <f>+IF(OR($Q128=Parametres!$G$2,$Q128=Parametres!$G$3),J128,D128)</f>
        <v>0</v>
      </c>
      <c r="P128" s="575">
        <f>+IF(OR($Q128=Parametres!$G$2,$Q128=Parametres!$G$3),K128,E128)</f>
        <v>119393.66</v>
      </c>
      <c r="Q128" s="151" t="str">
        <f t="shared" si="9"/>
        <v>2-Actifs</v>
      </c>
      <c r="R128" s="150" t="str">
        <f t="shared" si="9"/>
        <v>1700</v>
      </c>
      <c r="S128" s="151">
        <f t="shared" si="9"/>
        <v>0</v>
      </c>
      <c r="T128" s="153">
        <f>+VLOOKUP($L128,Data_Validation!$A:$D,1,0)</f>
        <v>1792</v>
      </c>
      <c r="U128" s="153" t="str">
        <f>+VLOOKUP($L128,Data_Validation!$A:$D,3,0)</f>
        <v>Bilan</v>
      </c>
      <c r="V128" s="153" t="str">
        <f>+VLOOKUP($L128,Data_Validation!$A:$D,4,0)</f>
        <v>Enseigne</v>
      </c>
      <c r="W128" s="153" t="str">
        <f>+VLOOKUP($L128,Data_Validation!$A:$E,5,0)</f>
        <v>$</v>
      </c>
      <c r="X128" s="153">
        <f>+VLOOKUP($L128,Data_Validation!$A:$F,6,0)</f>
        <v>0</v>
      </c>
    </row>
    <row r="129" spans="1:24" ht="15" customHeight="1">
      <c r="A129" s="1236" t="s">
        <v>2188</v>
      </c>
      <c r="B129" s="1237">
        <v>1793</v>
      </c>
      <c r="C129" s="1239">
        <v>-120133.65</v>
      </c>
      <c r="D129" s="1239">
        <v>740</v>
      </c>
      <c r="E129" s="1239">
        <v>-119393.65</v>
      </c>
      <c r="F129" s="1236" t="s">
        <v>290</v>
      </c>
      <c r="G129" s="1236" t="s">
        <v>2121</v>
      </c>
      <c r="H129" s="1243"/>
      <c r="I129" s="1244"/>
      <c r="J129" s="1244"/>
      <c r="K129" s="1244"/>
      <c r="L129" s="150">
        <f t="shared" si="0"/>
        <v>1793</v>
      </c>
      <c r="M129" s="151" t="str">
        <f t="shared" si="1"/>
        <v>AMORT. CUM. ENSEIGNES</v>
      </c>
      <c r="N129" s="152">
        <f>+IF(OR($Q129=Parametres!$G$2,$Q129=Parametres!$G$3),I129,C129)</f>
        <v>-120133.65</v>
      </c>
      <c r="O129" s="152">
        <f>+IF(OR($Q129=Parametres!$G$2,$Q129=Parametres!$G$3),J129,D129)</f>
        <v>740</v>
      </c>
      <c r="P129" s="152">
        <f>+IF(OR($Q129=Parametres!$G$2,$Q129=Parametres!$G$3),K129,E129)</f>
        <v>-119393.65</v>
      </c>
      <c r="Q129" s="151" t="str">
        <f t="shared" si="9"/>
        <v>2-Actifs</v>
      </c>
      <c r="R129" s="150" t="str">
        <f t="shared" si="9"/>
        <v>1700</v>
      </c>
      <c r="S129" s="151">
        <f t="shared" si="9"/>
        <v>0</v>
      </c>
      <c r="T129" s="153">
        <f>+VLOOKUP($L129,Data_Validation!$A:$D,1,0)</f>
        <v>1793</v>
      </c>
      <c r="U129" s="153" t="str">
        <f>+VLOOKUP($L129,Data_Validation!$A:$D,3,0)</f>
        <v>Bilan</v>
      </c>
      <c r="V129" s="153" t="str">
        <f>+VLOOKUP($L129,Data_Validation!$A:$D,4,0)</f>
        <v>Enseigne</v>
      </c>
      <c r="W129" s="153" t="str">
        <f>+VLOOKUP($L129,Data_Validation!$A:$E,5,0)</f>
        <v>$</v>
      </c>
      <c r="X129" s="153">
        <f>+VLOOKUP($L129,Data_Validation!$A:$F,6,0)</f>
        <v>0</v>
      </c>
    </row>
    <row r="130" spans="1:24" ht="15" customHeight="1">
      <c r="A130" s="1236" t="s">
        <v>2406</v>
      </c>
      <c r="B130" s="1237">
        <v>1804</v>
      </c>
      <c r="C130" s="1239">
        <v>1623600</v>
      </c>
      <c r="D130" s="1239">
        <v>0</v>
      </c>
      <c r="E130" s="1239">
        <v>1623600</v>
      </c>
      <c r="F130" s="1236" t="s">
        <v>290</v>
      </c>
      <c r="G130" s="1236" t="s">
        <v>2407</v>
      </c>
      <c r="H130" s="1243"/>
      <c r="I130" s="1244"/>
      <c r="J130" s="1244"/>
      <c r="K130" s="1244"/>
      <c r="L130" s="150">
        <f t="shared" si="0"/>
        <v>1804</v>
      </c>
      <c r="M130" s="151" t="str">
        <f t="shared" si="1"/>
        <v>RECEVABLE-PROP. &amp; EMPL.</v>
      </c>
      <c r="N130" s="152">
        <f>+IF(OR($Q130=Parametres!$G$2,$Q130=Parametres!$G$3),I130,C130)</f>
        <v>1623600</v>
      </c>
      <c r="O130" s="152">
        <f>+IF(OR($Q130=Parametres!$G$2,$Q130=Parametres!$G$3),J130,D130)</f>
        <v>0</v>
      </c>
      <c r="P130" s="152">
        <f>+IF(OR($Q130=Parametres!$G$2,$Q130=Parametres!$G$3),K130,E130)</f>
        <v>1623600</v>
      </c>
      <c r="Q130" s="151" t="str">
        <f t="shared" ref="Q130:S145" si="10">+F130</f>
        <v>2-Actifs</v>
      </c>
      <c r="R130" s="150" t="str">
        <f t="shared" si="10"/>
        <v>1804</v>
      </c>
      <c r="S130" s="151">
        <f t="shared" si="10"/>
        <v>0</v>
      </c>
      <c r="T130" s="153">
        <f>+VLOOKUP($L130,Data_Validation!$A:$D,1,0)</f>
        <v>1804</v>
      </c>
      <c r="U130" s="153" t="str">
        <f>+VLOOKUP($L130,Data_Validation!$A:$D,3,0)</f>
        <v>Bilan</v>
      </c>
      <c r="V130" s="153" t="str">
        <f>+VLOOKUP($L130,Data_Validation!$A:$D,4,0)</f>
        <v>Avances à Recevoir Long Terme</v>
      </c>
      <c r="W130" s="153" t="str">
        <f>+VLOOKUP($L130,Data_Validation!$A:$E,5,0)</f>
        <v>$</v>
      </c>
      <c r="X130" s="153">
        <f>+VLOOKUP($L130,Data_Validation!$A:$F,6,0)</f>
        <v>0</v>
      </c>
    </row>
    <row r="131" spans="1:24" ht="15.75" customHeight="1">
      <c r="A131" s="1236" t="s">
        <v>2743</v>
      </c>
      <c r="B131" s="1237">
        <v>1806</v>
      </c>
      <c r="C131" s="1239">
        <v>15969.75</v>
      </c>
      <c r="D131" s="1239">
        <v>-1352.7</v>
      </c>
      <c r="E131" s="1239">
        <v>14617.05</v>
      </c>
      <c r="F131" s="1236" t="s">
        <v>290</v>
      </c>
      <c r="G131" s="1236" t="s">
        <v>2614</v>
      </c>
      <c r="H131" s="1243"/>
      <c r="I131" s="1244"/>
      <c r="J131" s="1244"/>
      <c r="K131" s="1244"/>
      <c r="L131" s="150">
        <f t="shared" si="0"/>
        <v>1806</v>
      </c>
      <c r="M131" s="151" t="str">
        <f t="shared" si="1"/>
        <v>FINANCEMENT RECEVABLE</v>
      </c>
      <c r="N131" s="152">
        <f>+IF(OR($Q131=Parametres!$G$2,$Q131=Parametres!$G$3),I131,C131)</f>
        <v>15969.75</v>
      </c>
      <c r="O131" s="152">
        <f>+IF(OR($Q131=Parametres!$G$2,$Q131=Parametres!$G$3),J131,D131)</f>
        <v>-1352.7</v>
      </c>
      <c r="P131" s="152">
        <f>+IF(OR($Q131=Parametres!$G$2,$Q131=Parametres!$G$3),K131,E131)</f>
        <v>14617.05</v>
      </c>
      <c r="Q131" s="151" t="str">
        <f t="shared" si="10"/>
        <v>2-Actifs</v>
      </c>
      <c r="R131" s="150" t="str">
        <f t="shared" si="10"/>
        <v>1382</v>
      </c>
      <c r="S131" s="151">
        <f t="shared" si="10"/>
        <v>0</v>
      </c>
      <c r="T131" s="153">
        <f>+VLOOKUP($L131,Data_Validation!$A:$D,1,0)</f>
        <v>1806</v>
      </c>
      <c r="U131" s="153" t="str">
        <f>+VLOOKUP($L131,Data_Validation!$A:$D,3,0)</f>
        <v>Bilan</v>
      </c>
      <c r="V131" s="153" t="str">
        <f>+VLOOKUP($L131,Data_Validation!$A:$D,4,0)</f>
        <v>Recevables Autres</v>
      </c>
      <c r="W131" s="153" t="str">
        <f>+VLOOKUP($L131,Data_Validation!$A:$E,5,0)</f>
        <v>$</v>
      </c>
      <c r="X131" s="153">
        <f>+VLOOKUP($L131,Data_Validation!$A:$F,6,0)</f>
        <v>0</v>
      </c>
    </row>
    <row r="132" spans="1:24" ht="15" customHeight="1">
      <c r="A132" s="1236" t="s">
        <v>2837</v>
      </c>
      <c r="B132" s="1237">
        <v>2101</v>
      </c>
      <c r="C132" s="1239">
        <v>-6685533.0999999996</v>
      </c>
      <c r="D132" s="1239">
        <v>-707892.44</v>
      </c>
      <c r="E132" s="1239">
        <v>-7393425.54</v>
      </c>
      <c r="F132" s="1236" t="s">
        <v>279</v>
      </c>
      <c r="G132" s="1236" t="s">
        <v>2838</v>
      </c>
      <c r="H132" s="1243"/>
      <c r="I132" s="1244"/>
      <c r="J132" s="1244"/>
      <c r="K132" s="1244"/>
      <c r="L132" s="150">
        <f t="shared" si="0"/>
        <v>2101</v>
      </c>
      <c r="M132" s="151" t="str">
        <f t="shared" si="1"/>
        <v>NOTE A PAYER VEH. NEUFS VOLKS</v>
      </c>
      <c r="N132" s="152">
        <f>+IF(OR($Q132=Parametres!$G$2,$Q132=Parametres!$G$3),I132,C132)</f>
        <v>-6685533.0999999996</v>
      </c>
      <c r="O132" s="152">
        <f>+IF(OR($Q132=Parametres!$G$2,$Q132=Parametres!$G$3),J132,D132)</f>
        <v>-707892.44</v>
      </c>
      <c r="P132" s="152">
        <f>+IF(OR($Q132=Parametres!$G$2,$Q132=Parametres!$G$3),K132,E132)</f>
        <v>-7393425.54</v>
      </c>
      <c r="Q132" s="151" t="str">
        <f t="shared" si="10"/>
        <v>3-Passifs</v>
      </c>
      <c r="R132" s="150" t="str">
        <f t="shared" si="10"/>
        <v>2101</v>
      </c>
      <c r="S132" s="151">
        <f t="shared" si="10"/>
        <v>0</v>
      </c>
      <c r="T132" s="153">
        <f>+VLOOKUP($L132,Data_Validation!$A:$D,1,0)</f>
        <v>2101</v>
      </c>
      <c r="U132" s="153" t="str">
        <f>+VLOOKUP($L132,Data_Validation!$A:$D,3,0)</f>
        <v>Bilan</v>
      </c>
      <c r="V132" s="153" t="str">
        <f>+VLOOKUP($L132,Data_Validation!$A:$D,4,0)</f>
        <v>Effet à Payer Véhicules Neufs</v>
      </c>
      <c r="W132" s="153" t="str">
        <f>+VLOOKUP($L132,Data_Validation!$A:$E,5,0)</f>
        <v>$</v>
      </c>
      <c r="X132" s="153">
        <f>+VLOOKUP($L132,Data_Validation!$A:$F,6,0)</f>
        <v>0</v>
      </c>
    </row>
    <row r="133" spans="1:24" ht="15" customHeight="1">
      <c r="A133" s="1236" t="s">
        <v>2029</v>
      </c>
      <c r="B133" s="1237">
        <v>2103</v>
      </c>
      <c r="C133" s="1239">
        <v>-345892.67</v>
      </c>
      <c r="D133" s="1239">
        <v>-4966.97</v>
      </c>
      <c r="E133" s="1239">
        <v>-350859.64</v>
      </c>
      <c r="F133" s="1236" t="s">
        <v>279</v>
      </c>
      <c r="G133" s="1236" t="s">
        <v>2030</v>
      </c>
      <c r="H133" s="1243"/>
      <c r="I133" s="1244"/>
      <c r="J133" s="1244"/>
      <c r="K133" s="1244"/>
      <c r="L133" s="150">
        <f t="shared" si="0"/>
        <v>2103</v>
      </c>
      <c r="M133" s="151" t="str">
        <f t="shared" si="1"/>
        <v>NOTE PAYABLE-FIN. VEH. USAG.</v>
      </c>
      <c r="N133" s="152">
        <f>+IF(OR($Q133=Parametres!$G$2,$Q133=Parametres!$G$3),I133,C133)</f>
        <v>-345892.67</v>
      </c>
      <c r="O133" s="152">
        <f>+IF(OR($Q133=Parametres!$G$2,$Q133=Parametres!$G$3),J133,D133)</f>
        <v>-4966.97</v>
      </c>
      <c r="P133" s="152">
        <f>+IF(OR($Q133=Parametres!$G$2,$Q133=Parametres!$G$3),K133,E133)</f>
        <v>-350859.64</v>
      </c>
      <c r="Q133" s="151" t="str">
        <f t="shared" si="10"/>
        <v>3-Passifs</v>
      </c>
      <c r="R133" s="150" t="str">
        <f t="shared" si="10"/>
        <v>2103</v>
      </c>
      <c r="S133" s="151">
        <f t="shared" si="10"/>
        <v>0</v>
      </c>
      <c r="T133" s="153">
        <f>+VLOOKUP($L133,Data_Validation!$A:$D,1,0)</f>
        <v>2103</v>
      </c>
      <c r="U133" s="153" t="str">
        <f>+VLOOKUP($L133,Data_Validation!$A:$D,3,0)</f>
        <v>Bilan</v>
      </c>
      <c r="V133" s="153" t="str">
        <f>+VLOOKUP($L133,Data_Validation!$A:$D,4,0)</f>
        <v>Effet à Payer Véhicules Usagés</v>
      </c>
      <c r="W133" s="153" t="str">
        <f>+VLOOKUP($L133,Data_Validation!$A:$E,5,0)</f>
        <v>$</v>
      </c>
      <c r="X133" s="153">
        <f>+VLOOKUP($L133,Data_Validation!$A:$F,6,0)</f>
        <v>0</v>
      </c>
    </row>
    <row r="134" spans="1:24" ht="15" customHeight="1">
      <c r="A134" s="1236" t="s">
        <v>2408</v>
      </c>
      <c r="B134" s="1237">
        <v>2131</v>
      </c>
      <c r="C134" s="1239">
        <v>-15810</v>
      </c>
      <c r="D134" s="1239">
        <v>0</v>
      </c>
      <c r="E134" s="1239">
        <v>-15810</v>
      </c>
      <c r="F134" s="1236" t="s">
        <v>279</v>
      </c>
      <c r="G134" s="1236" t="s">
        <v>2409</v>
      </c>
      <c r="H134" s="1243"/>
      <c r="I134" s="1244"/>
      <c r="J134" s="1244"/>
      <c r="K134" s="1244"/>
      <c r="L134" s="150">
        <f t="shared" si="0"/>
        <v>2131</v>
      </c>
      <c r="M134" s="151" t="str">
        <f t="shared" si="1"/>
        <v>PORTION COURANTE PRET</v>
      </c>
      <c r="N134" s="152">
        <f>+IF(OR($Q134=Parametres!$G$2,$Q134=Parametres!$G$3),I134,C134)</f>
        <v>-15810</v>
      </c>
      <c r="O134" s="152">
        <f>+IF(OR($Q134=Parametres!$G$2,$Q134=Parametres!$G$3),J134,D134)</f>
        <v>0</v>
      </c>
      <c r="P134" s="152">
        <f>+IF(OR($Q134=Parametres!$G$2,$Q134=Parametres!$G$3),K134,E134)</f>
        <v>-15810</v>
      </c>
      <c r="Q134" s="151" t="str">
        <f t="shared" si="10"/>
        <v>3-Passifs</v>
      </c>
      <c r="R134" s="150" t="str">
        <f t="shared" si="10"/>
        <v>2131</v>
      </c>
      <c r="S134" s="151">
        <f t="shared" si="10"/>
        <v>0</v>
      </c>
      <c r="T134" s="153">
        <f>+VLOOKUP($L134,Data_Validation!$A:$D,1,0)</f>
        <v>2131</v>
      </c>
      <c r="U134" s="153" t="str">
        <f>+VLOOKUP($L134,Data_Validation!$A:$D,3,0)</f>
        <v>Bilan</v>
      </c>
      <c r="V134" s="153" t="str">
        <f>+VLOOKUP($L134,Data_Validation!$A:$D,4,0)</f>
        <v>Portion Court Terme de la Dette Long Terme</v>
      </c>
      <c r="W134" s="153" t="str">
        <f>+VLOOKUP($L134,Data_Validation!$A:$E,5,0)</f>
        <v>$</v>
      </c>
      <c r="X134" s="153">
        <f>+VLOOKUP($L134,Data_Validation!$A:$F,6,0)</f>
        <v>0</v>
      </c>
    </row>
    <row r="135" spans="1:24" ht="15.75" customHeight="1">
      <c r="A135" s="1236" t="s">
        <v>2196</v>
      </c>
      <c r="B135" s="1237">
        <v>2220</v>
      </c>
      <c r="C135" s="1239">
        <v>-119.66</v>
      </c>
      <c r="D135" s="1239">
        <v>-277</v>
      </c>
      <c r="E135" s="1239">
        <v>-396.66</v>
      </c>
      <c r="F135" s="1236" t="s">
        <v>279</v>
      </c>
      <c r="G135" s="1236" t="s">
        <v>2197</v>
      </c>
      <c r="H135" s="1243"/>
      <c r="I135" s="1244"/>
      <c r="J135" s="1244"/>
      <c r="K135" s="1244"/>
      <c r="L135" s="150">
        <f t="shared" si="0"/>
        <v>2220</v>
      </c>
      <c r="M135" s="151" t="str">
        <f t="shared" si="1"/>
        <v>TPA A PAYER</v>
      </c>
      <c r="N135" s="152">
        <f>+IF(OR($Q135=Parametres!$G$2,$Q135=Parametres!$G$3),I135,C135)</f>
        <v>-119.66</v>
      </c>
      <c r="O135" s="152">
        <f>+IF(OR($Q135=Parametres!$G$2,$Q135=Parametres!$G$3),J135,D135)</f>
        <v>-277</v>
      </c>
      <c r="P135" s="152">
        <f>+IF(OR($Q135=Parametres!$G$2,$Q135=Parametres!$G$3),K135,E135)</f>
        <v>-396.66</v>
      </c>
      <c r="Q135" s="151" t="str">
        <f t="shared" si="10"/>
        <v>3-Passifs</v>
      </c>
      <c r="R135" s="150" t="str">
        <f t="shared" si="10"/>
        <v>2220</v>
      </c>
      <c r="S135" s="151">
        <f t="shared" si="10"/>
        <v>0</v>
      </c>
      <c r="T135" s="153">
        <f>+VLOOKUP($L135,Data_Validation!$A:$D,1,0)</f>
        <v>2220</v>
      </c>
      <c r="U135" s="153" t="str">
        <f>+VLOOKUP($L135,Data_Validation!$A:$D,3,0)</f>
        <v>Bilan</v>
      </c>
      <c r="V135" s="153" t="str">
        <f>+VLOOKUP($L135,Data_Validation!$A:$D,4,0)</f>
        <v>Taxes de Vente à Payer</v>
      </c>
      <c r="W135" s="153" t="str">
        <f>+VLOOKUP($L135,Data_Validation!$A:$E,5,0)</f>
        <v>$</v>
      </c>
      <c r="X135" s="153">
        <f>+VLOOKUP($L135,Data_Validation!$A:$F,6,0)</f>
        <v>0</v>
      </c>
    </row>
    <row r="136" spans="1:24" ht="15" customHeight="1">
      <c r="A136" s="1236" t="s">
        <v>2049</v>
      </c>
      <c r="B136" s="1237">
        <v>2221</v>
      </c>
      <c r="C136" s="1239">
        <v>-96786.37</v>
      </c>
      <c r="D136" s="1239">
        <v>20126.16</v>
      </c>
      <c r="E136" s="1239">
        <v>-76660.210000000006</v>
      </c>
      <c r="F136" s="1236" t="s">
        <v>279</v>
      </c>
      <c r="G136" s="1236" t="s">
        <v>2050</v>
      </c>
      <c r="H136" s="1243"/>
      <c r="I136" s="1244"/>
      <c r="J136" s="1244"/>
      <c r="K136" s="1244"/>
      <c r="L136" s="150">
        <f t="shared" si="0"/>
        <v>2221</v>
      </c>
      <c r="M136" s="151" t="str">
        <f t="shared" si="1"/>
        <v>TVQ A PAYER</v>
      </c>
      <c r="N136" s="152">
        <f>+IF(OR($Q136=Parametres!$G$2,$Q136=Parametres!$G$3),I136,C136)</f>
        <v>-96786.37</v>
      </c>
      <c r="O136" s="152">
        <f>+IF(OR($Q136=Parametres!$G$2,$Q136=Parametres!$G$3),J136,D136)</f>
        <v>20126.16</v>
      </c>
      <c r="P136" s="152">
        <f>+IF(OR($Q136=Parametres!$G$2,$Q136=Parametres!$G$3),K136,E136)</f>
        <v>-76660.210000000006</v>
      </c>
      <c r="Q136" s="151" t="str">
        <f t="shared" si="10"/>
        <v>3-Passifs</v>
      </c>
      <c r="R136" s="150" t="str">
        <f t="shared" si="10"/>
        <v>2221</v>
      </c>
      <c r="S136" s="151">
        <f t="shared" si="10"/>
        <v>0</v>
      </c>
      <c r="T136" s="153">
        <f>+VLOOKUP($L136,Data_Validation!$A:$D,1,0)</f>
        <v>2221</v>
      </c>
      <c r="U136" s="153" t="str">
        <f>+VLOOKUP($L136,Data_Validation!$A:$D,3,0)</f>
        <v>Bilan</v>
      </c>
      <c r="V136" s="153" t="str">
        <f>+VLOOKUP($L136,Data_Validation!$A:$D,4,0)</f>
        <v>Taxes de Vente à Payer</v>
      </c>
      <c r="W136" s="153" t="str">
        <f>+VLOOKUP($L136,Data_Validation!$A:$E,5,0)</f>
        <v>$</v>
      </c>
      <c r="X136" s="153">
        <f>+VLOOKUP($L136,Data_Validation!$A:$F,6,0)</f>
        <v>0</v>
      </c>
    </row>
    <row r="137" spans="1:24" ht="15" customHeight="1">
      <c r="A137" s="1236" t="s">
        <v>2787</v>
      </c>
      <c r="B137" s="1237">
        <v>2222</v>
      </c>
      <c r="C137" s="1239">
        <v>53769.3</v>
      </c>
      <c r="D137" s="1239">
        <v>-617.29999999999995</v>
      </c>
      <c r="E137" s="1239">
        <v>53152</v>
      </c>
      <c r="F137" s="1236" t="s">
        <v>279</v>
      </c>
      <c r="G137" s="1236" t="s">
        <v>2050</v>
      </c>
      <c r="H137" s="1243"/>
      <c r="I137" s="1244"/>
      <c r="J137" s="1244"/>
      <c r="K137" s="1244"/>
      <c r="L137" s="150">
        <f t="shared" si="0"/>
        <v>2222</v>
      </c>
      <c r="M137" s="151" t="str">
        <f t="shared" si="1"/>
        <v>TVQ A RECEVOIR</v>
      </c>
      <c r="N137" s="152">
        <f>+IF(OR($Q137=Parametres!$G$2,$Q137=Parametres!$G$3),I137,C137)</f>
        <v>53769.3</v>
      </c>
      <c r="O137" s="152">
        <f>+IF(OR($Q137=Parametres!$G$2,$Q137=Parametres!$G$3),J137,D137)</f>
        <v>-617.29999999999995</v>
      </c>
      <c r="P137" s="152">
        <f>+IF(OR($Q137=Parametres!$G$2,$Q137=Parametres!$G$3),K137,E137)</f>
        <v>53152</v>
      </c>
      <c r="Q137" s="151" t="str">
        <f t="shared" si="10"/>
        <v>3-Passifs</v>
      </c>
      <c r="R137" s="150" t="str">
        <f t="shared" si="10"/>
        <v>2221</v>
      </c>
      <c r="S137" s="151">
        <f t="shared" si="10"/>
        <v>0</v>
      </c>
      <c r="T137" s="153">
        <f>+VLOOKUP($L137,Data_Validation!$A:$D,1,0)</f>
        <v>2222</v>
      </c>
      <c r="U137" s="153" t="str">
        <f>+VLOOKUP($L137,Data_Validation!$A:$D,3,0)</f>
        <v>Bilan</v>
      </c>
      <c r="V137" s="153" t="str">
        <f>+VLOOKUP($L137,Data_Validation!$A:$D,4,0)</f>
        <v>Taxes de Vente à Payer</v>
      </c>
      <c r="W137" s="153" t="str">
        <f>+VLOOKUP($L137,Data_Validation!$A:$E,5,0)</f>
        <v>$</v>
      </c>
      <c r="X137" s="153">
        <f>+VLOOKUP($L137,Data_Validation!$A:$F,6,0)</f>
        <v>0</v>
      </c>
    </row>
    <row r="138" spans="1:24" ht="15" customHeight="1">
      <c r="A138" s="1236" t="s">
        <v>2804</v>
      </c>
      <c r="B138" s="1237">
        <v>2223</v>
      </c>
      <c r="C138" s="1239">
        <v>-297143.73</v>
      </c>
      <c r="D138" s="1239">
        <v>-39613.870000000003</v>
      </c>
      <c r="E138" s="1239">
        <v>-336757.6</v>
      </c>
      <c r="F138" s="1236" t="s">
        <v>279</v>
      </c>
      <c r="G138" s="1236" t="s">
        <v>2059</v>
      </c>
      <c r="H138" s="1243"/>
      <c r="I138" s="1244"/>
      <c r="J138" s="1244"/>
      <c r="K138" s="1244"/>
      <c r="L138" s="150">
        <f t="shared" si="0"/>
        <v>2223</v>
      </c>
      <c r="M138" s="151" t="str">
        <f t="shared" si="1"/>
        <v>TPS A PAYER</v>
      </c>
      <c r="N138" s="152">
        <f>+IF(OR($Q138=Parametres!$G$2,$Q138=Parametres!$G$3),I138,C138)</f>
        <v>-297143.73</v>
      </c>
      <c r="O138" s="152">
        <f>+IF(OR($Q138=Parametres!$G$2,$Q138=Parametres!$G$3),J138,D138)</f>
        <v>-39613.870000000003</v>
      </c>
      <c r="P138" s="152">
        <f>+IF(OR($Q138=Parametres!$G$2,$Q138=Parametres!$G$3),K138,E138)</f>
        <v>-336757.6</v>
      </c>
      <c r="Q138" s="151" t="str">
        <f t="shared" si="10"/>
        <v>3-Passifs</v>
      </c>
      <c r="R138" s="150" t="str">
        <f t="shared" si="10"/>
        <v>2223</v>
      </c>
      <c r="S138" s="151">
        <f t="shared" si="10"/>
        <v>0</v>
      </c>
      <c r="T138" s="153">
        <f>+VLOOKUP($L138,Data_Validation!$A:$D,1,0)</f>
        <v>2223</v>
      </c>
      <c r="U138" s="153" t="str">
        <f>+VLOOKUP($L138,Data_Validation!$A:$D,3,0)</f>
        <v>Bilan</v>
      </c>
      <c r="V138" s="153" t="str">
        <f>+VLOOKUP($L138,Data_Validation!$A:$D,4,0)</f>
        <v>Taxes de Vente à Payer</v>
      </c>
      <c r="W138" s="153" t="str">
        <f>+VLOOKUP($L138,Data_Validation!$A:$E,5,0)</f>
        <v>$</v>
      </c>
      <c r="X138" s="153">
        <f>+VLOOKUP($L138,Data_Validation!$A:$F,6,0)</f>
        <v>0</v>
      </c>
    </row>
    <row r="139" spans="1:24" ht="15.75" customHeight="1">
      <c r="A139" s="1236" t="s">
        <v>2057</v>
      </c>
      <c r="B139" s="1237">
        <v>2224</v>
      </c>
      <c r="C139" s="1239">
        <v>242591.76</v>
      </c>
      <c r="D139" s="1239">
        <v>93531.98</v>
      </c>
      <c r="E139" s="1239">
        <v>336123.74</v>
      </c>
      <c r="F139" s="1236" t="s">
        <v>279</v>
      </c>
      <c r="G139" s="1236" t="s">
        <v>2059</v>
      </c>
      <c r="H139" s="1243"/>
      <c r="I139" s="1244"/>
      <c r="J139" s="1244"/>
      <c r="K139" s="1244"/>
      <c r="L139" s="150">
        <f t="shared" si="0"/>
        <v>2224</v>
      </c>
      <c r="M139" s="151" t="str">
        <f t="shared" si="1"/>
        <v>TPS A RECEVOIR</v>
      </c>
      <c r="N139" s="152">
        <f>+IF(OR($Q139=Parametres!$G$2,$Q139=Parametres!$G$3),I139,C139)</f>
        <v>242591.76</v>
      </c>
      <c r="O139" s="152">
        <f>+IF(OR($Q139=Parametres!$G$2,$Q139=Parametres!$G$3),J139,D139)</f>
        <v>93531.98</v>
      </c>
      <c r="P139" s="152">
        <f>+IF(OR($Q139=Parametres!$G$2,$Q139=Parametres!$G$3),K139,E139)</f>
        <v>336123.74</v>
      </c>
      <c r="Q139" s="151" t="str">
        <f t="shared" si="10"/>
        <v>3-Passifs</v>
      </c>
      <c r="R139" s="150" t="str">
        <f t="shared" si="10"/>
        <v>2223</v>
      </c>
      <c r="S139" s="151">
        <f t="shared" si="10"/>
        <v>0</v>
      </c>
      <c r="T139" s="153">
        <f>+VLOOKUP($L139,Data_Validation!$A:$D,1,0)</f>
        <v>2224</v>
      </c>
      <c r="U139" s="153" t="str">
        <f>+VLOOKUP($L139,Data_Validation!$A:$D,3,0)</f>
        <v>Bilan</v>
      </c>
      <c r="V139" s="153" t="str">
        <f>+VLOOKUP($L139,Data_Validation!$A:$D,4,0)</f>
        <v>Taxes de Vente à Payer</v>
      </c>
      <c r="W139" s="153" t="str">
        <f>+VLOOKUP($L139,Data_Validation!$A:$E,5,0)</f>
        <v>$</v>
      </c>
      <c r="X139" s="153">
        <f>+VLOOKUP($L139,Data_Validation!$A:$F,6,0)</f>
        <v>0</v>
      </c>
    </row>
    <row r="140" spans="1:24" ht="15" customHeight="1">
      <c r="A140" s="1236" t="s">
        <v>2607</v>
      </c>
      <c r="B140" s="1237">
        <v>2225</v>
      </c>
      <c r="C140" s="1239">
        <v>-1647</v>
      </c>
      <c r="D140" s="1239">
        <v>-324</v>
      </c>
      <c r="E140" s="1239">
        <v>-1971</v>
      </c>
      <c r="F140" s="1236" t="s">
        <v>279</v>
      </c>
      <c r="G140" s="1236" t="s">
        <v>2050</v>
      </c>
      <c r="H140" s="1243"/>
      <c r="I140" s="1244"/>
      <c r="J140" s="1244"/>
      <c r="K140" s="1244"/>
      <c r="L140" s="150">
        <f t="shared" si="0"/>
        <v>2225</v>
      </c>
      <c r="M140" s="151" t="str">
        <f t="shared" si="1"/>
        <v>DROIT SUR PNEUS</v>
      </c>
      <c r="N140" s="152">
        <f>+IF(OR($Q140=Parametres!$G$2,$Q140=Parametres!$G$3),I140,C140)</f>
        <v>-1647</v>
      </c>
      <c r="O140" s="152">
        <f>+IF(OR($Q140=Parametres!$G$2,$Q140=Parametres!$G$3),J140,D140)</f>
        <v>-324</v>
      </c>
      <c r="P140" s="152">
        <f>+IF(OR($Q140=Parametres!$G$2,$Q140=Parametres!$G$3),K140,E140)</f>
        <v>-1971</v>
      </c>
      <c r="Q140" s="151" t="str">
        <f t="shared" si="10"/>
        <v>3-Passifs</v>
      </c>
      <c r="R140" s="150" t="str">
        <f t="shared" si="10"/>
        <v>2221</v>
      </c>
      <c r="S140" s="151">
        <f t="shared" si="10"/>
        <v>0</v>
      </c>
      <c r="T140" s="153">
        <f>+VLOOKUP($L140,Data_Validation!$A:$D,1,0)</f>
        <v>2225</v>
      </c>
      <c r="U140" s="153" t="str">
        <f>+VLOOKUP($L140,Data_Validation!$A:$D,3,0)</f>
        <v>Bilan</v>
      </c>
      <c r="V140" s="153" t="str">
        <f>+VLOOKUP($L140,Data_Validation!$A:$D,4,0)</f>
        <v>Taxes de Vente à Payer</v>
      </c>
      <c r="W140" s="153" t="str">
        <f>+VLOOKUP($L140,Data_Validation!$A:$E,5,0)</f>
        <v>$</v>
      </c>
      <c r="X140" s="153">
        <f>+VLOOKUP($L140,Data_Validation!$A:$F,6,0)</f>
        <v>0</v>
      </c>
    </row>
    <row r="141" spans="1:24" ht="15" customHeight="1">
      <c r="A141" s="1236" t="s">
        <v>2809</v>
      </c>
      <c r="B141" s="1237">
        <v>2281</v>
      </c>
      <c r="C141" s="1239">
        <v>-447614.91</v>
      </c>
      <c r="D141" s="1239">
        <v>-94552.79</v>
      </c>
      <c r="E141" s="1239">
        <v>-542167.69999999995</v>
      </c>
      <c r="F141" s="1236" t="s">
        <v>279</v>
      </c>
      <c r="G141" s="1236" t="s">
        <v>2127</v>
      </c>
      <c r="H141" s="1243"/>
      <c r="I141" s="1244"/>
      <c r="J141" s="1244"/>
      <c r="K141" s="1244"/>
      <c r="L141" s="150">
        <f t="shared" si="0"/>
        <v>2281</v>
      </c>
      <c r="M141" s="151" t="str">
        <f t="shared" si="1"/>
        <v>LIEN A PAYER</v>
      </c>
      <c r="N141" s="152">
        <f>+IF(OR($Q141=Parametres!$G$2,$Q141=Parametres!$G$3),I141,C141)</f>
        <v>-447614.91</v>
      </c>
      <c r="O141" s="152">
        <f>+IF(OR($Q141=Parametres!$G$2,$Q141=Parametres!$G$3),J141,D141)</f>
        <v>-94552.79</v>
      </c>
      <c r="P141" s="152">
        <f>+IF(OR($Q141=Parametres!$G$2,$Q141=Parametres!$G$3),K141,E141)</f>
        <v>-542167.69999999995</v>
      </c>
      <c r="Q141" s="151" t="str">
        <f t="shared" si="10"/>
        <v>3-Passifs</v>
      </c>
      <c r="R141" s="150" t="str">
        <f t="shared" si="10"/>
        <v>2283</v>
      </c>
      <c r="S141" s="151">
        <f t="shared" si="10"/>
        <v>0</v>
      </c>
      <c r="T141" s="153">
        <f>+VLOOKUP($L141,Data_Validation!$A:$D,1,0)</f>
        <v>2281</v>
      </c>
      <c r="U141" s="153" t="str">
        <f>+VLOOKUP($L141,Data_Validation!$A:$D,3,0)</f>
        <v>Bilan</v>
      </c>
      <c r="V141" s="153" t="str">
        <f>+VLOOKUP($L141,Data_Validation!$A:$D,4,0)</f>
        <v>Autres Comptes à Payer</v>
      </c>
      <c r="W141" s="153" t="str">
        <f>+VLOOKUP($L141,Data_Validation!$A:$E,5,0)</f>
        <v>$</v>
      </c>
      <c r="X141" s="153">
        <f>+VLOOKUP($L141,Data_Validation!$A:$F,6,0)</f>
        <v>0</v>
      </c>
    </row>
    <row r="142" spans="1:24" ht="15" customHeight="1">
      <c r="A142" s="1236" t="s">
        <v>2166</v>
      </c>
      <c r="B142" s="1237">
        <v>2283</v>
      </c>
      <c r="C142" s="1239">
        <v>-1722.5</v>
      </c>
      <c r="D142" s="1239">
        <v>-1070</v>
      </c>
      <c r="E142" s="1239">
        <v>-2792.5</v>
      </c>
      <c r="F142" s="1236" t="s">
        <v>279</v>
      </c>
      <c r="G142" s="1236" t="s">
        <v>2127</v>
      </c>
      <c r="H142" s="1243"/>
      <c r="I142" s="1244"/>
      <c r="J142" s="1244"/>
      <c r="K142" s="1244"/>
      <c r="L142" s="150">
        <f t="shared" si="0"/>
        <v>2283</v>
      </c>
      <c r="M142" s="151" t="str">
        <f t="shared" si="1"/>
        <v>PLAQUE A PAYER</v>
      </c>
      <c r="N142" s="152">
        <f>+IF(OR($Q142=Parametres!$G$2,$Q142=Parametres!$G$3),I142,C142)</f>
        <v>-1722.5</v>
      </c>
      <c r="O142" s="152">
        <f>+IF(OR($Q142=Parametres!$G$2,$Q142=Parametres!$G$3),J142,D142)</f>
        <v>-1070</v>
      </c>
      <c r="P142" s="152">
        <f>+IF(OR($Q142=Parametres!$G$2,$Q142=Parametres!$G$3),K142,E142)</f>
        <v>-2792.5</v>
      </c>
      <c r="Q142" s="151" t="str">
        <f t="shared" si="10"/>
        <v>3-Passifs</v>
      </c>
      <c r="R142" s="150" t="str">
        <f t="shared" si="10"/>
        <v>2283</v>
      </c>
      <c r="S142" s="151">
        <f t="shared" si="10"/>
        <v>0</v>
      </c>
      <c r="T142" s="153">
        <f>+VLOOKUP($L142,Data_Validation!$A:$D,1,0)</f>
        <v>2283</v>
      </c>
      <c r="U142" s="153" t="str">
        <f>+VLOOKUP($L142,Data_Validation!$A:$D,3,0)</f>
        <v>Bilan</v>
      </c>
      <c r="V142" s="153" t="str">
        <f>+VLOOKUP($L142,Data_Validation!$A:$D,4,0)</f>
        <v>Autres Comptes à Payer</v>
      </c>
      <c r="W142" s="153" t="str">
        <f>+VLOOKUP($L142,Data_Validation!$A:$E,5,0)</f>
        <v>$</v>
      </c>
      <c r="X142" s="153">
        <f>+VLOOKUP($L142,Data_Validation!$A:$F,6,0)</f>
        <v>0</v>
      </c>
    </row>
    <row r="143" spans="1:24" ht="15.75" customHeight="1">
      <c r="A143" s="1236" t="s">
        <v>2763</v>
      </c>
      <c r="B143" s="1237">
        <v>2285</v>
      </c>
      <c r="C143" s="1239">
        <v>-86188.95</v>
      </c>
      <c r="D143" s="1239">
        <v>-5735.6</v>
      </c>
      <c r="E143" s="1239">
        <v>-91924.55</v>
      </c>
      <c r="F143" s="1236" t="s">
        <v>279</v>
      </c>
      <c r="G143" s="1236" t="s">
        <v>2127</v>
      </c>
      <c r="H143" s="1243"/>
      <c r="I143" s="1244"/>
      <c r="J143" s="1244"/>
      <c r="K143" s="1244"/>
      <c r="L143" s="150">
        <f t="shared" si="0"/>
        <v>2285</v>
      </c>
      <c r="M143" s="151" t="str">
        <f t="shared" si="1"/>
        <v>PROTECTIONS A PAYER</v>
      </c>
      <c r="N143" s="152">
        <f>+IF(OR($Q143=Parametres!$G$2,$Q143=Parametres!$G$3),I143,C143)</f>
        <v>-86188.95</v>
      </c>
      <c r="O143" s="152">
        <f>+IF(OR($Q143=Parametres!$G$2,$Q143=Parametres!$G$3),J143,D143)</f>
        <v>-5735.6</v>
      </c>
      <c r="P143" s="152">
        <f>+IF(OR($Q143=Parametres!$G$2,$Q143=Parametres!$G$3),K143,E143)</f>
        <v>-91924.55</v>
      </c>
      <c r="Q143" s="151" t="str">
        <f t="shared" si="10"/>
        <v>3-Passifs</v>
      </c>
      <c r="R143" s="150" t="str">
        <f t="shared" si="10"/>
        <v>2283</v>
      </c>
      <c r="S143" s="151">
        <f t="shared" si="10"/>
        <v>0</v>
      </c>
      <c r="T143" s="153">
        <f>+VLOOKUP($L143,Data_Validation!$A:$D,1,0)</f>
        <v>2285</v>
      </c>
      <c r="U143" s="153" t="str">
        <f>+VLOOKUP($L143,Data_Validation!$A:$D,3,0)</f>
        <v>Bilan</v>
      </c>
      <c r="V143" s="153" t="str">
        <f>+VLOOKUP($L143,Data_Validation!$A:$D,4,0)</f>
        <v>Autres Comptes à Payer</v>
      </c>
      <c r="W143" s="153" t="str">
        <f>+VLOOKUP($L143,Data_Validation!$A:$E,5,0)</f>
        <v>$</v>
      </c>
      <c r="X143" s="153">
        <f>+VLOOKUP($L143,Data_Validation!$A:$F,6,0)</f>
        <v>0</v>
      </c>
    </row>
    <row r="144" spans="1:24" ht="15" customHeight="1">
      <c r="A144" s="1236" t="s">
        <v>2737</v>
      </c>
      <c r="B144" s="1237">
        <v>2287</v>
      </c>
      <c r="C144" s="1239">
        <v>-4549.72</v>
      </c>
      <c r="D144" s="1239">
        <v>-7174.64</v>
      </c>
      <c r="E144" s="1239">
        <v>-11724.36</v>
      </c>
      <c r="F144" s="1236" t="s">
        <v>279</v>
      </c>
      <c r="G144" s="1236" t="s">
        <v>2127</v>
      </c>
      <c r="H144" s="1243"/>
      <c r="I144" s="1244"/>
      <c r="J144" s="1244"/>
      <c r="K144" s="1244"/>
      <c r="L144" s="150">
        <f t="shared" si="0"/>
        <v>2287</v>
      </c>
      <c r="M144" s="151" t="str">
        <f t="shared" si="1"/>
        <v>A PAYER INVAPLAN</v>
      </c>
      <c r="N144" s="152">
        <f>+IF(OR($Q144=Parametres!$G$2,$Q144=Parametres!$G$3),I144,C144)</f>
        <v>-4549.72</v>
      </c>
      <c r="O144" s="152">
        <f>+IF(OR($Q144=Parametres!$G$2,$Q144=Parametres!$G$3),J144,D144)</f>
        <v>-7174.64</v>
      </c>
      <c r="P144" s="152">
        <f>+IF(OR($Q144=Parametres!$G$2,$Q144=Parametres!$G$3),K144,E144)</f>
        <v>-11724.36</v>
      </c>
      <c r="Q144" s="151" t="str">
        <f t="shared" si="10"/>
        <v>3-Passifs</v>
      </c>
      <c r="R144" s="150" t="str">
        <f t="shared" si="10"/>
        <v>2283</v>
      </c>
      <c r="S144" s="151">
        <f t="shared" si="10"/>
        <v>0</v>
      </c>
      <c r="T144" s="153">
        <f>+VLOOKUP($L144,Data_Validation!$A:$D,1,0)</f>
        <v>2287</v>
      </c>
      <c r="U144" s="153" t="str">
        <f>+VLOOKUP($L144,Data_Validation!$A:$D,3,0)</f>
        <v>Bilan</v>
      </c>
      <c r="V144" s="153" t="str">
        <f>+VLOOKUP($L144,Data_Validation!$A:$D,4,0)</f>
        <v>Autres Comptes à Payer</v>
      </c>
      <c r="W144" s="153" t="str">
        <f>+VLOOKUP($L144,Data_Validation!$A:$E,5,0)</f>
        <v>$</v>
      </c>
      <c r="X144" s="153">
        <f>+VLOOKUP($L144,Data_Validation!$A:$F,6,0)</f>
        <v>0</v>
      </c>
    </row>
    <row r="145" spans="1:24" ht="15" customHeight="1">
      <c r="A145" s="1236" t="s">
        <v>2002</v>
      </c>
      <c r="B145" s="1237">
        <v>2291</v>
      </c>
      <c r="C145" s="1239">
        <v>-59780.47</v>
      </c>
      <c r="D145" s="1239">
        <v>-14705.89</v>
      </c>
      <c r="E145" s="1239">
        <v>-74486.36</v>
      </c>
      <c r="F145" s="1236" t="s">
        <v>279</v>
      </c>
      <c r="G145" s="1236" t="s">
        <v>2003</v>
      </c>
      <c r="H145" s="1245"/>
      <c r="I145" s="1245"/>
      <c r="J145" s="1245"/>
      <c r="K145" s="1245"/>
      <c r="L145" s="150">
        <f t="shared" si="0"/>
        <v>2291</v>
      </c>
      <c r="M145" s="151" t="str">
        <f t="shared" si="1"/>
        <v>COMPTES FOURNISSEURS</v>
      </c>
      <c r="N145" s="152">
        <f>+IF(OR($Q145=Parametres!$G$2,$Q145=Parametres!$G$3),I145,C145)</f>
        <v>-59780.47</v>
      </c>
      <c r="O145" s="152">
        <f>+IF(OR($Q145=Parametres!$G$2,$Q145=Parametres!$G$3),J145,D145)</f>
        <v>-14705.89</v>
      </c>
      <c r="P145" s="152">
        <f>+IF(OR($Q145=Parametres!$G$2,$Q145=Parametres!$G$3),K145,E145)</f>
        <v>-74486.36</v>
      </c>
      <c r="Q145" s="151" t="str">
        <f t="shared" si="10"/>
        <v>3-Passifs</v>
      </c>
      <c r="R145" s="150" t="str">
        <f t="shared" si="10"/>
        <v>2291</v>
      </c>
      <c r="S145" s="151">
        <f t="shared" si="10"/>
        <v>0</v>
      </c>
      <c r="T145" s="153">
        <f>+VLOOKUP($L145,Data_Validation!$A:$D,1,0)</f>
        <v>2291</v>
      </c>
      <c r="U145" s="153" t="str">
        <f>+VLOOKUP($L145,Data_Validation!$A:$D,3,0)</f>
        <v>Bilan</v>
      </c>
      <c r="V145" s="153" t="str">
        <f>+VLOOKUP($L145,Data_Validation!$A:$D,4,0)</f>
        <v>Comptes à Payer Fournisseurs</v>
      </c>
      <c r="W145" s="153" t="str">
        <f>+VLOOKUP($L145,Data_Validation!$A:$E,5,0)</f>
        <v>$</v>
      </c>
      <c r="X145" s="153">
        <f>+VLOOKUP($L145,Data_Validation!$A:$F,6,0)</f>
        <v>0</v>
      </c>
    </row>
    <row r="146" spans="1:24" ht="15" customHeight="1">
      <c r="A146" s="1236" t="s">
        <v>2042</v>
      </c>
      <c r="B146" s="1237">
        <v>2292</v>
      </c>
      <c r="C146" s="1239">
        <v>-37708.65</v>
      </c>
      <c r="D146" s="1239">
        <v>37708.65</v>
      </c>
      <c r="E146" s="1239">
        <v>0</v>
      </c>
      <c r="F146" s="1236" t="s">
        <v>279</v>
      </c>
      <c r="G146" s="1236" t="s">
        <v>2003</v>
      </c>
      <c r="H146" s="1245"/>
      <c r="I146" s="1245"/>
      <c r="J146" s="1245"/>
      <c r="K146" s="1245"/>
      <c r="L146" s="150">
        <f t="shared" si="0"/>
        <v>2292</v>
      </c>
      <c r="M146" s="151" t="str">
        <f t="shared" si="1"/>
        <v>ECHANGE ENTRE CONCESSIONNAIRES</v>
      </c>
      <c r="N146" s="152">
        <f>+IF(OR($Q146=Parametres!$G$2,$Q146=Parametres!$G$3),I146,C146)</f>
        <v>-37708.65</v>
      </c>
      <c r="O146" s="152">
        <f>+IF(OR($Q146=Parametres!$G$2,$Q146=Parametres!$G$3),J146,D146)</f>
        <v>37708.65</v>
      </c>
      <c r="P146" s="152">
        <f>+IF(OR($Q146=Parametres!$G$2,$Q146=Parametres!$G$3),K146,E146)</f>
        <v>0</v>
      </c>
      <c r="Q146" s="151" t="str">
        <f t="shared" ref="Q146:S161" si="11">+F146</f>
        <v>3-Passifs</v>
      </c>
      <c r="R146" s="150" t="str">
        <f t="shared" si="11"/>
        <v>2291</v>
      </c>
      <c r="S146" s="151">
        <f t="shared" si="11"/>
        <v>0</v>
      </c>
      <c r="T146" s="153">
        <f>+VLOOKUP($L146,Data_Validation!$A:$D,1,0)</f>
        <v>2292</v>
      </c>
      <c r="U146" s="153" t="str">
        <f>+VLOOKUP($L146,Data_Validation!$A:$D,3,0)</f>
        <v>Bilan</v>
      </c>
      <c r="V146" s="153" t="str">
        <f>+VLOOKUP($L146,Data_Validation!$A:$D,4,0)</f>
        <v>Autres Comptes à Payer</v>
      </c>
      <c r="W146" s="153" t="str">
        <f>+VLOOKUP($L146,Data_Validation!$A:$E,5,0)</f>
        <v>$</v>
      </c>
      <c r="X146" s="153">
        <f>+VLOOKUP($L146,Data_Validation!$A:$F,6,0)</f>
        <v>0</v>
      </c>
    </row>
    <row r="147" spans="1:24" ht="15" customHeight="1">
      <c r="A147" s="1236" t="s">
        <v>2125</v>
      </c>
      <c r="B147" s="1237">
        <v>2293</v>
      </c>
      <c r="C147" s="1239">
        <v>-8448.81</v>
      </c>
      <c r="D147" s="1239">
        <v>2251.9</v>
      </c>
      <c r="E147" s="1239">
        <v>-6196.91</v>
      </c>
      <c r="F147" s="1236" t="s">
        <v>279</v>
      </c>
      <c r="G147" s="1236" t="s">
        <v>2127</v>
      </c>
      <c r="H147" s="1245"/>
      <c r="I147" s="1245"/>
      <c r="J147" s="1245"/>
      <c r="K147" s="1245"/>
      <c r="L147" s="150">
        <f t="shared" si="0"/>
        <v>2293</v>
      </c>
      <c r="M147" s="151" t="str">
        <f t="shared" si="1"/>
        <v>PROVISIONS GARANTIES USAGEES</v>
      </c>
      <c r="N147" s="152">
        <f>+IF(OR($Q147=Parametres!$G$2,$Q147=Parametres!$G$3),I147,C147)</f>
        <v>-8448.81</v>
      </c>
      <c r="O147" s="152">
        <f>+IF(OR($Q147=Parametres!$G$2,$Q147=Parametres!$G$3),J147,D147)</f>
        <v>2251.9</v>
      </c>
      <c r="P147" s="152">
        <f>+IF(OR($Q147=Parametres!$G$2,$Q147=Parametres!$G$3),K147,E147)</f>
        <v>-6196.91</v>
      </c>
      <c r="Q147" s="151" t="str">
        <f t="shared" si="11"/>
        <v>3-Passifs</v>
      </c>
      <c r="R147" s="150" t="str">
        <f t="shared" si="11"/>
        <v>2283</v>
      </c>
      <c r="S147" s="151">
        <f t="shared" si="11"/>
        <v>0</v>
      </c>
      <c r="T147" s="153">
        <f>+VLOOKUP($L147,Data_Validation!$A:$D,1,0)</f>
        <v>2293</v>
      </c>
      <c r="U147" s="153" t="str">
        <f>+VLOOKUP($L147,Data_Validation!$A:$D,3,0)</f>
        <v>Bilan</v>
      </c>
      <c r="V147" s="153" t="str">
        <f>+VLOOKUP($L147,Data_Validation!$A:$D,4,0)</f>
        <v>Autres Courus</v>
      </c>
      <c r="W147" s="153" t="str">
        <f>+VLOOKUP($L147,Data_Validation!$A:$E,5,0)</f>
        <v>$</v>
      </c>
      <c r="X147" s="153">
        <f>+VLOOKUP($L147,Data_Validation!$A:$F,6,0)</f>
        <v>0</v>
      </c>
    </row>
    <row r="148" spans="1:24" ht="15" customHeight="1">
      <c r="A148" s="1236" t="s">
        <v>2410</v>
      </c>
      <c r="B148" s="1237">
        <v>2295</v>
      </c>
      <c r="C148" s="1239">
        <v>-105.35</v>
      </c>
      <c r="D148" s="1239">
        <v>-20</v>
      </c>
      <c r="E148" s="1239">
        <v>-125.35</v>
      </c>
      <c r="F148" s="1236" t="s">
        <v>279</v>
      </c>
      <c r="G148" s="1236" t="s">
        <v>2126</v>
      </c>
      <c r="H148" s="1245"/>
      <c r="I148" s="1245"/>
      <c r="J148" s="1245"/>
      <c r="K148" s="1245"/>
      <c r="L148" s="150">
        <f t="shared" si="0"/>
        <v>2295</v>
      </c>
      <c r="M148" s="151" t="str">
        <f t="shared" si="1"/>
        <v>RESERVE ESSENCE</v>
      </c>
      <c r="N148" s="152">
        <f>+IF(OR($Q148=Parametres!$G$2,$Q148=Parametres!$G$3),I148,C148)</f>
        <v>-105.35</v>
      </c>
      <c r="O148" s="152">
        <f>+IF(OR($Q148=Parametres!$G$2,$Q148=Parametres!$G$3),J148,D148)</f>
        <v>-20</v>
      </c>
      <c r="P148" s="152">
        <f>+IF(OR($Q148=Parametres!$G$2,$Q148=Parametres!$G$3),K148,E148)</f>
        <v>-125.35</v>
      </c>
      <c r="Q148" s="151" t="str">
        <f t="shared" si="11"/>
        <v>3-Passifs</v>
      </c>
      <c r="R148" s="150" t="str">
        <f t="shared" si="11"/>
        <v>2293</v>
      </c>
      <c r="S148" s="151">
        <f t="shared" si="11"/>
        <v>0</v>
      </c>
      <c r="T148" s="153">
        <f>+VLOOKUP($L148,Data_Validation!$A:$D,1,0)</f>
        <v>2295</v>
      </c>
      <c r="U148" s="153" t="str">
        <f>+VLOOKUP($L148,Data_Validation!$A:$D,3,0)</f>
        <v>Bilan</v>
      </c>
      <c r="V148" s="153" t="str">
        <f>+VLOOKUP($L148,Data_Validation!$A:$D,4,0)</f>
        <v>Autres Courus</v>
      </c>
      <c r="W148" s="153" t="str">
        <f>+VLOOKUP($L148,Data_Validation!$A:$E,5,0)</f>
        <v>$</v>
      </c>
      <c r="X148" s="153">
        <f>+VLOOKUP($L148,Data_Validation!$A:$F,6,0)</f>
        <v>0</v>
      </c>
    </row>
    <row r="149" spans="1:24" ht="15" customHeight="1">
      <c r="A149" s="1236" t="s">
        <v>2139</v>
      </c>
      <c r="B149" s="1237">
        <v>2297</v>
      </c>
      <c r="C149" s="1239">
        <v>-13500</v>
      </c>
      <c r="D149" s="1239">
        <v>-5400</v>
      </c>
      <c r="E149" s="1239">
        <v>-18900</v>
      </c>
      <c r="F149" s="1236" t="s">
        <v>279</v>
      </c>
      <c r="G149" s="1236" t="s">
        <v>2127</v>
      </c>
      <c r="H149" s="1245"/>
      <c r="I149" s="1245"/>
      <c r="J149" s="1245"/>
      <c r="K149" s="1245"/>
      <c r="L149" s="150">
        <f t="shared" si="0"/>
        <v>2297</v>
      </c>
      <c r="M149" s="151" t="str">
        <f t="shared" si="1"/>
        <v>RESERVE RENOUVELLEMENT</v>
      </c>
      <c r="N149" s="152">
        <f>+IF(OR($Q149=Parametres!$G$2,$Q149=Parametres!$G$3),I149,C149)</f>
        <v>-13500</v>
      </c>
      <c r="O149" s="152">
        <f>+IF(OR($Q149=Parametres!$G$2,$Q149=Parametres!$G$3),J149,D149)</f>
        <v>-5400</v>
      </c>
      <c r="P149" s="152">
        <f>+IF(OR($Q149=Parametres!$G$2,$Q149=Parametres!$G$3),K149,E149)</f>
        <v>-18900</v>
      </c>
      <c r="Q149" s="151" t="str">
        <f t="shared" si="11"/>
        <v>3-Passifs</v>
      </c>
      <c r="R149" s="150" t="str">
        <f t="shared" si="11"/>
        <v>2283</v>
      </c>
      <c r="S149" s="151">
        <f t="shared" si="11"/>
        <v>0</v>
      </c>
      <c r="T149" s="153">
        <f>+VLOOKUP($L149,Data_Validation!$A:$D,1,0)</f>
        <v>2297</v>
      </c>
      <c r="U149" s="153" t="str">
        <f>+VLOOKUP($L149,Data_Validation!$A:$D,3,0)</f>
        <v>Bilan</v>
      </c>
      <c r="V149" s="153" t="str">
        <f>+VLOOKUP($L149,Data_Validation!$A:$D,4,0)</f>
        <v>Autres Courus</v>
      </c>
      <c r="W149" s="153" t="str">
        <f>+VLOOKUP($L149,Data_Validation!$A:$E,5,0)</f>
        <v>$</v>
      </c>
      <c r="X149" s="153">
        <f>+VLOOKUP($L149,Data_Validation!$A:$F,6,0)</f>
        <v>0</v>
      </c>
    </row>
    <row r="150" spans="1:24" ht="15" customHeight="1">
      <c r="A150" s="1236" t="s">
        <v>2701</v>
      </c>
      <c r="B150" s="1237">
        <v>2315</v>
      </c>
      <c r="C150" s="1239">
        <v>4292.32</v>
      </c>
      <c r="D150" s="1239">
        <v>1525.66</v>
      </c>
      <c r="E150" s="1239">
        <v>5817.98</v>
      </c>
      <c r="F150" s="1236" t="s">
        <v>279</v>
      </c>
      <c r="G150" s="1236" t="s">
        <v>2155</v>
      </c>
      <c r="H150" s="1245"/>
      <c r="I150" s="1245"/>
      <c r="J150" s="1245"/>
      <c r="K150" s="1245"/>
      <c r="L150" s="150">
        <f t="shared" si="0"/>
        <v>2315</v>
      </c>
      <c r="M150" s="151" t="str">
        <f t="shared" si="1"/>
        <v>PRIME ASSURANCE GROUPE</v>
      </c>
      <c r="N150" s="152">
        <f>+IF(OR($Q150=Parametres!$G$2,$Q150=Parametres!$G$3),I150,C150)</f>
        <v>4292.32</v>
      </c>
      <c r="O150" s="152">
        <f>+IF(OR($Q150=Parametres!$G$2,$Q150=Parametres!$G$3),J150,D150)</f>
        <v>1525.66</v>
      </c>
      <c r="P150" s="152">
        <f>+IF(OR($Q150=Parametres!$G$2,$Q150=Parametres!$G$3),K150,E150)</f>
        <v>5817.98</v>
      </c>
      <c r="Q150" s="151" t="str">
        <f t="shared" si="11"/>
        <v>3-Passifs</v>
      </c>
      <c r="R150" s="150" t="str">
        <f t="shared" si="11"/>
        <v>2315</v>
      </c>
      <c r="S150" s="151">
        <f t="shared" si="11"/>
        <v>0</v>
      </c>
      <c r="T150" s="153">
        <f>+VLOOKUP($L150,Data_Validation!$A:$D,1,0)</f>
        <v>2315</v>
      </c>
      <c r="U150" s="153" t="str">
        <f>+VLOOKUP($L150,Data_Validation!$A:$D,3,0)</f>
        <v>Bilan</v>
      </c>
      <c r="V150" s="153" t="str">
        <f>+VLOOKUP($L150,Data_Validation!$A:$D,4,0)</f>
        <v>DAS à Payer</v>
      </c>
      <c r="W150" s="153" t="str">
        <f>+VLOOKUP($L150,Data_Validation!$A:$E,5,0)</f>
        <v>$</v>
      </c>
      <c r="X150" s="153">
        <f>+VLOOKUP($L150,Data_Validation!$A:$F,6,0)</f>
        <v>0</v>
      </c>
    </row>
    <row r="151" spans="1:24" ht="15.75" customHeight="1">
      <c r="A151" s="1236" t="s">
        <v>2153</v>
      </c>
      <c r="B151" s="1237">
        <v>2335</v>
      </c>
      <c r="C151" s="1239">
        <v>168.61</v>
      </c>
      <c r="D151" s="1239">
        <v>68.510000000000005</v>
      </c>
      <c r="E151" s="1239">
        <v>237.12</v>
      </c>
      <c r="F151" s="1236" t="s">
        <v>279</v>
      </c>
      <c r="G151" s="1236" t="s">
        <v>2155</v>
      </c>
      <c r="H151" s="1245"/>
      <c r="I151" s="1245"/>
      <c r="J151" s="1245"/>
      <c r="K151" s="1245"/>
      <c r="L151" s="150">
        <f t="shared" si="0"/>
        <v>2335</v>
      </c>
      <c r="M151" s="151" t="str">
        <f t="shared" si="1"/>
        <v>COMITE SOCIAL</v>
      </c>
      <c r="N151" s="152">
        <f>+IF(OR($Q151=Parametres!$G$2,$Q151=Parametres!$G$3),I151,C151)</f>
        <v>168.61</v>
      </c>
      <c r="O151" s="152">
        <f>+IF(OR($Q151=Parametres!$G$2,$Q151=Parametres!$G$3),J151,D151)</f>
        <v>68.510000000000005</v>
      </c>
      <c r="P151" s="152">
        <f>+IF(OR($Q151=Parametres!$G$2,$Q151=Parametres!$G$3),K151,E151)</f>
        <v>237.12</v>
      </c>
      <c r="Q151" s="151" t="str">
        <f t="shared" si="11"/>
        <v>3-Passifs</v>
      </c>
      <c r="R151" s="150" t="str">
        <f t="shared" si="11"/>
        <v>2315</v>
      </c>
      <c r="S151" s="151">
        <f t="shared" si="11"/>
        <v>0</v>
      </c>
      <c r="T151" s="153">
        <f>+VLOOKUP($L151,Data_Validation!$A:$D,1,0)</f>
        <v>2335</v>
      </c>
      <c r="U151" s="153" t="str">
        <f>+VLOOKUP($L151,Data_Validation!$A:$D,3,0)</f>
        <v>Bilan</v>
      </c>
      <c r="V151" s="153" t="str">
        <f>+VLOOKUP($L151,Data_Validation!$A:$D,4,0)</f>
        <v>DAS à Payer</v>
      </c>
      <c r="W151" s="153" t="str">
        <f>+VLOOKUP($L151,Data_Validation!$A:$E,5,0)</f>
        <v>$</v>
      </c>
      <c r="X151" s="153">
        <f>+VLOOKUP($L151,Data_Validation!$A:$F,6,0)</f>
        <v>0</v>
      </c>
    </row>
    <row r="152" spans="1:24" ht="15" customHeight="1">
      <c r="A152" s="1236" t="s">
        <v>2740</v>
      </c>
      <c r="B152" s="1237">
        <v>2342</v>
      </c>
      <c r="C152" s="1239">
        <v>-32437.62</v>
      </c>
      <c r="D152" s="1239">
        <v>3783.87</v>
      </c>
      <c r="E152" s="1239">
        <v>-28653.75</v>
      </c>
      <c r="F152" s="1236" t="s">
        <v>279</v>
      </c>
      <c r="G152" s="1236" t="s">
        <v>2155</v>
      </c>
      <c r="H152" s="1245"/>
      <c r="I152" s="1245"/>
      <c r="J152" s="1245"/>
      <c r="K152" s="1245"/>
      <c r="L152" s="150">
        <f t="shared" si="0"/>
        <v>2342</v>
      </c>
      <c r="M152" s="151" t="str">
        <f t="shared" si="1"/>
        <v>REER STANDARD LIFE</v>
      </c>
      <c r="N152" s="152">
        <f>+IF(OR($Q152=Parametres!$G$2,$Q152=Parametres!$G$3),I152,C152)</f>
        <v>-32437.62</v>
      </c>
      <c r="O152" s="152">
        <f>+IF(OR($Q152=Parametres!$G$2,$Q152=Parametres!$G$3),J152,D152)</f>
        <v>3783.87</v>
      </c>
      <c r="P152" s="152">
        <f>+IF(OR($Q152=Parametres!$G$2,$Q152=Parametres!$G$3),K152,E152)</f>
        <v>-28653.75</v>
      </c>
      <c r="Q152" s="151" t="str">
        <f t="shared" si="11"/>
        <v>3-Passifs</v>
      </c>
      <c r="R152" s="150" t="str">
        <f t="shared" si="11"/>
        <v>2315</v>
      </c>
      <c r="S152" s="151">
        <f t="shared" si="11"/>
        <v>0</v>
      </c>
      <c r="T152" s="153">
        <f>+VLOOKUP($L152,Data_Validation!$A:$D,1,0)</f>
        <v>2342</v>
      </c>
      <c r="U152" s="153" t="str">
        <f>+VLOOKUP($L152,Data_Validation!$A:$D,3,0)</f>
        <v>Bilan</v>
      </c>
      <c r="V152" s="153" t="str">
        <f>+VLOOKUP($L152,Data_Validation!$A:$D,4,0)</f>
        <v>DAS à Payer</v>
      </c>
      <c r="W152" s="153" t="str">
        <f>+VLOOKUP($L152,Data_Validation!$A:$E,5,0)</f>
        <v>$</v>
      </c>
      <c r="X152" s="153">
        <f>+VLOOKUP($L152,Data_Validation!$A:$F,6,0)</f>
        <v>0</v>
      </c>
    </row>
    <row r="153" spans="1:24" ht="15" customHeight="1">
      <c r="A153" s="1236" t="s">
        <v>2573</v>
      </c>
      <c r="B153" s="1237">
        <v>2343</v>
      </c>
      <c r="C153" s="1239">
        <v>-602.05999999999995</v>
      </c>
      <c r="D153" s="1239">
        <v>153.28</v>
      </c>
      <c r="E153" s="1239">
        <v>-448.78</v>
      </c>
      <c r="F153" s="1236" t="s">
        <v>279</v>
      </c>
      <c r="G153" s="1236" t="s">
        <v>2155</v>
      </c>
      <c r="H153" s="1245"/>
      <c r="I153" s="1245"/>
      <c r="J153" s="1245"/>
      <c r="K153" s="1245"/>
      <c r="L153" s="150">
        <f t="shared" si="0"/>
        <v>2343</v>
      </c>
      <c r="M153" s="151" t="str">
        <f t="shared" si="1"/>
        <v>COMITE PARITAIRE</v>
      </c>
      <c r="N153" s="152">
        <f>+IF(OR($Q153=Parametres!$G$2,$Q153=Parametres!$G$3),I153,C153)</f>
        <v>-602.05999999999995</v>
      </c>
      <c r="O153" s="152">
        <f>+IF(OR($Q153=Parametres!$G$2,$Q153=Parametres!$G$3),J153,D153)</f>
        <v>153.28</v>
      </c>
      <c r="P153" s="152">
        <f>+IF(OR($Q153=Parametres!$G$2,$Q153=Parametres!$G$3),K153,E153)</f>
        <v>-448.78</v>
      </c>
      <c r="Q153" s="151" t="str">
        <f t="shared" si="11"/>
        <v>3-Passifs</v>
      </c>
      <c r="R153" s="150" t="str">
        <f t="shared" si="11"/>
        <v>2315</v>
      </c>
      <c r="S153" s="151">
        <f t="shared" si="11"/>
        <v>0</v>
      </c>
      <c r="T153" s="153">
        <f>+VLOOKUP($L153,Data_Validation!$A:$D,1,0)</f>
        <v>2343</v>
      </c>
      <c r="U153" s="153" t="str">
        <f>+VLOOKUP($L153,Data_Validation!$A:$D,3,0)</f>
        <v>Bilan</v>
      </c>
      <c r="V153" s="153" t="str">
        <f>+VLOOKUP($L153,Data_Validation!$A:$D,4,0)</f>
        <v>DAS à Payer</v>
      </c>
      <c r="W153" s="153" t="str">
        <f>+VLOOKUP($L153,Data_Validation!$A:$E,5,0)</f>
        <v>$</v>
      </c>
      <c r="X153" s="153">
        <f>+VLOOKUP($L153,Data_Validation!$A:$F,6,0)</f>
        <v>0</v>
      </c>
    </row>
    <row r="154" spans="1:24" ht="15" customHeight="1">
      <c r="A154" s="1236" t="s">
        <v>533</v>
      </c>
      <c r="B154" s="1237">
        <v>2344</v>
      </c>
      <c r="C154" s="1239">
        <v>-253.5</v>
      </c>
      <c r="D154" s="1239">
        <v>-252</v>
      </c>
      <c r="E154" s="1239">
        <v>-505.5</v>
      </c>
      <c r="F154" s="1236" t="s">
        <v>279</v>
      </c>
      <c r="G154" s="1236" t="s">
        <v>2155</v>
      </c>
      <c r="H154" s="1245"/>
      <c r="I154" s="1245"/>
      <c r="J154" s="1245"/>
      <c r="K154" s="1245"/>
      <c r="L154" s="150">
        <f t="shared" si="0"/>
        <v>2344</v>
      </c>
      <c r="M154" s="151" t="str">
        <f t="shared" si="1"/>
        <v>CENTRAIDE</v>
      </c>
      <c r="N154" s="152">
        <f>+IF(OR($Q154=Parametres!$G$2,$Q154=Parametres!$G$3),I154,C154)</f>
        <v>-253.5</v>
      </c>
      <c r="O154" s="152">
        <f>+IF(OR($Q154=Parametres!$G$2,$Q154=Parametres!$G$3),J154,D154)</f>
        <v>-252</v>
      </c>
      <c r="P154" s="152">
        <f>+IF(OR($Q154=Parametres!$G$2,$Q154=Parametres!$G$3),K154,E154)</f>
        <v>-505.5</v>
      </c>
      <c r="Q154" s="151" t="str">
        <f t="shared" si="11"/>
        <v>3-Passifs</v>
      </c>
      <c r="R154" s="150" t="str">
        <f t="shared" si="11"/>
        <v>2315</v>
      </c>
      <c r="S154" s="151">
        <f t="shared" si="11"/>
        <v>0</v>
      </c>
      <c r="T154" s="153">
        <f>+VLOOKUP($L154,Data_Validation!$A:$D,1,0)</f>
        <v>2344</v>
      </c>
      <c r="U154" s="153" t="str">
        <f>+VLOOKUP($L154,Data_Validation!$A:$D,3,0)</f>
        <v>Bilan</v>
      </c>
      <c r="V154" s="153" t="str">
        <f>+VLOOKUP($L154,Data_Validation!$A:$D,4,0)</f>
        <v>DAS à Payer</v>
      </c>
      <c r="W154" s="153" t="str">
        <f>+VLOOKUP($L154,Data_Validation!$A:$E,5,0)</f>
        <v>$</v>
      </c>
      <c r="X154" s="153">
        <f>+VLOOKUP($L154,Data_Validation!$A:$F,6,0)</f>
        <v>0</v>
      </c>
    </row>
    <row r="155" spans="1:24" ht="15.75" customHeight="1">
      <c r="A155" s="1236" t="s">
        <v>2186</v>
      </c>
      <c r="B155" s="1237">
        <v>2401</v>
      </c>
      <c r="C155" s="1239">
        <v>-2440</v>
      </c>
      <c r="D155" s="1239">
        <v>-4510</v>
      </c>
      <c r="E155" s="1239">
        <v>-6950</v>
      </c>
      <c r="F155" s="1236" t="s">
        <v>279</v>
      </c>
      <c r="G155" s="1236" t="s">
        <v>2187</v>
      </c>
      <c r="H155" s="1245"/>
      <c r="I155" s="1245"/>
      <c r="J155" s="1245"/>
      <c r="K155" s="1245"/>
      <c r="L155" s="150">
        <f t="shared" si="0"/>
        <v>2401</v>
      </c>
      <c r="M155" s="151" t="str">
        <f t="shared" si="1"/>
        <v>DEPOTS FIDUCIE-VENTE CLIENTS</v>
      </c>
      <c r="N155" s="152">
        <f>+IF(OR($Q155=Parametres!$G$2,$Q155=Parametres!$G$3),I155,C155)</f>
        <v>-2440</v>
      </c>
      <c r="O155" s="152">
        <f>+IF(OR($Q155=Parametres!$G$2,$Q155=Parametres!$G$3),J155,D155)</f>
        <v>-4510</v>
      </c>
      <c r="P155" s="152">
        <f>+IF(OR($Q155=Parametres!$G$2,$Q155=Parametres!$G$3),K155,E155)</f>
        <v>-6950</v>
      </c>
      <c r="Q155" s="151" t="str">
        <f t="shared" si="11"/>
        <v>3-Passifs</v>
      </c>
      <c r="R155" s="150" t="str">
        <f t="shared" si="11"/>
        <v>2401</v>
      </c>
      <c r="S155" s="151">
        <f t="shared" si="11"/>
        <v>0</v>
      </c>
      <c r="T155" s="153">
        <f>+VLOOKUP($L155,Data_Validation!$A:$D,1,0)</f>
        <v>2401</v>
      </c>
      <c r="U155" s="153" t="str">
        <f>+VLOOKUP($L155,Data_Validation!$A:$D,3,0)</f>
        <v>Bilan</v>
      </c>
      <c r="V155" s="153" t="str">
        <f>+VLOOKUP($L155,Data_Validation!$A:$D,4,0)</f>
        <v>Dépôts de Client</v>
      </c>
      <c r="W155" s="153" t="str">
        <f>+VLOOKUP($L155,Data_Validation!$A:$E,5,0)</f>
        <v>$</v>
      </c>
      <c r="X155" s="153">
        <f>+VLOOKUP($L155,Data_Validation!$A:$F,6,0)</f>
        <v>0</v>
      </c>
    </row>
    <row r="156" spans="1:24" ht="15" customHeight="1">
      <c r="A156" s="1236" t="s">
        <v>2591</v>
      </c>
      <c r="B156" s="1237">
        <v>2501</v>
      </c>
      <c r="C156" s="1239">
        <v>-33398.050000000003</v>
      </c>
      <c r="D156" s="1239">
        <v>-5267.89</v>
      </c>
      <c r="E156" s="1239">
        <v>-38665.94</v>
      </c>
      <c r="F156" s="1236" t="s">
        <v>279</v>
      </c>
      <c r="G156" s="1236" t="s">
        <v>2592</v>
      </c>
      <c r="H156" s="1245"/>
      <c r="I156" s="1245"/>
      <c r="J156" s="1245"/>
      <c r="K156" s="1245"/>
      <c r="L156" s="150">
        <f t="shared" si="0"/>
        <v>2501</v>
      </c>
      <c r="M156" s="151" t="str">
        <f t="shared" si="1"/>
        <v>COMMISSION A PAYER</v>
      </c>
      <c r="N156" s="152">
        <f>+IF(OR($Q156=Parametres!$G$2,$Q156=Parametres!$G$3),I156,C156)</f>
        <v>-33398.050000000003</v>
      </c>
      <c r="O156" s="152">
        <f>+IF(OR($Q156=Parametres!$G$2,$Q156=Parametres!$G$3),J156,D156)</f>
        <v>-5267.89</v>
      </c>
      <c r="P156" s="152">
        <f>+IF(OR($Q156=Parametres!$G$2,$Q156=Parametres!$G$3),K156,E156)</f>
        <v>-38665.94</v>
      </c>
      <c r="Q156" s="151" t="str">
        <f t="shared" si="11"/>
        <v>3-Passifs</v>
      </c>
      <c r="R156" s="150" t="str">
        <f t="shared" si="11"/>
        <v>2501</v>
      </c>
      <c r="S156" s="151">
        <f t="shared" si="11"/>
        <v>0</v>
      </c>
      <c r="T156" s="153">
        <f>+VLOOKUP($L156,Data_Validation!$A:$D,1,0)</f>
        <v>2501</v>
      </c>
      <c r="U156" s="153" t="str">
        <f>+VLOOKUP($L156,Data_Validation!$A:$D,3,0)</f>
        <v>Bilan</v>
      </c>
      <c r="V156" s="153" t="str">
        <f>+VLOOKUP($L156,Data_Validation!$A:$D,4,0)</f>
        <v>Salaires à Payer</v>
      </c>
      <c r="W156" s="153" t="str">
        <f>+VLOOKUP($L156,Data_Validation!$A:$E,5,0)</f>
        <v>$</v>
      </c>
      <c r="X156" s="153">
        <f>+VLOOKUP($L156,Data_Validation!$A:$F,6,0)</f>
        <v>0</v>
      </c>
    </row>
    <row r="157" spans="1:24" ht="15" customHeight="1">
      <c r="A157" s="1236" t="s">
        <v>2051</v>
      </c>
      <c r="B157" s="1237">
        <v>2503</v>
      </c>
      <c r="C157" s="1239">
        <v>-170086.57</v>
      </c>
      <c r="D157" s="1239">
        <v>-28948.67</v>
      </c>
      <c r="E157" s="1239">
        <v>-199035.24</v>
      </c>
      <c r="F157" s="1236" t="s">
        <v>279</v>
      </c>
      <c r="G157" s="1236" t="s">
        <v>2052</v>
      </c>
      <c r="H157" s="1245"/>
      <c r="I157" s="1245"/>
      <c r="J157" s="1245"/>
      <c r="K157" s="1245"/>
      <c r="L157" s="150">
        <f t="shared" si="0"/>
        <v>2503</v>
      </c>
      <c r="M157" s="151" t="str">
        <f t="shared" si="1"/>
        <v>SALAIRES DES EMPLOYES</v>
      </c>
      <c r="N157" s="152">
        <f>+IF(OR($Q157=Parametres!$G$2,$Q157=Parametres!$G$3),I157,C157)</f>
        <v>-170086.57</v>
      </c>
      <c r="O157" s="152">
        <f>+IF(OR($Q157=Parametres!$G$2,$Q157=Parametres!$G$3),J157,D157)</f>
        <v>-28948.67</v>
      </c>
      <c r="P157" s="152">
        <f>+IF(OR($Q157=Parametres!$G$2,$Q157=Parametres!$G$3),K157,E157)</f>
        <v>-199035.24</v>
      </c>
      <c r="Q157" s="151" t="str">
        <f t="shared" si="11"/>
        <v>3-Passifs</v>
      </c>
      <c r="R157" s="150" t="str">
        <f t="shared" si="11"/>
        <v>2503</v>
      </c>
      <c r="S157" s="151">
        <f t="shared" si="11"/>
        <v>0</v>
      </c>
      <c r="T157" s="153">
        <f>+VLOOKUP($L157,Data_Validation!$A:$D,1,0)</f>
        <v>2503</v>
      </c>
      <c r="U157" s="153" t="str">
        <f>+VLOOKUP($L157,Data_Validation!$A:$D,3,0)</f>
        <v>Bilan</v>
      </c>
      <c r="V157" s="153" t="str">
        <f>+VLOOKUP($L157,Data_Validation!$A:$D,4,0)</f>
        <v>Salaires à Payer</v>
      </c>
      <c r="W157" s="153" t="str">
        <f>+VLOOKUP($L157,Data_Validation!$A:$E,5,0)</f>
        <v>$</v>
      </c>
      <c r="X157" s="153">
        <f>+VLOOKUP($L157,Data_Validation!$A:$F,6,0)</f>
        <v>0</v>
      </c>
    </row>
    <row r="158" spans="1:24" ht="15" customHeight="1">
      <c r="A158" s="1236" t="s">
        <v>2091</v>
      </c>
      <c r="B158" s="1237">
        <v>2505</v>
      </c>
      <c r="C158" s="1239">
        <v>-20043.259999999998</v>
      </c>
      <c r="D158" s="1239">
        <v>425.24</v>
      </c>
      <c r="E158" s="1239">
        <v>-19618.02</v>
      </c>
      <c r="F158" s="1236" t="s">
        <v>279</v>
      </c>
      <c r="G158" s="1236" t="s">
        <v>2052</v>
      </c>
      <c r="H158" s="1245"/>
      <c r="I158" s="1245"/>
      <c r="J158" s="1245"/>
      <c r="K158" s="1245"/>
      <c r="L158" s="150">
        <f t="shared" si="0"/>
        <v>2505</v>
      </c>
      <c r="M158" s="151" t="str">
        <f t="shared" si="1"/>
        <v>JOURS FERIES</v>
      </c>
      <c r="N158" s="152">
        <f>+IF(OR($Q158=Parametres!$G$2,$Q158=Parametres!$G$3),I158,C158)</f>
        <v>-20043.259999999998</v>
      </c>
      <c r="O158" s="152">
        <f>+IF(OR($Q158=Parametres!$G$2,$Q158=Parametres!$G$3),J158,D158)</f>
        <v>425.24</v>
      </c>
      <c r="P158" s="152">
        <f>+IF(OR($Q158=Parametres!$G$2,$Q158=Parametres!$G$3),K158,E158)</f>
        <v>-19618.02</v>
      </c>
      <c r="Q158" s="151" t="str">
        <f t="shared" si="11"/>
        <v>3-Passifs</v>
      </c>
      <c r="R158" s="150" t="str">
        <f t="shared" si="11"/>
        <v>2503</v>
      </c>
      <c r="S158" s="151">
        <f t="shared" si="11"/>
        <v>0</v>
      </c>
      <c r="T158" s="153">
        <f>+VLOOKUP($L158,Data_Validation!$A:$D,1,0)</f>
        <v>2505</v>
      </c>
      <c r="U158" s="153" t="str">
        <f>+VLOOKUP($L158,Data_Validation!$A:$D,3,0)</f>
        <v>Bilan</v>
      </c>
      <c r="V158" s="153" t="str">
        <f>+VLOOKUP($L158,Data_Validation!$A:$D,4,0)</f>
        <v>Salaires à Payer</v>
      </c>
      <c r="W158" s="153" t="str">
        <f>+VLOOKUP($L158,Data_Validation!$A:$E,5,0)</f>
        <v>$</v>
      </c>
      <c r="X158" s="153">
        <f>+VLOOKUP($L158,Data_Validation!$A:$F,6,0)</f>
        <v>0</v>
      </c>
    </row>
    <row r="159" spans="1:24" ht="15.75" customHeight="1">
      <c r="A159" s="1236" t="s">
        <v>2087</v>
      </c>
      <c r="B159" s="1237">
        <v>2509</v>
      </c>
      <c r="C159" s="1239">
        <v>-209217.01</v>
      </c>
      <c r="D159" s="1239">
        <v>-17794.759999999998</v>
      </c>
      <c r="E159" s="1239">
        <v>-227011.77</v>
      </c>
      <c r="F159" s="1236" t="s">
        <v>279</v>
      </c>
      <c r="G159" s="1236" t="s">
        <v>2052</v>
      </c>
      <c r="H159" s="1245"/>
      <c r="I159" s="1245"/>
      <c r="J159" s="1245"/>
      <c r="K159" s="1245"/>
      <c r="L159" s="150">
        <f t="shared" si="0"/>
        <v>2509</v>
      </c>
      <c r="M159" s="151" t="str">
        <f t="shared" si="1"/>
        <v>SALAIRES DE VACANCES</v>
      </c>
      <c r="N159" s="152">
        <f>+IF(OR($Q159=Parametres!$G$2,$Q159=Parametres!$G$3),I159,C159)</f>
        <v>-209217.01</v>
      </c>
      <c r="O159" s="152">
        <f>+IF(OR($Q159=Parametres!$G$2,$Q159=Parametres!$G$3),J159,D159)</f>
        <v>-17794.759999999998</v>
      </c>
      <c r="P159" s="152">
        <f>+IF(OR($Q159=Parametres!$G$2,$Q159=Parametres!$G$3),K159,E159)</f>
        <v>-227011.77</v>
      </c>
      <c r="Q159" s="151" t="str">
        <f t="shared" si="11"/>
        <v>3-Passifs</v>
      </c>
      <c r="R159" s="150" t="str">
        <f t="shared" si="11"/>
        <v>2503</v>
      </c>
      <c r="S159" s="151">
        <f t="shared" si="11"/>
        <v>0</v>
      </c>
      <c r="T159" s="153">
        <f>+VLOOKUP($L159,Data_Validation!$A:$D,1,0)</f>
        <v>2509</v>
      </c>
      <c r="U159" s="153" t="str">
        <f>+VLOOKUP($L159,Data_Validation!$A:$D,3,0)</f>
        <v>Bilan</v>
      </c>
      <c r="V159" s="153" t="str">
        <f>+VLOOKUP($L159,Data_Validation!$A:$D,4,0)</f>
        <v>Salaires à Payer</v>
      </c>
      <c r="W159" s="153" t="str">
        <f>+VLOOKUP($L159,Data_Validation!$A:$E,5,0)</f>
        <v>$</v>
      </c>
      <c r="X159" s="153">
        <f>+VLOOKUP($L159,Data_Validation!$A:$F,6,0)</f>
        <v>0</v>
      </c>
    </row>
    <row r="160" spans="1:24" ht="15" customHeight="1">
      <c r="A160" s="1236" t="s">
        <v>2181</v>
      </c>
      <c r="B160" s="1237">
        <v>2511</v>
      </c>
      <c r="C160" s="1239">
        <v>-7127.28</v>
      </c>
      <c r="D160" s="1239">
        <v>1727.88</v>
      </c>
      <c r="E160" s="1239">
        <v>-5399.4</v>
      </c>
      <c r="F160" s="1236" t="s">
        <v>279</v>
      </c>
      <c r="G160" s="1236" t="s">
        <v>2052</v>
      </c>
      <c r="H160" s="1245"/>
      <c r="I160" s="1246"/>
      <c r="J160" s="1246"/>
      <c r="K160" s="1246"/>
      <c r="L160" s="150">
        <f t="shared" si="0"/>
        <v>2511</v>
      </c>
      <c r="M160" s="151" t="str">
        <f t="shared" si="1"/>
        <v>JOURNEE MALADIE</v>
      </c>
      <c r="N160" s="152">
        <f>+IF(OR($Q160=Parametres!$G$2,$Q160=Parametres!$G$3),I160,C160)</f>
        <v>-7127.28</v>
      </c>
      <c r="O160" s="152">
        <f>+IF(OR($Q160=Parametres!$G$2,$Q160=Parametres!$G$3),J160,D160)</f>
        <v>1727.88</v>
      </c>
      <c r="P160" s="152">
        <f>+IF(OR($Q160=Parametres!$G$2,$Q160=Parametres!$G$3),K160,E160)</f>
        <v>-5399.4</v>
      </c>
      <c r="Q160" s="151" t="str">
        <f t="shared" si="11"/>
        <v>3-Passifs</v>
      </c>
      <c r="R160" s="150" t="str">
        <f t="shared" si="11"/>
        <v>2503</v>
      </c>
      <c r="S160" s="151">
        <f t="shared" si="11"/>
        <v>0</v>
      </c>
      <c r="T160" s="153">
        <f>+VLOOKUP($L160,Data_Validation!$A:$D,1,0)</f>
        <v>2511</v>
      </c>
      <c r="U160" s="153" t="str">
        <f>+VLOOKUP($L160,Data_Validation!$A:$D,3,0)</f>
        <v>Bilan</v>
      </c>
      <c r="V160" s="153" t="str">
        <f>+VLOOKUP($L160,Data_Validation!$A:$D,4,0)</f>
        <v>Salaires à Payer</v>
      </c>
      <c r="W160" s="153" t="str">
        <f>+VLOOKUP($L160,Data_Validation!$A:$E,5,0)</f>
        <v>$</v>
      </c>
      <c r="X160" s="153">
        <f>+VLOOKUP($L160,Data_Validation!$A:$F,6,0)</f>
        <v>0</v>
      </c>
    </row>
    <row r="161" spans="1:24" ht="15" customHeight="1">
      <c r="A161" s="986" t="s">
        <v>2680</v>
      </c>
      <c r="B161" s="1103">
        <v>2801</v>
      </c>
      <c r="C161" s="988">
        <v>-22888.75</v>
      </c>
      <c r="D161" s="988">
        <v>1317.5</v>
      </c>
      <c r="E161" s="988">
        <v>-21571.25</v>
      </c>
      <c r="F161" s="986" t="s">
        <v>279</v>
      </c>
      <c r="G161" s="986" t="s">
        <v>2681</v>
      </c>
      <c r="H161" s="987"/>
      <c r="I161" s="987"/>
      <c r="J161" s="987"/>
      <c r="K161" s="987"/>
      <c r="L161" s="150">
        <f t="shared" si="0"/>
        <v>2801</v>
      </c>
      <c r="M161" s="151" t="str">
        <f t="shared" si="1"/>
        <v>PRET CIBC</v>
      </c>
      <c r="N161" s="152">
        <f>+IF(OR($Q161=Parametres!$G$2,$Q161=Parametres!$G$3),I161,C161)</f>
        <v>-22888.75</v>
      </c>
      <c r="O161" s="152">
        <f>+IF(OR($Q161=Parametres!$G$2,$Q161=Parametres!$G$3),J161,D161)</f>
        <v>1317.5</v>
      </c>
      <c r="P161" s="152">
        <f>+IF(OR($Q161=Parametres!$G$2,$Q161=Parametres!$G$3),K161,E161)</f>
        <v>-21571.25</v>
      </c>
      <c r="Q161" s="151" t="str">
        <f t="shared" si="11"/>
        <v>3-Passifs</v>
      </c>
      <c r="R161" s="150" t="str">
        <f t="shared" si="11"/>
        <v>2801</v>
      </c>
      <c r="S161" s="151">
        <f t="shared" si="11"/>
        <v>0</v>
      </c>
      <c r="T161" s="153">
        <f>+VLOOKUP($L161,Data_Validation!$A:$D,1,0)</f>
        <v>2801</v>
      </c>
      <c r="U161" s="153" t="str">
        <f>+VLOOKUP($L161,Data_Validation!$A:$D,3,0)</f>
        <v>Bilan</v>
      </c>
      <c r="V161" s="153" t="str">
        <f>+VLOOKUP($L161,Data_Validation!$A:$D,4,0)</f>
        <v>Dette à Long Terme</v>
      </c>
      <c r="W161" s="153" t="str">
        <f>+VLOOKUP($L161,Data_Validation!$A:$E,5,0)</f>
        <v>$</v>
      </c>
      <c r="X161" s="153">
        <f>+VLOOKUP($L161,Data_Validation!$A:$F,6,0)</f>
        <v>0</v>
      </c>
    </row>
    <row r="162" spans="1:24" ht="15" customHeight="1">
      <c r="A162" s="1236" t="s">
        <v>824</v>
      </c>
      <c r="B162" s="1237">
        <v>2901</v>
      </c>
      <c r="C162" s="1239">
        <v>-19122.599999999999</v>
      </c>
      <c r="D162" s="1239">
        <v>0</v>
      </c>
      <c r="E162" s="1239">
        <v>-19122.599999999999</v>
      </c>
      <c r="F162" s="1236" t="s">
        <v>279</v>
      </c>
      <c r="G162" s="1236" t="s">
        <v>2183</v>
      </c>
      <c r="H162" s="1238"/>
      <c r="I162" s="1238"/>
      <c r="J162" s="1238"/>
      <c r="K162" s="1238"/>
      <c r="L162" s="150">
        <f t="shared" si="0"/>
        <v>2901</v>
      </c>
      <c r="M162" s="151" t="str">
        <f t="shared" si="1"/>
        <v>RESERVE CARTES PRIVILEGE</v>
      </c>
      <c r="N162" s="152">
        <f>+IF(OR($Q162=Parametres!$G$2,$Q162=Parametres!$G$3),I162,C162)</f>
        <v>-19122.599999999999</v>
      </c>
      <c r="O162" s="152">
        <f>+IF(OR($Q162=Parametres!$G$2,$Q162=Parametres!$G$3),J162,D162)</f>
        <v>0</v>
      </c>
      <c r="P162" s="152">
        <f>+IF(OR($Q162=Parametres!$G$2,$Q162=Parametres!$G$3),K162,E162)</f>
        <v>-19122.599999999999</v>
      </c>
      <c r="Q162" s="151" t="str">
        <f t="shared" ref="Q162:S177" si="12">+F162</f>
        <v>3-Passifs</v>
      </c>
      <c r="R162" s="150" t="str">
        <f t="shared" si="12"/>
        <v>2901</v>
      </c>
      <c r="S162" s="151">
        <f t="shared" si="12"/>
        <v>0</v>
      </c>
      <c r="T162" s="153">
        <f>+VLOOKUP($L162,Data_Validation!$A:$D,1,0)</f>
        <v>2901</v>
      </c>
      <c r="U162" s="153" t="str">
        <f>+VLOOKUP($L162,Data_Validation!$A:$D,3,0)</f>
        <v>Bilan</v>
      </c>
      <c r="V162" s="153" t="str">
        <f>+VLOOKUP($L162,Data_Validation!$A:$D,4,0)</f>
        <v>Autres Courus</v>
      </c>
      <c r="W162" s="153" t="str">
        <f>+VLOOKUP($L162,Data_Validation!$A:$E,5,0)</f>
        <v>$</v>
      </c>
      <c r="X162" s="153">
        <f>+VLOOKUP($L162,Data_Validation!$A:$F,6,0)</f>
        <v>0</v>
      </c>
    </row>
    <row r="163" spans="1:24" ht="15.75" customHeight="1">
      <c r="A163" s="986" t="s">
        <v>2414</v>
      </c>
      <c r="B163" s="1103">
        <v>3001</v>
      </c>
      <c r="C163" s="988">
        <v>-2350000</v>
      </c>
      <c r="D163" s="988">
        <v>0</v>
      </c>
      <c r="E163" s="988">
        <v>-2350000</v>
      </c>
      <c r="F163" s="986" t="s">
        <v>828</v>
      </c>
      <c r="G163" s="986" t="s">
        <v>2415</v>
      </c>
      <c r="H163" s="987"/>
      <c r="I163" s="987"/>
      <c r="J163" s="987"/>
      <c r="K163" s="987"/>
      <c r="L163" s="150">
        <f t="shared" si="0"/>
        <v>3001</v>
      </c>
      <c r="M163" s="151" t="str">
        <f t="shared" si="1"/>
        <v>ACTIONS CATEGORIE 1</v>
      </c>
      <c r="N163" s="152">
        <f>+IF(OR($Q163=Parametres!$G$2,$Q163=Parametres!$G$3),I163,C163)</f>
        <v>-2350000</v>
      </c>
      <c r="O163" s="152">
        <f>+IF(OR($Q163=Parametres!$G$2,$Q163=Parametres!$G$3),J163,D163)</f>
        <v>0</v>
      </c>
      <c r="P163" s="152">
        <f>+IF(OR($Q163=Parametres!$G$2,$Q163=Parametres!$G$3),K163,E163)</f>
        <v>-2350000</v>
      </c>
      <c r="Q163" s="151" t="str">
        <f t="shared" si="12"/>
        <v>4-Valeur nette</v>
      </c>
      <c r="R163" s="150" t="str">
        <f t="shared" si="12"/>
        <v>3001</v>
      </c>
      <c r="S163" s="151">
        <f t="shared" si="12"/>
        <v>0</v>
      </c>
      <c r="T163" s="153">
        <f>+VLOOKUP($L163,Data_Validation!$A:$D,1,0)</f>
        <v>3001</v>
      </c>
      <c r="U163" s="153" t="str">
        <f>+VLOOKUP($L163,Data_Validation!$A:$D,3,0)</f>
        <v>Bilan</v>
      </c>
      <c r="V163" s="153" t="str">
        <f>+VLOOKUP($L163,Data_Validation!$A:$D,4,0)</f>
        <v>Capital Actions</v>
      </c>
      <c r="W163" s="153" t="str">
        <f>+VLOOKUP($L163,Data_Validation!$A:$E,5,0)</f>
        <v>$</v>
      </c>
      <c r="X163" s="153">
        <f>+VLOOKUP($L163,Data_Validation!$A:$F,6,0)</f>
        <v>0</v>
      </c>
    </row>
    <row r="164" spans="1:24" ht="15" customHeight="1">
      <c r="A164" s="1236" t="s">
        <v>2416</v>
      </c>
      <c r="B164" s="1237">
        <v>3003</v>
      </c>
      <c r="C164" s="1239">
        <v>-1723617</v>
      </c>
      <c r="D164" s="1239">
        <v>0</v>
      </c>
      <c r="E164" s="1239">
        <v>-1723617</v>
      </c>
      <c r="F164" s="1236" t="s">
        <v>828</v>
      </c>
      <c r="G164" s="1236" t="s">
        <v>2415</v>
      </c>
      <c r="H164" s="1238"/>
      <c r="I164" s="1238"/>
      <c r="J164" s="1238"/>
      <c r="K164" s="1238"/>
      <c r="L164" s="150">
        <f t="shared" si="0"/>
        <v>3003</v>
      </c>
      <c r="M164" s="151" t="str">
        <f t="shared" si="1"/>
        <v>APPORT / RETRAIT</v>
      </c>
      <c r="N164" s="152">
        <f>+IF(OR($Q164=Parametres!$G$2,$Q164=Parametres!$G$3),I164,C164)</f>
        <v>-1723617</v>
      </c>
      <c r="O164" s="152">
        <f>+IF(OR($Q164=Parametres!$G$2,$Q164=Parametres!$G$3),J164,D164)</f>
        <v>0</v>
      </c>
      <c r="P164" s="152">
        <f>+IF(OR($Q164=Parametres!$G$2,$Q164=Parametres!$G$3),K164,E164)</f>
        <v>-1723617</v>
      </c>
      <c r="Q164" s="151" t="str">
        <f t="shared" si="12"/>
        <v>4-Valeur nette</v>
      </c>
      <c r="R164" s="150" t="str">
        <f t="shared" si="12"/>
        <v>3001</v>
      </c>
      <c r="S164" s="151">
        <f t="shared" si="12"/>
        <v>0</v>
      </c>
      <c r="T164" s="153">
        <f>+VLOOKUP($L164,Data_Validation!$A:$D,1,0)</f>
        <v>3003</v>
      </c>
      <c r="U164" s="153" t="str">
        <f>+VLOOKUP($L164,Data_Validation!$A:$D,3,0)</f>
        <v>Bilan</v>
      </c>
      <c r="V164" s="153" t="str">
        <f>+VLOOKUP($L164,Data_Validation!$A:$D,4,0)</f>
        <v>Apport</v>
      </c>
      <c r="W164" s="153" t="str">
        <f>+VLOOKUP($L164,Data_Validation!$A:$E,5,0)</f>
        <v>$</v>
      </c>
      <c r="X164" s="153">
        <f>+VLOOKUP($L164,Data_Validation!$A:$F,6,0)</f>
        <v>0</v>
      </c>
    </row>
    <row r="165" spans="1:24" ht="15" customHeight="1">
      <c r="A165" s="986" t="s">
        <v>2418</v>
      </c>
      <c r="B165" s="1103">
        <v>3007</v>
      </c>
      <c r="C165" s="1006">
        <v>-347547.5</v>
      </c>
      <c r="D165" s="1006">
        <v>0</v>
      </c>
      <c r="E165" s="1006">
        <v>-347547.5</v>
      </c>
      <c r="F165" s="986" t="s">
        <v>828</v>
      </c>
      <c r="G165" s="986" t="s">
        <v>2415</v>
      </c>
      <c r="H165" s="987"/>
      <c r="I165" s="988"/>
      <c r="J165" s="988"/>
      <c r="K165" s="988"/>
      <c r="L165" s="150">
        <f t="shared" si="0"/>
        <v>3007</v>
      </c>
      <c r="M165" s="151" t="str">
        <f t="shared" si="1"/>
        <v>ACTIONS PARTICIPANTES</v>
      </c>
      <c r="N165" s="152">
        <f>+IF(OR($Q165=Parametres!$G$2,$Q165=Parametres!$G$3),I165,C165)</f>
        <v>-347547.5</v>
      </c>
      <c r="O165" s="152">
        <f>+IF(OR($Q165=Parametres!$G$2,$Q165=Parametres!$G$3),J165,D165)</f>
        <v>0</v>
      </c>
      <c r="P165" s="152">
        <f>+IF(OR($Q165=Parametres!$G$2,$Q165=Parametres!$G$3),K165,E165)</f>
        <v>-347547.5</v>
      </c>
      <c r="Q165" s="151" t="str">
        <f t="shared" si="12"/>
        <v>4-Valeur nette</v>
      </c>
      <c r="R165" s="150" t="str">
        <f t="shared" si="12"/>
        <v>3001</v>
      </c>
      <c r="S165" s="151">
        <f t="shared" si="12"/>
        <v>0</v>
      </c>
      <c r="T165" s="153">
        <f>+VLOOKUP($L165,Data_Validation!$A:$D,1,0)</f>
        <v>3007</v>
      </c>
      <c r="U165" s="153" t="str">
        <f>+VLOOKUP($L165,Data_Validation!$A:$D,3,0)</f>
        <v>Bilan</v>
      </c>
      <c r="V165" s="153" t="str">
        <f>+VLOOKUP($L165,Data_Validation!$A:$D,4,0)</f>
        <v>Capital Actions</v>
      </c>
      <c r="W165" s="153">
        <f>+VLOOKUP($L165,Data_Validation!$A:$E,5,0)</f>
        <v>0</v>
      </c>
      <c r="X165" s="153">
        <f>+VLOOKUP($L165,Data_Validation!$A:$F,6,0)</f>
        <v>0</v>
      </c>
    </row>
    <row r="166" spans="1:24" ht="15" customHeight="1">
      <c r="A166" s="1236" t="s">
        <v>2420</v>
      </c>
      <c r="B166" s="1237">
        <v>3201</v>
      </c>
      <c r="C166" s="1239">
        <v>-973229.33</v>
      </c>
      <c r="D166" s="1239">
        <v>0</v>
      </c>
      <c r="E166" s="1239">
        <v>-973229.33</v>
      </c>
      <c r="F166" s="1236" t="s">
        <v>828</v>
      </c>
      <c r="G166" s="1236" t="s">
        <v>2415</v>
      </c>
      <c r="H166" s="1238"/>
      <c r="I166" s="1238"/>
      <c r="J166" s="1238"/>
      <c r="K166" s="1238"/>
      <c r="L166" s="150">
        <f t="shared" si="0"/>
        <v>3201</v>
      </c>
      <c r="M166" s="151" t="str">
        <f t="shared" si="1"/>
        <v>BENEFICES NON-REPARTIS</v>
      </c>
      <c r="N166" s="152">
        <f>+IF(OR($Q166=Parametres!$G$2,$Q166=Parametres!$G$3),I166,C166)</f>
        <v>-973229.33</v>
      </c>
      <c r="O166" s="152">
        <f>+IF(OR($Q166=Parametres!$G$2,$Q166=Parametres!$G$3),J166,D166)</f>
        <v>0</v>
      </c>
      <c r="P166" s="152">
        <f>+IF(OR($Q166=Parametres!$G$2,$Q166=Parametres!$G$3),K166,E166)</f>
        <v>-973229.33</v>
      </c>
      <c r="Q166" s="151" t="str">
        <f t="shared" si="12"/>
        <v>4-Valeur nette</v>
      </c>
      <c r="R166" s="150" t="str">
        <f t="shared" si="12"/>
        <v>3001</v>
      </c>
      <c r="S166" s="151">
        <f t="shared" si="12"/>
        <v>0</v>
      </c>
      <c r="T166" s="153">
        <f>+VLOOKUP($L166,Data_Validation!$A:$D,1,0)</f>
        <v>3201</v>
      </c>
      <c r="U166" s="153" t="str">
        <f>+VLOOKUP($L166,Data_Validation!$A:$D,3,0)</f>
        <v>Bilan</v>
      </c>
      <c r="V166" s="153" t="str">
        <f>+VLOOKUP($L166,Data_Validation!$A:$D,4,0)</f>
        <v>Bénéfices non répartis</v>
      </c>
      <c r="W166" s="153" t="str">
        <f>+VLOOKUP($L166,Data_Validation!$A:$E,5,0)</f>
        <v>$</v>
      </c>
      <c r="X166" s="153">
        <f>+VLOOKUP($L166,Data_Validation!$A:$F,6,0)</f>
        <v>0</v>
      </c>
    </row>
    <row r="167" spans="1:24" ht="15" customHeight="1">
      <c r="A167" s="986" t="s">
        <v>2018</v>
      </c>
      <c r="B167" s="1103">
        <v>4100</v>
      </c>
      <c r="C167" s="1006">
        <v>-806636.24</v>
      </c>
      <c r="D167" s="1006">
        <v>-222632.45</v>
      </c>
      <c r="E167" s="1006">
        <v>-1029268.69</v>
      </c>
      <c r="F167" s="986" t="s">
        <v>282</v>
      </c>
      <c r="G167" s="986" t="s">
        <v>2019</v>
      </c>
      <c r="H167" s="987"/>
      <c r="I167" s="988"/>
      <c r="J167" s="988"/>
      <c r="K167" s="988"/>
      <c r="L167" s="150">
        <f t="shared" si="0"/>
        <v>4100</v>
      </c>
      <c r="M167" s="151" t="str">
        <f t="shared" si="1"/>
        <v>VTE - RACHAT BAIL VW</v>
      </c>
      <c r="N167" s="152">
        <f>+IF(OR($Q167=Parametres!$G$2,$Q167=Parametres!$G$3),I167,C167)</f>
        <v>-806636.24</v>
      </c>
      <c r="O167" s="152">
        <f>+IF(OR($Q167=Parametres!$G$2,$Q167=Parametres!$G$3),J167,D167)</f>
        <v>-222632.45</v>
      </c>
      <c r="P167" s="152">
        <f>+IF(OR($Q167=Parametres!$G$2,$Q167=Parametres!$G$3),K167,E167)</f>
        <v>-1029268.69</v>
      </c>
      <c r="Q167" s="151" t="str">
        <f t="shared" si="12"/>
        <v>5-Ventes</v>
      </c>
      <c r="R167" s="150" t="str">
        <f t="shared" si="12"/>
        <v>4100</v>
      </c>
      <c r="S167" s="151">
        <f t="shared" si="12"/>
        <v>0</v>
      </c>
      <c r="T167" s="153">
        <f>+VLOOKUP($L167,Data_Validation!$A:$D,1,0)</f>
        <v>4100</v>
      </c>
      <c r="U167" s="153" t="str">
        <f>+VLOOKUP($L167,Data_Validation!$A:$D,3,0)</f>
        <v>Véhicules neufs</v>
      </c>
      <c r="V167" s="153" t="str">
        <f>+VLOOKUP($L167,Data_Validation!$A:$D,4,0)</f>
        <v>Rachat bail</v>
      </c>
      <c r="W167" s="153" t="str">
        <f>+VLOOKUP($L167,Data_Validation!$A:$E,5,0)</f>
        <v>$</v>
      </c>
      <c r="X167" s="153" t="str">
        <f>+VLOOKUP($L167,Data_Validation!$A:$F,6,0)</f>
        <v>Oui</v>
      </c>
    </row>
    <row r="168" spans="1:24" ht="15.75" customHeight="1">
      <c r="A168" s="1236" t="s">
        <v>2473</v>
      </c>
      <c r="B168" s="1237" t="s">
        <v>2474</v>
      </c>
      <c r="C168" s="1239"/>
      <c r="D168" s="1239"/>
      <c r="E168" s="1239"/>
      <c r="F168" s="1236" t="s">
        <v>4</v>
      </c>
      <c r="G168" s="1236" t="s">
        <v>2019</v>
      </c>
      <c r="H168" s="1238"/>
      <c r="I168" s="1238">
        <v>-44</v>
      </c>
      <c r="J168" s="1238">
        <v>-10</v>
      </c>
      <c r="K168" s="1238">
        <v>-54</v>
      </c>
      <c r="L168" s="150" t="str">
        <f t="shared" si="0"/>
        <v>4100@</v>
      </c>
      <c r="M168" s="151" t="str">
        <f t="shared" si="1"/>
        <v>RESERVE</v>
      </c>
      <c r="N168" s="152">
        <f>+IF(OR($Q168=Parametres!$G$2,$Q168=Parametres!$G$3),I168,C168)</f>
        <v>-44</v>
      </c>
      <c r="O168" s="152">
        <f>+IF(OR($Q168=Parametres!$G$2,$Q168=Parametres!$G$3),J168,D168)</f>
        <v>-10</v>
      </c>
      <c r="P168" s="152">
        <f>+IF(OR($Q168=Parametres!$G$2,$Q168=Parametres!$G$3),K168,E168)</f>
        <v>-54</v>
      </c>
      <c r="Q168" s="151" t="str">
        <f t="shared" si="12"/>
        <v>10-Compte compteur</v>
      </c>
      <c r="R168" s="150" t="str">
        <f t="shared" si="12"/>
        <v>4100</v>
      </c>
      <c r="S168" s="151">
        <f t="shared" si="12"/>
        <v>0</v>
      </c>
      <c r="T168" s="153" t="str">
        <f>+VLOOKUP($L168,Data_Validation!$A:$D,1,0)</f>
        <v>4100@</v>
      </c>
      <c r="U168" s="153" t="str">
        <f>+VLOOKUP($L168,Data_Validation!$A:$D,3,0)</f>
        <v>Véhicules neufs</v>
      </c>
      <c r="V168" s="153" t="str">
        <f>+VLOOKUP($L168,Data_Validation!$A:$D,4,0)</f>
        <v>Rachat bail</v>
      </c>
      <c r="W168" s="153" t="str">
        <f>+VLOOKUP($L168,Data_Validation!$A:$E,5,0)</f>
        <v>NB</v>
      </c>
      <c r="X168" s="153">
        <f>+VLOOKUP($L168,Data_Validation!$A:$F,6,0)</f>
        <v>0</v>
      </c>
    </row>
    <row r="169" spans="1:24" ht="15" customHeight="1">
      <c r="A169" s="986" t="s">
        <v>2424</v>
      </c>
      <c r="B169" s="1103">
        <v>4105</v>
      </c>
      <c r="C169" s="1006">
        <v>0</v>
      </c>
      <c r="D169" s="1006">
        <v>-48571.26</v>
      </c>
      <c r="E169" s="1006">
        <v>-48571.26</v>
      </c>
      <c r="F169" s="986" t="s">
        <v>282</v>
      </c>
      <c r="G169" s="986" t="s">
        <v>2425</v>
      </c>
      <c r="H169" s="987"/>
      <c r="I169" s="988"/>
      <c r="J169" s="988"/>
      <c r="K169" s="988"/>
      <c r="L169" s="150">
        <f t="shared" si="0"/>
        <v>4105</v>
      </c>
      <c r="M169" s="151" t="str">
        <f t="shared" si="1"/>
        <v>VTES -VTE - ARTEON</v>
      </c>
      <c r="N169" s="152">
        <f>+IF(OR($Q169=Parametres!$G$2,$Q169=Parametres!$G$3),I169,C169)</f>
        <v>0</v>
      </c>
      <c r="O169" s="152">
        <f>+IF(OR($Q169=Parametres!$G$2,$Q169=Parametres!$G$3),J169,D169)</f>
        <v>-48571.26</v>
      </c>
      <c r="P169" s="152">
        <f>+IF(OR($Q169=Parametres!$G$2,$Q169=Parametres!$G$3),K169,E169)</f>
        <v>-48571.26</v>
      </c>
      <c r="Q169" s="151" t="str">
        <f t="shared" si="12"/>
        <v>5-Ventes</v>
      </c>
      <c r="R169" s="150" t="str">
        <f t="shared" si="12"/>
        <v>4105</v>
      </c>
      <c r="S169" s="151">
        <f t="shared" si="12"/>
        <v>0</v>
      </c>
      <c r="T169" s="153">
        <f>+VLOOKUP($L169,Data_Validation!$A:$D,1,0)</f>
        <v>4105</v>
      </c>
      <c r="U169" s="153" t="str">
        <f>+VLOOKUP($L169,Data_Validation!$A:$D,3,0)</f>
        <v>Véhicules neufs</v>
      </c>
      <c r="V169" s="153" t="str">
        <f>+VLOOKUP($L169,Data_Validation!$A:$D,4,0)</f>
        <v>Autos détail</v>
      </c>
      <c r="W169" s="153" t="str">
        <f>+VLOOKUP($L169,Data_Validation!$A:$E,5,0)</f>
        <v>$</v>
      </c>
      <c r="X169" s="153" t="str">
        <f>+VLOOKUP($L169,Data_Validation!$A:$F,6,0)</f>
        <v>Oui</v>
      </c>
    </row>
    <row r="170" spans="1:24" ht="15" customHeight="1">
      <c r="A170" s="1236" t="s">
        <v>2477</v>
      </c>
      <c r="B170" s="1237" t="s">
        <v>2478</v>
      </c>
      <c r="C170" s="1239"/>
      <c r="D170" s="1239"/>
      <c r="E170" s="1239"/>
      <c r="F170" s="1236" t="s">
        <v>4</v>
      </c>
      <c r="G170" s="1236" t="s">
        <v>2425</v>
      </c>
      <c r="H170" s="1238"/>
      <c r="I170" s="1238">
        <v>0</v>
      </c>
      <c r="J170" s="1238">
        <v>-1</v>
      </c>
      <c r="K170" s="1238">
        <v>-1</v>
      </c>
      <c r="L170" s="150" t="str">
        <f t="shared" si="0"/>
        <v>4105@</v>
      </c>
      <c r="M170" s="151" t="str">
        <f t="shared" si="1"/>
        <v>ROUTAN</v>
      </c>
      <c r="N170" s="152">
        <f>+IF(OR($Q170=Parametres!$G$2,$Q170=Parametres!$G$3),I170,C170)</f>
        <v>0</v>
      </c>
      <c r="O170" s="152">
        <f>+IF(OR($Q170=Parametres!$G$2,$Q170=Parametres!$G$3),J170,D170)</f>
        <v>-1</v>
      </c>
      <c r="P170" s="152">
        <f>+IF(OR($Q170=Parametres!$G$2,$Q170=Parametres!$G$3),K170,E170)</f>
        <v>-1</v>
      </c>
      <c r="Q170" s="151" t="str">
        <f t="shared" si="12"/>
        <v>10-Compte compteur</v>
      </c>
      <c r="R170" s="150" t="str">
        <f t="shared" si="12"/>
        <v>4105</v>
      </c>
      <c r="S170" s="151">
        <f t="shared" si="12"/>
        <v>0</v>
      </c>
      <c r="T170" s="153" t="str">
        <f>+VLOOKUP($L170,Data_Validation!$A:$D,1,0)</f>
        <v>4105@</v>
      </c>
      <c r="U170" s="153" t="str">
        <f>+VLOOKUP($L170,Data_Validation!$A:$D,3,0)</f>
        <v>Véhicules neufs</v>
      </c>
      <c r="V170" s="153" t="str">
        <f>+VLOOKUP($L170,Data_Validation!$A:$D,4,0)</f>
        <v>Autos détail</v>
      </c>
      <c r="W170" s="153" t="str">
        <f>+VLOOKUP($L170,Data_Validation!$A:$E,5,0)</f>
        <v>NB</v>
      </c>
      <c r="X170" s="153">
        <f>+VLOOKUP($L170,Data_Validation!$A:$F,6,0)</f>
        <v>0</v>
      </c>
    </row>
    <row r="171" spans="1:24" ht="15" customHeight="1">
      <c r="A171" s="986" t="s">
        <v>2011</v>
      </c>
      <c r="B171" s="1103">
        <v>4107</v>
      </c>
      <c r="C171" s="1006">
        <v>-768807.7</v>
      </c>
      <c r="D171" s="1006">
        <v>-357164.06</v>
      </c>
      <c r="E171" s="1006">
        <v>-1125971.76</v>
      </c>
      <c r="F171" s="986" t="s">
        <v>282</v>
      </c>
      <c r="G171" s="986" t="s">
        <v>2012</v>
      </c>
      <c r="H171" s="987"/>
      <c r="I171" s="988"/>
      <c r="J171" s="988"/>
      <c r="K171" s="988"/>
      <c r="L171" s="150">
        <f t="shared" si="0"/>
        <v>4107</v>
      </c>
      <c r="M171" s="151" t="str">
        <f t="shared" si="1"/>
        <v>VTE - GOLF A6</v>
      </c>
      <c r="N171" s="152">
        <f>+IF(OR($Q171=Parametres!$G$2,$Q171=Parametres!$G$3),I171,C171)</f>
        <v>-768807.7</v>
      </c>
      <c r="O171" s="152">
        <f>+IF(OR($Q171=Parametres!$G$2,$Q171=Parametres!$G$3),J171,D171)</f>
        <v>-357164.06</v>
      </c>
      <c r="P171" s="152">
        <f>+IF(OR($Q171=Parametres!$G$2,$Q171=Parametres!$G$3),K171,E171)</f>
        <v>-1125971.76</v>
      </c>
      <c r="Q171" s="151" t="str">
        <f t="shared" si="12"/>
        <v>5-Ventes</v>
      </c>
      <c r="R171" s="150" t="str">
        <f t="shared" si="12"/>
        <v>4107</v>
      </c>
      <c r="S171" s="151">
        <f t="shared" si="12"/>
        <v>0</v>
      </c>
      <c r="T171" s="153">
        <f>+VLOOKUP($L171,Data_Validation!$A:$D,1,0)</f>
        <v>4107</v>
      </c>
      <c r="U171" s="153" t="str">
        <f>+VLOOKUP($L171,Data_Validation!$A:$D,3,0)</f>
        <v>Véhicules neufs</v>
      </c>
      <c r="V171" s="153" t="str">
        <f>+VLOOKUP($L171,Data_Validation!$A:$D,4,0)</f>
        <v>Autos détail</v>
      </c>
      <c r="W171" s="153" t="str">
        <f>+VLOOKUP($L171,Data_Validation!$A:$E,5,0)</f>
        <v>$</v>
      </c>
      <c r="X171" s="153" t="str">
        <f>+VLOOKUP($L171,Data_Validation!$A:$F,6,0)</f>
        <v>Oui</v>
      </c>
    </row>
    <row r="172" spans="1:24" ht="15.75" customHeight="1">
      <c r="A172" s="1236" t="s">
        <v>2479</v>
      </c>
      <c r="B172" s="1237" t="s">
        <v>2480</v>
      </c>
      <c r="C172" s="1239"/>
      <c r="D172" s="1239"/>
      <c r="E172" s="1239"/>
      <c r="F172" s="1236" t="s">
        <v>4</v>
      </c>
      <c r="G172" s="1236" t="s">
        <v>2012</v>
      </c>
      <c r="H172" s="1238"/>
      <c r="I172" s="1238">
        <v>-28</v>
      </c>
      <c r="J172" s="1238">
        <v>-13</v>
      </c>
      <c r="K172" s="1238">
        <v>-41</v>
      </c>
      <c r="L172" s="150" t="str">
        <f t="shared" si="0"/>
        <v>4107@</v>
      </c>
      <c r="M172" s="151" t="str">
        <f t="shared" si="1"/>
        <v>UNITES VENDUES GOLF</v>
      </c>
      <c r="N172" s="152">
        <f>+IF(OR($Q172=Parametres!$G$2,$Q172=Parametres!$G$3),I172,C172)</f>
        <v>-28</v>
      </c>
      <c r="O172" s="152">
        <f>+IF(OR($Q172=Parametres!$G$2,$Q172=Parametres!$G$3),J172,D172)</f>
        <v>-13</v>
      </c>
      <c r="P172" s="152">
        <f>+IF(OR($Q172=Parametres!$G$2,$Q172=Parametres!$G$3),K172,E172)</f>
        <v>-41</v>
      </c>
      <c r="Q172" s="151" t="str">
        <f t="shared" si="12"/>
        <v>10-Compte compteur</v>
      </c>
      <c r="R172" s="150" t="str">
        <f t="shared" si="12"/>
        <v>4107</v>
      </c>
      <c r="S172" s="151">
        <f t="shared" si="12"/>
        <v>0</v>
      </c>
      <c r="T172" s="153" t="str">
        <f>+VLOOKUP($L172,Data_Validation!$A:$D,1,0)</f>
        <v>4107@</v>
      </c>
      <c r="U172" s="153" t="str">
        <f>+VLOOKUP($L172,Data_Validation!$A:$D,3,0)</f>
        <v>Véhicules neufs</v>
      </c>
      <c r="V172" s="153" t="str">
        <f>+VLOOKUP($L172,Data_Validation!$A:$D,4,0)</f>
        <v>Autos détail</v>
      </c>
      <c r="W172" s="153" t="str">
        <f>+VLOOKUP($L172,Data_Validation!$A:$E,5,0)</f>
        <v>NB</v>
      </c>
      <c r="X172" s="153">
        <f>+VLOOKUP($L172,Data_Validation!$A:$F,6,0)</f>
        <v>0</v>
      </c>
    </row>
    <row r="173" spans="1:24" ht="15" customHeight="1">
      <c r="A173" s="986" t="s">
        <v>2006</v>
      </c>
      <c r="B173" s="1103">
        <v>4111</v>
      </c>
      <c r="C173" s="1006">
        <v>-776849.25</v>
      </c>
      <c r="D173" s="1006">
        <v>-256276.14</v>
      </c>
      <c r="E173" s="1006">
        <v>-1033125.39</v>
      </c>
      <c r="F173" s="986" t="s">
        <v>282</v>
      </c>
      <c r="G173" s="986" t="s">
        <v>2007</v>
      </c>
      <c r="H173" s="987"/>
      <c r="I173" s="988"/>
      <c r="J173" s="988"/>
      <c r="K173" s="988"/>
      <c r="L173" s="150">
        <f t="shared" si="0"/>
        <v>4111</v>
      </c>
      <c r="M173" s="151" t="str">
        <f t="shared" si="1"/>
        <v>VTE - JETTA</v>
      </c>
      <c r="N173" s="152">
        <f>+IF(OR($Q173=Parametres!$G$2,$Q173=Parametres!$G$3),I173,C173)</f>
        <v>-776849.25</v>
      </c>
      <c r="O173" s="152">
        <f>+IF(OR($Q173=Parametres!$G$2,$Q173=Parametres!$G$3),J173,D173)</f>
        <v>-256276.14</v>
      </c>
      <c r="P173" s="152">
        <f>+IF(OR($Q173=Parametres!$G$2,$Q173=Parametres!$G$3),K173,E173)</f>
        <v>-1033125.39</v>
      </c>
      <c r="Q173" s="151" t="str">
        <f t="shared" si="12"/>
        <v>5-Ventes</v>
      </c>
      <c r="R173" s="150" t="str">
        <f t="shared" si="12"/>
        <v>4111</v>
      </c>
      <c r="S173" s="151">
        <f t="shared" si="12"/>
        <v>0</v>
      </c>
      <c r="T173" s="153">
        <f>+VLOOKUP($L173,Data_Validation!$A:$D,1,0)</f>
        <v>4111</v>
      </c>
      <c r="U173" s="153" t="str">
        <f>+VLOOKUP($L173,Data_Validation!$A:$D,3,0)</f>
        <v>Véhicules neufs</v>
      </c>
      <c r="V173" s="153" t="str">
        <f>+VLOOKUP($L173,Data_Validation!$A:$D,4,0)</f>
        <v>Autos détail</v>
      </c>
      <c r="W173" s="153" t="str">
        <f>+VLOOKUP($L173,Data_Validation!$A:$E,5,0)</f>
        <v>$</v>
      </c>
      <c r="X173" s="153" t="str">
        <f>+VLOOKUP($L173,Data_Validation!$A:$F,6,0)</f>
        <v>Oui</v>
      </c>
    </row>
    <row r="174" spans="1:24" ht="15" customHeight="1">
      <c r="A174" s="1236" t="s">
        <v>2483</v>
      </c>
      <c r="B174" s="1237" t="s">
        <v>2484</v>
      </c>
      <c r="C174" s="1239"/>
      <c r="D174" s="1239"/>
      <c r="E174" s="1239"/>
      <c r="F174" s="1236" t="s">
        <v>4</v>
      </c>
      <c r="G174" s="1236" t="s">
        <v>2007</v>
      </c>
      <c r="H174" s="1238"/>
      <c r="I174" s="1238">
        <v>-28</v>
      </c>
      <c r="J174" s="1238">
        <v>-9</v>
      </c>
      <c r="K174" s="1238">
        <v>-37</v>
      </c>
      <c r="L174" s="150" t="str">
        <f t="shared" si="0"/>
        <v>4111@</v>
      </c>
      <c r="M174" s="151" t="str">
        <f t="shared" si="1"/>
        <v>UNITES VENDUES - JETTA</v>
      </c>
      <c r="N174" s="152">
        <f>+IF(OR($Q174=Parametres!$G$2,$Q174=Parametres!$G$3),I174,C174)</f>
        <v>-28</v>
      </c>
      <c r="O174" s="152">
        <f>+IF(OR($Q174=Parametres!$G$2,$Q174=Parametres!$G$3),J174,D174)</f>
        <v>-9</v>
      </c>
      <c r="P174" s="152">
        <f>+IF(OR($Q174=Parametres!$G$2,$Q174=Parametres!$G$3),K174,E174)</f>
        <v>-37</v>
      </c>
      <c r="Q174" s="151" t="str">
        <f t="shared" si="12"/>
        <v>10-Compte compteur</v>
      </c>
      <c r="R174" s="150" t="str">
        <f t="shared" si="12"/>
        <v>4111</v>
      </c>
      <c r="S174" s="151">
        <f t="shared" si="12"/>
        <v>0</v>
      </c>
      <c r="T174" s="153" t="str">
        <f>+VLOOKUP($L174,Data_Validation!$A:$D,1,0)</f>
        <v>4111@</v>
      </c>
      <c r="U174" s="153" t="str">
        <f>+VLOOKUP($L174,Data_Validation!$A:$D,3,0)</f>
        <v>Véhicules neufs</v>
      </c>
      <c r="V174" s="153" t="str">
        <f>+VLOOKUP($L174,Data_Validation!$A:$D,4,0)</f>
        <v>Autos détail</v>
      </c>
      <c r="W174" s="153" t="str">
        <f>+VLOOKUP($L174,Data_Validation!$A:$E,5,0)</f>
        <v>NB</v>
      </c>
      <c r="X174" s="153">
        <f>+VLOOKUP($L174,Data_Validation!$A:$F,6,0)</f>
        <v>0</v>
      </c>
    </row>
    <row r="175" spans="1:24" ht="15" customHeight="1">
      <c r="A175" s="986" t="s">
        <v>1995</v>
      </c>
      <c r="B175" s="1103">
        <v>4119</v>
      </c>
      <c r="C175" s="1006">
        <v>-1778908.25</v>
      </c>
      <c r="D175" s="1006">
        <v>-733241.88</v>
      </c>
      <c r="E175" s="1006">
        <v>-2512150.13</v>
      </c>
      <c r="F175" s="986" t="s">
        <v>282</v>
      </c>
      <c r="G175" s="986" t="s">
        <v>1996</v>
      </c>
      <c r="H175" s="987"/>
      <c r="I175" s="988"/>
      <c r="J175" s="988"/>
      <c r="K175" s="988"/>
      <c r="L175" s="150">
        <f t="shared" si="0"/>
        <v>4119</v>
      </c>
      <c r="M175" s="151" t="str">
        <f t="shared" si="1"/>
        <v>VTE - ATLAS</v>
      </c>
      <c r="N175" s="152">
        <f>+IF(OR($Q175=Parametres!$G$2,$Q175=Parametres!$G$3),I175,C175)</f>
        <v>-1778908.25</v>
      </c>
      <c r="O175" s="152">
        <f>+IF(OR($Q175=Parametres!$G$2,$Q175=Parametres!$G$3),J175,D175)</f>
        <v>-733241.88</v>
      </c>
      <c r="P175" s="152">
        <f>+IF(OR($Q175=Parametres!$G$2,$Q175=Parametres!$G$3),K175,E175)</f>
        <v>-2512150.13</v>
      </c>
      <c r="Q175" s="151" t="str">
        <f t="shared" si="12"/>
        <v>5-Ventes</v>
      </c>
      <c r="R175" s="150" t="str">
        <f t="shared" si="12"/>
        <v>4119</v>
      </c>
      <c r="S175" s="151">
        <f t="shared" si="12"/>
        <v>0</v>
      </c>
      <c r="T175" s="153">
        <f>+VLOOKUP($L175,Data_Validation!$A:$D,1,0)</f>
        <v>4119</v>
      </c>
      <c r="U175" s="153" t="str">
        <f>+VLOOKUP($L175,Data_Validation!$A:$D,3,0)</f>
        <v>Véhicules neufs</v>
      </c>
      <c r="V175" s="153" t="str">
        <f>+VLOOKUP($L175,Data_Validation!$A:$D,4,0)</f>
        <v>Camions détail</v>
      </c>
      <c r="W175" s="153" t="str">
        <f>+VLOOKUP($L175,Data_Validation!$A:$E,5,0)</f>
        <v>$</v>
      </c>
      <c r="X175" s="153" t="str">
        <f>+VLOOKUP($L175,Data_Validation!$A:$F,6,0)</f>
        <v>Oui</v>
      </c>
    </row>
    <row r="176" spans="1:24" ht="15.75" customHeight="1">
      <c r="A176" s="1236" t="s">
        <v>2489</v>
      </c>
      <c r="B176" s="1237" t="s">
        <v>2490</v>
      </c>
      <c r="C176" s="1239"/>
      <c r="D176" s="1239"/>
      <c r="E176" s="1239"/>
      <c r="F176" s="1236" t="s">
        <v>4</v>
      </c>
      <c r="G176" s="1236" t="s">
        <v>1996</v>
      </c>
      <c r="H176" s="1238"/>
      <c r="I176" s="1238">
        <v>-34</v>
      </c>
      <c r="J176" s="1238">
        <v>-14</v>
      </c>
      <c r="K176" s="1238">
        <v>-48</v>
      </c>
      <c r="L176" s="150" t="str">
        <f t="shared" si="0"/>
        <v>4119@</v>
      </c>
      <c r="M176" s="151" t="str">
        <f t="shared" si="1"/>
        <v># DE VTE - ATLAS</v>
      </c>
      <c r="N176" s="152">
        <f>+IF(OR($Q176=Parametres!$G$2,$Q176=Parametres!$G$3),I176,C176)</f>
        <v>-34</v>
      </c>
      <c r="O176" s="152">
        <f>+IF(OR($Q176=Parametres!$G$2,$Q176=Parametres!$G$3),J176,D176)</f>
        <v>-14</v>
      </c>
      <c r="P176" s="152">
        <f>+IF(OR($Q176=Parametres!$G$2,$Q176=Parametres!$G$3),K176,E176)</f>
        <v>-48</v>
      </c>
      <c r="Q176" s="151" t="str">
        <f t="shared" si="12"/>
        <v>10-Compte compteur</v>
      </c>
      <c r="R176" s="150" t="str">
        <f t="shared" si="12"/>
        <v>4119</v>
      </c>
      <c r="S176" s="151">
        <f t="shared" si="12"/>
        <v>0</v>
      </c>
      <c r="T176" s="153" t="str">
        <f>+VLOOKUP($L176,Data_Validation!$A:$D,1,0)</f>
        <v>4119@</v>
      </c>
      <c r="U176" s="153" t="str">
        <f>+VLOOKUP($L176,Data_Validation!$A:$D,3,0)</f>
        <v>Véhicules neufs</v>
      </c>
      <c r="V176" s="153" t="str">
        <f>+VLOOKUP($L176,Data_Validation!$A:$D,4,0)</f>
        <v>Camions détail</v>
      </c>
      <c r="W176" s="153" t="str">
        <f>+VLOOKUP($L176,Data_Validation!$A:$E,5,0)</f>
        <v>NB</v>
      </c>
      <c r="X176" s="153">
        <f>+VLOOKUP($L176,Data_Validation!$A:$F,6,0)</f>
        <v>0</v>
      </c>
    </row>
    <row r="177" spans="1:24" ht="15" customHeight="1">
      <c r="A177" s="986" t="s">
        <v>2882</v>
      </c>
      <c r="B177" s="1103">
        <v>4121</v>
      </c>
      <c r="C177" s="1006">
        <v>-133874.85999999999</v>
      </c>
      <c r="D177" s="1006">
        <v>-97487.18</v>
      </c>
      <c r="E177" s="1006">
        <v>-231362.04</v>
      </c>
      <c r="F177" s="986" t="s">
        <v>282</v>
      </c>
      <c r="G177" s="986" t="s">
        <v>3258</v>
      </c>
      <c r="H177" s="987"/>
      <c r="I177" s="988"/>
      <c r="J177" s="988"/>
      <c r="K177" s="988"/>
      <c r="L177" s="150">
        <f t="shared" si="0"/>
        <v>4121</v>
      </c>
      <c r="M177" s="151" t="str">
        <f t="shared" si="1"/>
        <v>VTES -VTE - ATLAS CROSS SPORT</v>
      </c>
      <c r="N177" s="152">
        <f>+IF(OR($Q177=Parametres!$G$2,$Q177=Parametres!$G$3),I177,C177)</f>
        <v>-133874.85999999999</v>
      </c>
      <c r="O177" s="152">
        <f>+IF(OR($Q177=Parametres!$G$2,$Q177=Parametres!$G$3),J177,D177)</f>
        <v>-97487.18</v>
      </c>
      <c r="P177" s="152">
        <f>+IF(OR($Q177=Parametres!$G$2,$Q177=Parametres!$G$3),K177,E177)</f>
        <v>-231362.04</v>
      </c>
      <c r="Q177" s="151" t="str">
        <f t="shared" si="12"/>
        <v>5-Ventes</v>
      </c>
      <c r="R177" s="150" t="str">
        <f t="shared" si="12"/>
        <v>4121</v>
      </c>
      <c r="S177" s="151">
        <f t="shared" si="12"/>
        <v>0</v>
      </c>
      <c r="T177" s="153">
        <f>+VLOOKUP($L177,Data_Validation!$A:$D,1,0)</f>
        <v>4121</v>
      </c>
      <c r="U177" s="153" t="str">
        <f>+VLOOKUP($L177,Data_Validation!$A:$D,3,0)</f>
        <v>Véhicules neufs</v>
      </c>
      <c r="V177" s="153" t="str">
        <f>+VLOOKUP($L177,Data_Validation!$A:$D,4,0)</f>
        <v>Camions détail</v>
      </c>
      <c r="W177" s="153" t="str">
        <f>+VLOOKUP($L177,Data_Validation!$A:$E,5,0)</f>
        <v>$</v>
      </c>
      <c r="X177" s="153" t="str">
        <f>+VLOOKUP($L177,Data_Validation!$A:$F,6,0)</f>
        <v>oui</v>
      </c>
    </row>
    <row r="178" spans="1:24" ht="15" customHeight="1">
      <c r="A178" s="1236" t="s">
        <v>2883</v>
      </c>
      <c r="B178" s="1237" t="s">
        <v>2884</v>
      </c>
      <c r="C178" s="1239"/>
      <c r="D178" s="1239"/>
      <c r="E178" s="1239"/>
      <c r="F178" s="1236" t="s">
        <v>4</v>
      </c>
      <c r="G178" s="1236" t="s">
        <v>3258</v>
      </c>
      <c r="H178" s="1238"/>
      <c r="I178" s="1238">
        <v>-3</v>
      </c>
      <c r="J178" s="1238">
        <v>-2</v>
      </c>
      <c r="K178" s="1238">
        <v>-5</v>
      </c>
      <c r="L178" s="150" t="str">
        <f t="shared" si="0"/>
        <v>4121@</v>
      </c>
      <c r="M178" s="151" t="str">
        <f t="shared" si="1"/>
        <v># DE VTE - ATLAS CROSS SPORT</v>
      </c>
      <c r="N178" s="152">
        <f>+IF(OR($Q178=Parametres!$G$2,$Q178=Parametres!$G$3),I178,C178)</f>
        <v>-3</v>
      </c>
      <c r="O178" s="152">
        <f>+IF(OR($Q178=Parametres!$G$2,$Q178=Parametres!$G$3),J178,D178)</f>
        <v>-2</v>
      </c>
      <c r="P178" s="152">
        <f>+IF(OR($Q178=Parametres!$G$2,$Q178=Parametres!$G$3),K178,E178)</f>
        <v>-5</v>
      </c>
      <c r="Q178" s="151" t="str">
        <f t="shared" ref="Q178:S193" si="13">+F178</f>
        <v>10-Compte compteur</v>
      </c>
      <c r="R178" s="150" t="str">
        <f t="shared" si="13"/>
        <v>4121</v>
      </c>
      <c r="S178" s="151">
        <f t="shared" si="13"/>
        <v>0</v>
      </c>
      <c r="T178" s="153" t="str">
        <f>+VLOOKUP($L178,Data_Validation!$A:$D,1,0)</f>
        <v>4121@</v>
      </c>
      <c r="U178" s="153" t="str">
        <f>+VLOOKUP($L178,Data_Validation!$A:$D,3,0)</f>
        <v>Véhicules neufs</v>
      </c>
      <c r="V178" s="153" t="str">
        <f>+VLOOKUP($L178,Data_Validation!$A:$D,4,0)</f>
        <v>Camions détail</v>
      </c>
      <c r="W178" s="153" t="str">
        <f>+VLOOKUP($L178,Data_Validation!$A:$E,5,0)</f>
        <v>NB</v>
      </c>
      <c r="X178" s="153">
        <f>+VLOOKUP($L178,Data_Validation!$A:$F,6,0)</f>
        <v>0</v>
      </c>
    </row>
    <row r="179" spans="1:24" ht="15" customHeight="1">
      <c r="A179" s="986" t="s">
        <v>2023</v>
      </c>
      <c r="B179" s="1103">
        <v>4127</v>
      </c>
      <c r="C179" s="1006">
        <v>-456053.99</v>
      </c>
      <c r="D179" s="1006">
        <v>-75613</v>
      </c>
      <c r="E179" s="1006">
        <v>-531666.99</v>
      </c>
      <c r="F179" s="986" t="s">
        <v>282</v>
      </c>
      <c r="G179" s="986" t="s">
        <v>2024</v>
      </c>
      <c r="H179" s="987"/>
      <c r="I179" s="988"/>
      <c r="J179" s="988"/>
      <c r="K179" s="988"/>
      <c r="L179" s="150">
        <f t="shared" si="0"/>
        <v>4127</v>
      </c>
      <c r="M179" s="151" t="str">
        <f t="shared" si="1"/>
        <v>VTE - GOLF GTI</v>
      </c>
      <c r="N179" s="152">
        <f>+IF(OR($Q179=Parametres!$G$2,$Q179=Parametres!$G$3),I179,C179)</f>
        <v>-456053.99</v>
      </c>
      <c r="O179" s="152">
        <f>+IF(OR($Q179=Parametres!$G$2,$Q179=Parametres!$G$3),J179,D179)</f>
        <v>-75613</v>
      </c>
      <c r="P179" s="152">
        <f>+IF(OR($Q179=Parametres!$G$2,$Q179=Parametres!$G$3),K179,E179)</f>
        <v>-531666.99</v>
      </c>
      <c r="Q179" s="151" t="str">
        <f t="shared" si="13"/>
        <v>5-Ventes</v>
      </c>
      <c r="R179" s="150" t="str">
        <f t="shared" si="13"/>
        <v>4127</v>
      </c>
      <c r="S179" s="151">
        <f t="shared" si="13"/>
        <v>0</v>
      </c>
      <c r="T179" s="153">
        <f>+VLOOKUP($L179,Data_Validation!$A:$D,1,0)</f>
        <v>4127</v>
      </c>
      <c r="U179" s="153" t="str">
        <f>+VLOOKUP($L179,Data_Validation!$A:$D,3,0)</f>
        <v>Véhicules neufs</v>
      </c>
      <c r="V179" s="153" t="str">
        <f>+VLOOKUP($L179,Data_Validation!$A:$D,4,0)</f>
        <v>Autos détail</v>
      </c>
      <c r="W179" s="153" t="str">
        <f>+VLOOKUP($L179,Data_Validation!$A:$E,5,0)</f>
        <v>$</v>
      </c>
      <c r="X179" s="153" t="str">
        <f>+VLOOKUP($L179,Data_Validation!$A:$F,6,0)</f>
        <v>Oui</v>
      </c>
    </row>
    <row r="180" spans="1:24" ht="15" customHeight="1">
      <c r="A180" s="1236" t="s">
        <v>2491</v>
      </c>
      <c r="B180" s="1237" t="s">
        <v>2492</v>
      </c>
      <c r="C180" s="1239"/>
      <c r="D180" s="1239"/>
      <c r="E180" s="1239"/>
      <c r="F180" s="1236" t="s">
        <v>4</v>
      </c>
      <c r="G180" s="1236" t="s">
        <v>2024</v>
      </c>
      <c r="H180" s="1238"/>
      <c r="I180" s="1238">
        <v>-12</v>
      </c>
      <c r="J180" s="1238">
        <v>-2</v>
      </c>
      <c r="K180" s="1238">
        <v>-14</v>
      </c>
      <c r="L180" s="150" t="str">
        <f t="shared" si="0"/>
        <v>4127@</v>
      </c>
      <c r="M180" s="151" t="str">
        <f t="shared" si="1"/>
        <v># DE VENTE - GOLF GTI</v>
      </c>
      <c r="N180" s="152">
        <f>+IF(OR($Q180=Parametres!$G$2,$Q180=Parametres!$G$3),I180,C180)</f>
        <v>-12</v>
      </c>
      <c r="O180" s="152">
        <f>+IF(OR($Q180=Parametres!$G$2,$Q180=Parametres!$G$3),J180,D180)</f>
        <v>-2</v>
      </c>
      <c r="P180" s="152">
        <f>+IF(OR($Q180=Parametres!$G$2,$Q180=Parametres!$G$3),K180,E180)</f>
        <v>-14</v>
      </c>
      <c r="Q180" s="151" t="str">
        <f t="shared" si="13"/>
        <v>10-Compte compteur</v>
      </c>
      <c r="R180" s="150" t="str">
        <f t="shared" si="13"/>
        <v>4127</v>
      </c>
      <c r="S180" s="151">
        <f t="shared" si="13"/>
        <v>0</v>
      </c>
      <c r="T180" s="153" t="str">
        <f>+VLOOKUP($L180,Data_Validation!$A:$D,1,0)</f>
        <v>4127@</v>
      </c>
      <c r="U180" s="153" t="str">
        <f>+VLOOKUP($L180,Data_Validation!$A:$D,3,0)</f>
        <v>Véhicules neufs</v>
      </c>
      <c r="V180" s="153" t="str">
        <f>+VLOOKUP($L180,Data_Validation!$A:$D,4,0)</f>
        <v>Autos détail</v>
      </c>
      <c r="W180" s="153" t="str">
        <f>+VLOOKUP($L180,Data_Validation!$A:$E,5,0)</f>
        <v>NB</v>
      </c>
      <c r="X180" s="153">
        <f>+VLOOKUP($L180,Data_Validation!$A:$F,6,0)</f>
        <v>0</v>
      </c>
    </row>
    <row r="181" spans="1:24" ht="15.75" customHeight="1">
      <c r="A181" s="986" t="s">
        <v>1991</v>
      </c>
      <c r="B181" s="1103">
        <v>4131</v>
      </c>
      <c r="C181" s="1006">
        <v>-2916118.4</v>
      </c>
      <c r="D181" s="1006">
        <v>-1639201.63</v>
      </c>
      <c r="E181" s="1006">
        <v>-4555320.03</v>
      </c>
      <c r="F181" s="986" t="s">
        <v>282</v>
      </c>
      <c r="G181" s="986" t="s">
        <v>1992</v>
      </c>
      <c r="H181" s="987"/>
      <c r="I181" s="988"/>
      <c r="J181" s="988"/>
      <c r="K181" s="988"/>
      <c r="L181" s="150">
        <f t="shared" si="0"/>
        <v>4131</v>
      </c>
      <c r="M181" s="151" t="str">
        <f t="shared" si="1"/>
        <v>VTE - TIGUAN LWB</v>
      </c>
      <c r="N181" s="152">
        <f>+IF(OR($Q181=Parametres!$G$2,$Q181=Parametres!$G$3),I181,C181)</f>
        <v>-2916118.4</v>
      </c>
      <c r="O181" s="152">
        <f>+IF(OR($Q181=Parametres!$G$2,$Q181=Parametres!$G$3),J181,D181)</f>
        <v>-1639201.63</v>
      </c>
      <c r="P181" s="152">
        <f>+IF(OR($Q181=Parametres!$G$2,$Q181=Parametres!$G$3),K181,E181)</f>
        <v>-4555320.03</v>
      </c>
      <c r="Q181" s="151" t="str">
        <f t="shared" si="13"/>
        <v>5-Ventes</v>
      </c>
      <c r="R181" s="150" t="str">
        <f t="shared" si="13"/>
        <v>4131</v>
      </c>
      <c r="S181" s="151">
        <f t="shared" si="13"/>
        <v>0</v>
      </c>
      <c r="T181" s="153">
        <f>+VLOOKUP($L181,Data_Validation!$A:$D,1,0)</f>
        <v>4131</v>
      </c>
      <c r="U181" s="153" t="str">
        <f>+VLOOKUP($L181,Data_Validation!$A:$D,3,0)</f>
        <v>Véhicules neufs</v>
      </c>
      <c r="V181" s="153" t="str">
        <f>+VLOOKUP($L181,Data_Validation!$A:$D,4,0)</f>
        <v>Camions détail</v>
      </c>
      <c r="W181" s="153" t="str">
        <f>+VLOOKUP($L181,Data_Validation!$A:$E,5,0)</f>
        <v>$</v>
      </c>
      <c r="X181" s="153" t="str">
        <f>+VLOOKUP($L181,Data_Validation!$A:$F,6,0)</f>
        <v>Oui</v>
      </c>
    </row>
    <row r="182" spans="1:24" ht="15.75" customHeight="1">
      <c r="A182" s="1236" t="s">
        <v>2493</v>
      </c>
      <c r="B182" s="1237" t="s">
        <v>2494</v>
      </c>
      <c r="C182" s="1239"/>
      <c r="D182" s="1239"/>
      <c r="E182" s="1239"/>
      <c r="F182" s="1236" t="s">
        <v>4</v>
      </c>
      <c r="G182" s="1236" t="s">
        <v>1992</v>
      </c>
      <c r="H182" s="1238"/>
      <c r="I182" s="1238">
        <v>-75</v>
      </c>
      <c r="J182" s="1238">
        <v>-42</v>
      </c>
      <c r="K182" s="1238">
        <v>-117</v>
      </c>
      <c r="L182" s="150" t="str">
        <f t="shared" si="0"/>
        <v>4131@</v>
      </c>
      <c r="M182" s="151" t="str">
        <f t="shared" si="1"/>
        <v># DE VTE - TIGUAN LWB</v>
      </c>
      <c r="N182" s="152">
        <f>+IF(OR($Q182=Parametres!$G$2,$Q182=Parametres!$G$3),I182,C182)</f>
        <v>-75</v>
      </c>
      <c r="O182" s="152">
        <f>+IF(OR($Q182=Parametres!$G$2,$Q182=Parametres!$G$3),J182,D182)</f>
        <v>-42</v>
      </c>
      <c r="P182" s="152">
        <f>+IF(OR($Q182=Parametres!$G$2,$Q182=Parametres!$G$3),K182,E182)</f>
        <v>-117</v>
      </c>
      <c r="Q182" s="151" t="str">
        <f t="shared" si="13"/>
        <v>10-Compte compteur</v>
      </c>
      <c r="R182" s="150" t="str">
        <f t="shared" si="13"/>
        <v>4131</v>
      </c>
      <c r="S182" s="151">
        <f t="shared" si="13"/>
        <v>0</v>
      </c>
      <c r="T182" s="153" t="str">
        <f>+VLOOKUP($L182,Data_Validation!$A:$D,1,0)</f>
        <v>4131@</v>
      </c>
      <c r="U182" s="153" t="str">
        <f>+VLOOKUP($L182,Data_Validation!$A:$D,3,0)</f>
        <v>Véhicules neufs</v>
      </c>
      <c r="V182" s="153" t="str">
        <f>+VLOOKUP($L182,Data_Validation!$A:$D,4,0)</f>
        <v>Camions détail</v>
      </c>
      <c r="W182" s="153" t="str">
        <f>+VLOOKUP($L182,Data_Validation!$A:$E,5,0)</f>
        <v>NB</v>
      </c>
      <c r="X182" s="153">
        <f>+VLOOKUP($L182,Data_Validation!$A:$F,6,0)</f>
        <v>0</v>
      </c>
    </row>
    <row r="183" spans="1:24" ht="15.75" customHeight="1">
      <c r="A183" s="986" t="s">
        <v>2021</v>
      </c>
      <c r="B183" s="1103">
        <v>4135</v>
      </c>
      <c r="C183" s="1006">
        <v>-354962.21</v>
      </c>
      <c r="D183" s="1006">
        <v>0</v>
      </c>
      <c r="E183" s="1006">
        <v>-354962.21</v>
      </c>
      <c r="F183" s="986" t="s">
        <v>282</v>
      </c>
      <c r="G183" s="986" t="s">
        <v>2022</v>
      </c>
      <c r="H183" s="987"/>
      <c r="I183" s="988"/>
      <c r="J183" s="988"/>
      <c r="K183" s="988"/>
      <c r="L183" s="150">
        <f t="shared" si="0"/>
        <v>4135</v>
      </c>
      <c r="M183" s="151" t="str">
        <f t="shared" si="1"/>
        <v>VTE - EGOLF</v>
      </c>
      <c r="N183" s="152">
        <f>+IF(OR($Q183=Parametres!$G$2,$Q183=Parametres!$G$3),I183,C183)</f>
        <v>-354962.21</v>
      </c>
      <c r="O183" s="152">
        <f>+IF(OR($Q183=Parametres!$G$2,$Q183=Parametres!$G$3),J183,D183)</f>
        <v>0</v>
      </c>
      <c r="P183" s="152">
        <f>+IF(OR($Q183=Parametres!$G$2,$Q183=Parametres!$G$3),K183,E183)</f>
        <v>-354962.21</v>
      </c>
      <c r="Q183" s="151" t="str">
        <f t="shared" si="13"/>
        <v>5-Ventes</v>
      </c>
      <c r="R183" s="150" t="str">
        <f t="shared" si="13"/>
        <v>4135</v>
      </c>
      <c r="S183" s="151">
        <f t="shared" si="13"/>
        <v>0</v>
      </c>
      <c r="T183" s="153">
        <f>+VLOOKUP($L183,Data_Validation!$A:$D,1,0)</f>
        <v>4135</v>
      </c>
      <c r="U183" s="153" t="str">
        <f>+VLOOKUP($L183,Data_Validation!$A:$D,3,0)</f>
        <v>Véhicules neufs</v>
      </c>
      <c r="V183" s="153" t="str">
        <f>+VLOOKUP($L183,Data_Validation!$A:$D,4,0)</f>
        <v>Autos détail</v>
      </c>
      <c r="W183" s="153" t="str">
        <f>+VLOOKUP($L183,Data_Validation!$A:$E,5,0)</f>
        <v>$</v>
      </c>
      <c r="X183" s="153" t="str">
        <f>+VLOOKUP($L183,Data_Validation!$A:$F,6,0)</f>
        <v>Oui</v>
      </c>
    </row>
    <row r="184" spans="1:24" ht="15.75" customHeight="1">
      <c r="A184" s="1236" t="s">
        <v>2495</v>
      </c>
      <c r="B184" s="1237" t="s">
        <v>2496</v>
      </c>
      <c r="C184" s="1239"/>
      <c r="D184" s="1239"/>
      <c r="E184" s="1239"/>
      <c r="F184" s="1236" t="s">
        <v>4</v>
      </c>
      <c r="G184" s="1236" t="s">
        <v>2497</v>
      </c>
      <c r="H184" s="1238"/>
      <c r="I184" s="1238">
        <v>-10</v>
      </c>
      <c r="J184" s="1238">
        <v>0</v>
      </c>
      <c r="K184" s="1238">
        <v>-10</v>
      </c>
      <c r="L184" s="150" t="str">
        <f t="shared" si="0"/>
        <v>4135@</v>
      </c>
      <c r="M184" s="151" t="str">
        <f t="shared" si="1"/>
        <v>UNITES VENDUES - EGOLF</v>
      </c>
      <c r="N184" s="152">
        <f>+IF(OR($Q184=Parametres!$G$2,$Q184=Parametres!$G$3),I184,C184)</f>
        <v>-10</v>
      </c>
      <c r="O184" s="152">
        <f>+IF(OR($Q184=Parametres!$G$2,$Q184=Parametres!$G$3),J184,D184)</f>
        <v>0</v>
      </c>
      <c r="P184" s="152">
        <f>+IF(OR($Q184=Parametres!$G$2,$Q184=Parametres!$G$3),K184,E184)</f>
        <v>-10</v>
      </c>
      <c r="Q184" s="151" t="str">
        <f t="shared" si="13"/>
        <v>10-Compte compteur</v>
      </c>
      <c r="R184" s="150" t="str">
        <f t="shared" si="13"/>
        <v>84135</v>
      </c>
      <c r="S184" s="151">
        <f t="shared" si="13"/>
        <v>0</v>
      </c>
      <c r="T184" s="153" t="str">
        <f>+VLOOKUP($L184,Data_Validation!$A:$D,1,0)</f>
        <v>4135@</v>
      </c>
      <c r="U184" s="153" t="str">
        <f>+VLOOKUP($L184,Data_Validation!$A:$D,3,0)</f>
        <v>Véhicules neufs</v>
      </c>
      <c r="V184" s="153" t="str">
        <f>+VLOOKUP($L184,Data_Validation!$A:$D,4,0)</f>
        <v>Autos détail</v>
      </c>
      <c r="W184" s="153" t="str">
        <f>+VLOOKUP($L184,Data_Validation!$A:$E,5,0)</f>
        <v>NB</v>
      </c>
      <c r="X184" s="153">
        <f>+VLOOKUP($L184,Data_Validation!$A:$F,6,0)</f>
        <v>0</v>
      </c>
    </row>
    <row r="185" spans="1:24" ht="15.75" customHeight="1">
      <c r="A185" s="986" t="s">
        <v>2432</v>
      </c>
      <c r="B185" s="1103">
        <v>4137</v>
      </c>
      <c r="C185" s="1006">
        <v>-469780</v>
      </c>
      <c r="D185" s="1006">
        <v>-161950</v>
      </c>
      <c r="E185" s="1006">
        <v>-631730</v>
      </c>
      <c r="F185" s="986" t="s">
        <v>282</v>
      </c>
      <c r="G185" s="986" t="s">
        <v>2433</v>
      </c>
      <c r="H185" s="987"/>
      <c r="I185" s="988"/>
      <c r="J185" s="988"/>
      <c r="K185" s="988"/>
      <c r="L185" s="150">
        <f t="shared" si="0"/>
        <v>4137</v>
      </c>
      <c r="M185" s="151" t="str">
        <f t="shared" si="1"/>
        <v>VTE - VW-FLOTTE/VENTES ENTR/EMPLOYE/VEH DEMON</v>
      </c>
      <c r="N185" s="152">
        <f>+IF(OR($Q185=Parametres!$G$2,$Q185=Parametres!$G$3),I185,C185)</f>
        <v>-469780</v>
      </c>
      <c r="O185" s="152">
        <f>+IF(OR($Q185=Parametres!$G$2,$Q185=Parametres!$G$3),J185,D185)</f>
        <v>-161950</v>
      </c>
      <c r="P185" s="152">
        <f>+IF(OR($Q185=Parametres!$G$2,$Q185=Parametres!$G$3),K185,E185)</f>
        <v>-631730</v>
      </c>
      <c r="Q185" s="151" t="str">
        <f t="shared" si="13"/>
        <v>5-Ventes</v>
      </c>
      <c r="R185" s="150" t="str">
        <f t="shared" si="13"/>
        <v>4137</v>
      </c>
      <c r="S185" s="151">
        <f t="shared" si="13"/>
        <v>0</v>
      </c>
      <c r="T185" s="153">
        <f>+VLOOKUP($L185,Data_Validation!$A:$D,1,0)</f>
        <v>4137</v>
      </c>
      <c r="U185" s="153" t="str">
        <f>+VLOOKUP($L185,Data_Validation!$A:$D,3,0)</f>
        <v>Véhicules neufs</v>
      </c>
      <c r="V185" s="153" t="str">
        <f>+VLOOKUP($L185,Data_Validation!$A:$D,4,0)</f>
        <v>Flottes</v>
      </c>
      <c r="W185" s="153" t="str">
        <f>+VLOOKUP($L185,Data_Validation!$A:$E,5,0)</f>
        <v>$</v>
      </c>
      <c r="X185" s="153" t="str">
        <f>+VLOOKUP($L185,Data_Validation!$A:$F,6,0)</f>
        <v>Oui</v>
      </c>
    </row>
    <row r="186" spans="1:24" ht="15.75" customHeight="1">
      <c r="A186" s="1236" t="s">
        <v>2498</v>
      </c>
      <c r="B186" s="1237" t="s">
        <v>2499</v>
      </c>
      <c r="C186" s="1239"/>
      <c r="D186" s="1239"/>
      <c r="E186" s="1239"/>
      <c r="F186" s="1236" t="s">
        <v>4</v>
      </c>
      <c r="G186" s="1236" t="s">
        <v>2433</v>
      </c>
      <c r="H186" s="1238"/>
      <c r="I186" s="1238">
        <v>-13</v>
      </c>
      <c r="J186" s="1238">
        <v>-4</v>
      </c>
      <c r="K186" s="1238">
        <v>-17</v>
      </c>
      <c r="L186" s="150" t="str">
        <f t="shared" si="0"/>
        <v>4137@</v>
      </c>
      <c r="M186" s="151" t="str">
        <f t="shared" si="1"/>
        <v>VW FLOTTE/VENTE ENTR/EMPLOYE/VEH DEMONST</v>
      </c>
      <c r="N186" s="152">
        <f>+IF(OR($Q186=Parametres!$G$2,$Q186=Parametres!$G$3),I186,C186)</f>
        <v>-13</v>
      </c>
      <c r="O186" s="152">
        <f>+IF(OR($Q186=Parametres!$G$2,$Q186=Parametres!$G$3),J186,D186)</f>
        <v>-4</v>
      </c>
      <c r="P186" s="152">
        <f>+IF(OR($Q186=Parametres!$G$2,$Q186=Parametres!$G$3),K186,E186)</f>
        <v>-17</v>
      </c>
      <c r="Q186" s="151" t="str">
        <f t="shared" si="13"/>
        <v>10-Compte compteur</v>
      </c>
      <c r="R186" s="150" t="str">
        <f t="shared" si="13"/>
        <v>4137</v>
      </c>
      <c r="S186" s="151">
        <f t="shared" si="13"/>
        <v>0</v>
      </c>
      <c r="T186" s="153" t="str">
        <f>+VLOOKUP($L186,Data_Validation!$A:$D,1,0)</f>
        <v>4137@</v>
      </c>
      <c r="U186" s="153" t="str">
        <f>+VLOOKUP($L186,Data_Validation!$A:$D,3,0)</f>
        <v>Véhicules neufs</v>
      </c>
      <c r="V186" s="153" t="str">
        <f>+VLOOKUP($L186,Data_Validation!$A:$D,4,0)</f>
        <v>Flottes</v>
      </c>
      <c r="W186" s="153" t="str">
        <f>+VLOOKUP($L186,Data_Validation!$A:$E,5,0)</f>
        <v>NB</v>
      </c>
      <c r="X186" s="153">
        <f>+VLOOKUP($L186,Data_Validation!$A:$F,6,0)</f>
        <v>0</v>
      </c>
    </row>
    <row r="187" spans="1:24" ht="15" customHeight="1">
      <c r="A187" s="986" t="s">
        <v>1997</v>
      </c>
      <c r="B187" s="1103">
        <v>4139</v>
      </c>
      <c r="C187" s="1006">
        <v>-881178.22</v>
      </c>
      <c r="D187" s="1006">
        <v>-168792.39</v>
      </c>
      <c r="E187" s="1006">
        <v>-1049970.6100000001</v>
      </c>
      <c r="F187" s="986" t="s">
        <v>282</v>
      </c>
      <c r="G187" s="986" t="s">
        <v>1998</v>
      </c>
      <c r="H187" s="987"/>
      <c r="I187" s="988"/>
      <c r="J187" s="988"/>
      <c r="K187" s="988"/>
      <c r="L187" s="150">
        <f t="shared" si="0"/>
        <v>4139</v>
      </c>
      <c r="M187" s="151" t="str">
        <f t="shared" si="1"/>
        <v>VTE - VW FLOTTE/VENTE ENTR/EMPLOYE/VEH DEMONS</v>
      </c>
      <c r="N187" s="152">
        <f>+IF(OR($Q187=Parametres!$G$2,$Q187=Parametres!$G$3),I187,C187)</f>
        <v>-881178.22</v>
      </c>
      <c r="O187" s="152">
        <f>+IF(OR($Q187=Parametres!$G$2,$Q187=Parametres!$G$3),J187,D187)</f>
        <v>-168792.39</v>
      </c>
      <c r="P187" s="152">
        <f>+IF(OR($Q187=Parametres!$G$2,$Q187=Parametres!$G$3),K187,E187)</f>
        <v>-1049970.6100000001</v>
      </c>
      <c r="Q187" s="151" t="str">
        <f t="shared" si="13"/>
        <v>5-Ventes</v>
      </c>
      <c r="R187" s="150" t="str">
        <f t="shared" si="13"/>
        <v>4139</v>
      </c>
      <c r="S187" s="151">
        <f t="shared" si="13"/>
        <v>0</v>
      </c>
      <c r="T187" s="153">
        <f>+VLOOKUP($L187,Data_Validation!$A:$D,1,0)</f>
        <v>4139</v>
      </c>
      <c r="U187" s="153" t="str">
        <f>+VLOOKUP($L187,Data_Validation!$A:$D,3,0)</f>
        <v>Véhicules neufs</v>
      </c>
      <c r="V187" s="153" t="str">
        <f>+VLOOKUP($L187,Data_Validation!$A:$D,4,0)</f>
        <v>Ex-Démos et courtoisies</v>
      </c>
      <c r="W187" s="153" t="str">
        <f>+VLOOKUP($L187,Data_Validation!$A:$E,5,0)</f>
        <v>$</v>
      </c>
      <c r="X187" s="153" t="str">
        <f>+VLOOKUP($L187,Data_Validation!$A:$F,6,0)</f>
        <v>Oui</v>
      </c>
    </row>
    <row r="188" spans="1:24" ht="15" customHeight="1">
      <c r="A188" s="1236" t="s">
        <v>2500</v>
      </c>
      <c r="B188" s="1237" t="s">
        <v>2501</v>
      </c>
      <c r="C188" s="1239"/>
      <c r="D188" s="1239"/>
      <c r="E188" s="1239"/>
      <c r="F188" s="1236" t="s">
        <v>4</v>
      </c>
      <c r="G188" s="1236" t="s">
        <v>1998</v>
      </c>
      <c r="H188" s="1238"/>
      <c r="I188" s="1238">
        <v>-27</v>
      </c>
      <c r="J188" s="1238">
        <v>-4</v>
      </c>
      <c r="K188" s="1238">
        <v>-31</v>
      </c>
      <c r="L188" s="150" t="str">
        <f t="shared" si="0"/>
        <v>4139@</v>
      </c>
      <c r="M188" s="151" t="str">
        <f t="shared" si="1"/>
        <v>VENTES A PARK AVENUE LOCATION</v>
      </c>
      <c r="N188" s="152">
        <f>+IF(OR($Q188=Parametres!$G$2,$Q188=Parametres!$G$3),I188,C188)</f>
        <v>-27</v>
      </c>
      <c r="O188" s="152">
        <f>+IF(OR($Q188=Parametres!$G$2,$Q188=Parametres!$G$3),J188,D188)</f>
        <v>-4</v>
      </c>
      <c r="P188" s="152">
        <f>+IF(OR($Q188=Parametres!$G$2,$Q188=Parametres!$G$3),K188,E188)</f>
        <v>-31</v>
      </c>
      <c r="Q188" s="151" t="str">
        <f t="shared" si="13"/>
        <v>10-Compte compteur</v>
      </c>
      <c r="R188" s="150" t="str">
        <f t="shared" si="13"/>
        <v>4139</v>
      </c>
      <c r="S188" s="151">
        <f t="shared" si="13"/>
        <v>0</v>
      </c>
      <c r="T188" s="153" t="str">
        <f>+VLOOKUP($L188,Data_Validation!$A:$D,1,0)</f>
        <v>4139@</v>
      </c>
      <c r="U188" s="153" t="str">
        <f>+VLOOKUP($L188,Data_Validation!$A:$D,3,0)</f>
        <v>Véhicules neufs</v>
      </c>
      <c r="V188" s="153" t="str">
        <f>+VLOOKUP($L188,Data_Validation!$A:$D,4,0)</f>
        <v>Ex-Démos et courtoisies</v>
      </c>
      <c r="W188" s="153" t="str">
        <f>+VLOOKUP($L188,Data_Validation!$A:$E,5,0)</f>
        <v>NB</v>
      </c>
      <c r="X188" s="153">
        <f>+VLOOKUP($L188,Data_Validation!$A:$F,6,0)</f>
        <v>0</v>
      </c>
    </row>
    <row r="189" spans="1:24" ht="15" customHeight="1">
      <c r="A189" s="1236" t="s">
        <v>1993</v>
      </c>
      <c r="B189" s="1237">
        <v>4201</v>
      </c>
      <c r="C189" s="1240">
        <v>-2632515.19</v>
      </c>
      <c r="D189" s="1240">
        <v>-893730.4</v>
      </c>
      <c r="E189" s="1240">
        <v>-3526245.59</v>
      </c>
      <c r="F189" s="1236" t="s">
        <v>282</v>
      </c>
      <c r="G189" s="1236" t="s">
        <v>1994</v>
      </c>
      <c r="H189" s="1238"/>
      <c r="I189" s="1239"/>
      <c r="J189" s="1239"/>
      <c r="K189" s="1239"/>
      <c r="L189" s="150">
        <f t="shared" si="0"/>
        <v>4201</v>
      </c>
      <c r="M189" s="151" t="str">
        <f t="shared" si="1"/>
        <v>VTE - VEH.USAGE VW DETAIL CERTIFIE</v>
      </c>
      <c r="N189" s="152">
        <f>+IF(OR($Q189=Parametres!$G$2,$Q189=Parametres!$G$3),I189,C189)</f>
        <v>-2632515.19</v>
      </c>
      <c r="O189" s="152">
        <f>+IF(OR($Q189=Parametres!$G$2,$Q189=Parametres!$G$3),J189,D189)</f>
        <v>-893730.4</v>
      </c>
      <c r="P189" s="152">
        <f>+IF(OR($Q189=Parametres!$G$2,$Q189=Parametres!$G$3),K189,E189)</f>
        <v>-3526245.59</v>
      </c>
      <c r="Q189" s="151" t="str">
        <f t="shared" si="13"/>
        <v>5-Ventes</v>
      </c>
      <c r="R189" s="150" t="str">
        <f t="shared" si="13"/>
        <v>4201</v>
      </c>
      <c r="S189" s="151">
        <f t="shared" si="13"/>
        <v>0</v>
      </c>
      <c r="T189" s="153">
        <f>+VLOOKUP($L189,Data_Validation!$A:$D,1,0)</f>
        <v>4201</v>
      </c>
      <c r="U189" s="153" t="str">
        <f>+VLOOKUP($L189,Data_Validation!$A:$D,3,0)</f>
        <v>Véhicules usagés</v>
      </c>
      <c r="V189" s="153" t="str">
        <f>+VLOOKUP($L189,Data_Validation!$A:$D,4,0)</f>
        <v>Certifié</v>
      </c>
      <c r="W189" s="153" t="str">
        <f>+VLOOKUP($L189,Data_Validation!$A:$E,5,0)</f>
        <v>$</v>
      </c>
      <c r="X189" s="153" t="str">
        <f>+VLOOKUP($L189,Data_Validation!$A:$F,6,0)</f>
        <v>Oui</v>
      </c>
    </row>
    <row r="190" spans="1:24" ht="15" customHeight="1">
      <c r="A190" s="986" t="s">
        <v>2502</v>
      </c>
      <c r="B190" s="1103" t="s">
        <v>2503</v>
      </c>
      <c r="C190" s="988"/>
      <c r="D190" s="988"/>
      <c r="E190" s="988"/>
      <c r="F190" s="986" t="s">
        <v>4</v>
      </c>
      <c r="G190" s="986" t="s">
        <v>1994</v>
      </c>
      <c r="H190" s="987"/>
      <c r="I190" s="987">
        <v>-125</v>
      </c>
      <c r="J190" s="987">
        <v>-38</v>
      </c>
      <c r="K190" s="987">
        <v>-163</v>
      </c>
      <c r="L190" s="150" t="str">
        <f t="shared" si="0"/>
        <v>4201@</v>
      </c>
      <c r="M190" s="151" t="str">
        <f t="shared" si="1"/>
        <v># DE VTE - VEH.USAGE VW DET.CERT.</v>
      </c>
      <c r="N190" s="152">
        <f>+IF(OR($Q190=Parametres!$G$2,$Q190=Parametres!$G$3),I190,C190)</f>
        <v>-125</v>
      </c>
      <c r="O190" s="152">
        <f>+IF(OR($Q190=Parametres!$G$2,$Q190=Parametres!$G$3),J190,D190)</f>
        <v>-38</v>
      </c>
      <c r="P190" s="152">
        <f>+IF(OR($Q190=Parametres!$G$2,$Q190=Parametres!$G$3),K190,E190)</f>
        <v>-163</v>
      </c>
      <c r="Q190" s="151" t="str">
        <f t="shared" si="13"/>
        <v>10-Compte compteur</v>
      </c>
      <c r="R190" s="150" t="str">
        <f t="shared" si="13"/>
        <v>4201</v>
      </c>
      <c r="S190" s="151">
        <f t="shared" si="13"/>
        <v>0</v>
      </c>
      <c r="T190" s="153" t="str">
        <f>+VLOOKUP($L190,Data_Validation!$A:$D,1,0)</f>
        <v>4201@</v>
      </c>
      <c r="U190" s="153" t="str">
        <f>+VLOOKUP($L190,Data_Validation!$A:$D,3,0)</f>
        <v>Véhicules usagés</v>
      </c>
      <c r="V190" s="153" t="str">
        <f>+VLOOKUP($L190,Data_Validation!$A:$D,4,0)</f>
        <v>Certifié</v>
      </c>
      <c r="W190" s="153" t="str">
        <f>+VLOOKUP($L190,Data_Validation!$A:$E,5,0)</f>
        <v>NB</v>
      </c>
      <c r="X190" s="153">
        <f>+VLOOKUP($L190,Data_Validation!$A:$F,6,0)</f>
        <v>0</v>
      </c>
    </row>
    <row r="191" spans="1:24" ht="15" customHeight="1">
      <c r="A191" s="1236" t="s">
        <v>2031</v>
      </c>
      <c r="B191" s="1237">
        <v>4285</v>
      </c>
      <c r="C191" s="1240">
        <v>-76014</v>
      </c>
      <c r="D191" s="1240">
        <v>-16451</v>
      </c>
      <c r="E191" s="1240">
        <v>-92465</v>
      </c>
      <c r="F191" s="1236" t="s">
        <v>282</v>
      </c>
      <c r="G191" s="1236" t="s">
        <v>2033</v>
      </c>
      <c r="H191" s="1238"/>
      <c r="I191" s="1239"/>
      <c r="J191" s="1239"/>
      <c r="K191" s="1239"/>
      <c r="L191" s="150">
        <f t="shared" si="0"/>
        <v>4285</v>
      </c>
      <c r="M191" s="151" t="str">
        <f t="shared" si="1"/>
        <v>VEH. D'OCC. AUTRE DETAIL</v>
      </c>
      <c r="N191" s="152">
        <f>+IF(OR($Q191=Parametres!$G$2,$Q191=Parametres!$G$3),I191,C191)</f>
        <v>-76014</v>
      </c>
      <c r="O191" s="152">
        <f>+IF(OR($Q191=Parametres!$G$2,$Q191=Parametres!$G$3),J191,D191)</f>
        <v>-16451</v>
      </c>
      <c r="P191" s="152">
        <f>+IF(OR($Q191=Parametres!$G$2,$Q191=Parametres!$G$3),K191,E191)</f>
        <v>-92465</v>
      </c>
      <c r="Q191" s="151" t="str">
        <f t="shared" si="13"/>
        <v>5-Ventes</v>
      </c>
      <c r="R191" s="150" t="str">
        <f t="shared" si="13"/>
        <v>4261</v>
      </c>
      <c r="S191" s="151">
        <f t="shared" si="13"/>
        <v>0</v>
      </c>
      <c r="T191" s="153">
        <f>+VLOOKUP($L191,Data_Validation!$A:$D,1,0)</f>
        <v>4285</v>
      </c>
      <c r="U191" s="153" t="str">
        <f>+VLOOKUP($L191,Data_Validation!$A:$D,3,0)</f>
        <v>Véhicules usagés</v>
      </c>
      <c r="V191" s="153" t="str">
        <f>+VLOOKUP($L191,Data_Validation!$A:$D,4,0)</f>
        <v>Non Certifié</v>
      </c>
      <c r="W191" s="153" t="str">
        <f>+VLOOKUP($L191,Data_Validation!$A:$E,5,0)</f>
        <v>$</v>
      </c>
      <c r="X191" s="153" t="str">
        <f>+VLOOKUP($L191,Data_Validation!$A:$F,6,0)</f>
        <v>Oui</v>
      </c>
    </row>
    <row r="192" spans="1:24" ht="15" customHeight="1">
      <c r="A192" s="986" t="s">
        <v>2506</v>
      </c>
      <c r="B192" s="1103" t="s">
        <v>2507</v>
      </c>
      <c r="C192" s="988"/>
      <c r="D192" s="988"/>
      <c r="E192" s="988"/>
      <c r="F192" s="986" t="s">
        <v>4</v>
      </c>
      <c r="G192" s="986" t="s">
        <v>2033</v>
      </c>
      <c r="H192" s="987"/>
      <c r="I192" s="987">
        <v>-3</v>
      </c>
      <c r="J192" s="987">
        <v>-1</v>
      </c>
      <c r="K192" s="987">
        <v>-4</v>
      </c>
      <c r="L192" s="150" t="str">
        <f t="shared" si="0"/>
        <v>4285@</v>
      </c>
      <c r="M192" s="151" t="str">
        <f t="shared" si="1"/>
        <v>AUTRE MARQUES DETAIL - USAGE</v>
      </c>
      <c r="N192" s="152">
        <f>+IF(OR($Q192=Parametres!$G$2,$Q192=Parametres!$G$3),I192,C192)</f>
        <v>-3</v>
      </c>
      <c r="O192" s="152">
        <f>+IF(OR($Q192=Parametres!$G$2,$Q192=Parametres!$G$3),J192,D192)</f>
        <v>-1</v>
      </c>
      <c r="P192" s="152">
        <f>+IF(OR($Q192=Parametres!$G$2,$Q192=Parametres!$G$3),K192,E192)</f>
        <v>-4</v>
      </c>
      <c r="Q192" s="151" t="str">
        <f t="shared" si="13"/>
        <v>10-Compte compteur</v>
      </c>
      <c r="R192" s="150" t="str">
        <f t="shared" si="13"/>
        <v>4261</v>
      </c>
      <c r="S192" s="151">
        <f t="shared" si="13"/>
        <v>0</v>
      </c>
      <c r="T192" s="153" t="str">
        <f>+VLOOKUP($L192,Data_Validation!$A:$D,1,0)</f>
        <v>4285@</v>
      </c>
      <c r="U192" s="153" t="str">
        <f>+VLOOKUP($L192,Data_Validation!$A:$D,3,0)</f>
        <v>Véhicules usagés</v>
      </c>
      <c r="V192" s="153" t="str">
        <f>+VLOOKUP($L192,Data_Validation!$A:$D,4,0)</f>
        <v>Non Certifié</v>
      </c>
      <c r="W192" s="153" t="str">
        <f>+VLOOKUP($L192,Data_Validation!$A:$E,5,0)</f>
        <v>NB</v>
      </c>
      <c r="X192" s="153">
        <f>+VLOOKUP($L192,Data_Validation!$A:$F,6,0)</f>
        <v>0</v>
      </c>
    </row>
    <row r="193" spans="1:24" ht="15" customHeight="1">
      <c r="A193" s="1236" t="s">
        <v>1999</v>
      </c>
      <c r="B193" s="1237">
        <v>4291</v>
      </c>
      <c r="C193" s="1240">
        <v>-1382566</v>
      </c>
      <c r="D193" s="1240">
        <v>-432260</v>
      </c>
      <c r="E193" s="1240">
        <v>-1814826</v>
      </c>
      <c r="F193" s="1236" t="s">
        <v>282</v>
      </c>
      <c r="G193" s="1236" t="s">
        <v>2001</v>
      </c>
      <c r="H193" s="1238"/>
      <c r="I193" s="1239"/>
      <c r="J193" s="1239"/>
      <c r="K193" s="1239"/>
      <c r="L193" s="150">
        <f t="shared" si="0"/>
        <v>4291</v>
      </c>
      <c r="M193" s="151" t="str">
        <f t="shared" si="1"/>
        <v>VEH. D'OCC. AU GROS</v>
      </c>
      <c r="N193" s="152">
        <f>+IF(OR($Q193=Parametres!$G$2,$Q193=Parametres!$G$3),I193,C193)</f>
        <v>-1382566</v>
      </c>
      <c r="O193" s="152">
        <f>+IF(OR($Q193=Parametres!$G$2,$Q193=Parametres!$G$3),J193,D193)</f>
        <v>-432260</v>
      </c>
      <c r="P193" s="152">
        <f>+IF(OR($Q193=Parametres!$G$2,$Q193=Parametres!$G$3),K193,E193)</f>
        <v>-1814826</v>
      </c>
      <c r="Q193" s="151" t="str">
        <f t="shared" si="13"/>
        <v>5-Ventes</v>
      </c>
      <c r="R193" s="150" t="str">
        <f t="shared" si="13"/>
        <v>4281</v>
      </c>
      <c r="S193" s="151">
        <f t="shared" si="13"/>
        <v>0</v>
      </c>
      <c r="T193" s="153">
        <f>+VLOOKUP($L193,Data_Validation!$A:$D,1,0)</f>
        <v>4291</v>
      </c>
      <c r="U193" s="153" t="str">
        <f>+VLOOKUP($L193,Data_Validation!$A:$D,3,0)</f>
        <v>Véhicules usagés</v>
      </c>
      <c r="V193" s="153" t="str">
        <f>+VLOOKUP($L193,Data_Validation!$A:$D,4,0)</f>
        <v>Ventes au Gros</v>
      </c>
      <c r="W193" s="153" t="str">
        <f>+VLOOKUP($L193,Data_Validation!$A:$E,5,0)</f>
        <v>$</v>
      </c>
      <c r="X193" s="153" t="str">
        <f>+VLOOKUP($L193,Data_Validation!$A:$F,6,0)</f>
        <v>Oui</v>
      </c>
    </row>
    <row r="194" spans="1:24" ht="15.75" customHeight="1">
      <c r="A194" s="986" t="s">
        <v>2508</v>
      </c>
      <c r="B194" s="1103" t="s">
        <v>2509</v>
      </c>
      <c r="C194" s="988"/>
      <c r="D194" s="988"/>
      <c r="E194" s="988"/>
      <c r="F194" s="986" t="s">
        <v>4</v>
      </c>
      <c r="G194" s="986" t="s">
        <v>2001</v>
      </c>
      <c r="H194" s="987"/>
      <c r="I194" s="987">
        <v>-117</v>
      </c>
      <c r="J194" s="987">
        <v>-41</v>
      </c>
      <c r="K194" s="987">
        <v>-158</v>
      </c>
      <c r="L194" s="150" t="str">
        <f t="shared" si="0"/>
        <v>4291@</v>
      </c>
      <c r="M194" s="151" t="str">
        <f t="shared" si="1"/>
        <v>VENTE AU GROS - USAGES</v>
      </c>
      <c r="N194" s="152">
        <f>+IF(OR($Q194=Parametres!$G$2,$Q194=Parametres!$G$3),I194,C194)</f>
        <v>-117</v>
      </c>
      <c r="O194" s="152">
        <f>+IF(OR($Q194=Parametres!$G$2,$Q194=Parametres!$G$3),J194,D194)</f>
        <v>-41</v>
      </c>
      <c r="P194" s="152">
        <f>+IF(OR($Q194=Parametres!$G$2,$Q194=Parametres!$G$3),K194,E194)</f>
        <v>-158</v>
      </c>
      <c r="Q194" s="151" t="str">
        <f t="shared" ref="Q194:S209" si="14">+F194</f>
        <v>10-Compte compteur</v>
      </c>
      <c r="R194" s="150" t="str">
        <f t="shared" si="14"/>
        <v>4281</v>
      </c>
      <c r="S194" s="151">
        <f t="shared" si="14"/>
        <v>0</v>
      </c>
      <c r="T194" s="153" t="str">
        <f>+VLOOKUP($L194,Data_Validation!$A:$D,1,0)</f>
        <v>4291@</v>
      </c>
      <c r="U194" s="153" t="str">
        <f>+VLOOKUP($L194,Data_Validation!$A:$D,3,0)</f>
        <v>Véhicules usagés</v>
      </c>
      <c r="V194" s="153" t="str">
        <f>+VLOOKUP($L194,Data_Validation!$A:$D,4,0)</f>
        <v>Ventes au Gros</v>
      </c>
      <c r="W194" s="153" t="str">
        <f>+VLOOKUP($L194,Data_Validation!$A:$E,5,0)</f>
        <v>NB</v>
      </c>
      <c r="X194" s="153">
        <f>+VLOOKUP($L194,Data_Validation!$A:$F,6,0)</f>
        <v>0</v>
      </c>
    </row>
    <row r="195" spans="1:24" ht="15" customHeight="1">
      <c r="A195" s="1236" t="s">
        <v>2004</v>
      </c>
      <c r="B195" s="1237">
        <v>4401</v>
      </c>
      <c r="C195" s="1240">
        <v>-365290.06</v>
      </c>
      <c r="D195" s="1240">
        <v>-119544.87</v>
      </c>
      <c r="E195" s="1240">
        <v>-484834.93</v>
      </c>
      <c r="F195" s="1236" t="s">
        <v>282</v>
      </c>
      <c r="G195" s="1236" t="s">
        <v>2005</v>
      </c>
      <c r="H195" s="1238"/>
      <c r="I195" s="1239"/>
      <c r="J195" s="1239"/>
      <c r="K195" s="1239"/>
      <c r="L195" s="150">
        <f t="shared" si="0"/>
        <v>4401</v>
      </c>
      <c r="M195" s="151" t="str">
        <f t="shared" si="1"/>
        <v>M.O. MECANIQUE-VENTE CLIENTS</v>
      </c>
      <c r="N195" s="152">
        <f>+IF(OR($Q195=Parametres!$G$2,$Q195=Parametres!$G$3),I195,C195)</f>
        <v>-365290.06</v>
      </c>
      <c r="O195" s="152">
        <f>+IF(OR($Q195=Parametres!$G$2,$Q195=Parametres!$G$3),J195,D195)</f>
        <v>-119544.87</v>
      </c>
      <c r="P195" s="152">
        <f>+IF(OR($Q195=Parametres!$G$2,$Q195=Parametres!$G$3),K195,E195)</f>
        <v>-484834.93</v>
      </c>
      <c r="Q195" s="151" t="str">
        <f t="shared" si="14"/>
        <v>5-Ventes</v>
      </c>
      <c r="R195" s="150" t="str">
        <f t="shared" si="14"/>
        <v>4401</v>
      </c>
      <c r="S195" s="151">
        <f t="shared" si="14"/>
        <v>0</v>
      </c>
      <c r="T195" s="153">
        <f>+VLOOKUP($L195,Data_Validation!$A:$D,1,0)</f>
        <v>4401</v>
      </c>
      <c r="U195" s="153" t="str">
        <f>+VLOOKUP($L195,Data_Validation!$A:$D,3,0)</f>
        <v>Service</v>
      </c>
      <c r="V195" s="153" t="str">
        <f>+VLOOKUP($L195,Data_Validation!$A:$D,4,0)</f>
        <v>M/O Client</v>
      </c>
      <c r="W195" s="153" t="str">
        <f>+VLOOKUP($L195,Data_Validation!$A:$E,5,0)</f>
        <v>$</v>
      </c>
      <c r="X195" s="153" t="str">
        <f>+VLOOKUP($L195,Data_Validation!$A:$F,6,0)</f>
        <v>Oui</v>
      </c>
    </row>
    <row r="196" spans="1:24" ht="15" customHeight="1">
      <c r="A196" s="986" t="s">
        <v>2004</v>
      </c>
      <c r="B196" s="1103" t="s">
        <v>2510</v>
      </c>
      <c r="C196" s="988"/>
      <c r="D196" s="988"/>
      <c r="E196" s="988"/>
      <c r="F196" s="986" t="s">
        <v>4</v>
      </c>
      <c r="G196" s="986" t="s">
        <v>2005</v>
      </c>
      <c r="H196" s="987"/>
      <c r="I196" s="987">
        <v>-1662</v>
      </c>
      <c r="J196" s="987">
        <v>-554</v>
      </c>
      <c r="K196" s="987">
        <v>-2216</v>
      </c>
      <c r="L196" s="150" t="str">
        <f t="shared" si="0"/>
        <v>4401@</v>
      </c>
      <c r="M196" s="151" t="str">
        <f t="shared" si="1"/>
        <v>M.O. MECANIQUE-VENTE CLIENTS</v>
      </c>
      <c r="N196" s="152">
        <f>+IF(OR($Q196=Parametres!$G$2,$Q196=Parametres!$G$3),I196,C196)</f>
        <v>-1662</v>
      </c>
      <c r="O196" s="152">
        <f>+IF(OR($Q196=Parametres!$G$2,$Q196=Parametres!$G$3),J196,D196)</f>
        <v>-554</v>
      </c>
      <c r="P196" s="152">
        <f>+IF(OR($Q196=Parametres!$G$2,$Q196=Parametres!$G$3),K196,E196)</f>
        <v>-2216</v>
      </c>
      <c r="Q196" s="151" t="str">
        <f t="shared" si="14"/>
        <v>10-Compte compteur</v>
      </c>
      <c r="R196" s="150" t="str">
        <f t="shared" si="14"/>
        <v>4401</v>
      </c>
      <c r="S196" s="151">
        <f t="shared" si="14"/>
        <v>0</v>
      </c>
      <c r="T196" s="153" t="str">
        <f>+VLOOKUP($L196,Data_Validation!$A:$D,1,0)</f>
        <v>4401@</v>
      </c>
      <c r="U196" s="153" t="str">
        <f>+VLOOKUP($L196,Data_Validation!$A:$D,3,0)</f>
        <v>Service</v>
      </c>
      <c r="V196" s="153" t="str">
        <f>+VLOOKUP($L196,Data_Validation!$A:$D,4,0)</f>
        <v>M/O Client</v>
      </c>
      <c r="W196" s="153" t="str">
        <f>+VLOOKUP($L196,Data_Validation!$A:$E,5,0)</f>
        <v>NB</v>
      </c>
      <c r="X196" s="153">
        <f>+VLOOKUP($L196,Data_Validation!$A:$F,6,0)</f>
        <v>0</v>
      </c>
    </row>
    <row r="197" spans="1:24" ht="15" customHeight="1">
      <c r="A197" s="1236" t="s">
        <v>2184</v>
      </c>
      <c r="B197" s="1237">
        <v>4402</v>
      </c>
      <c r="C197" s="1240">
        <v>-1618.61</v>
      </c>
      <c r="D197" s="1240">
        <v>-504.86</v>
      </c>
      <c r="E197" s="1240">
        <v>-2123.4699999999998</v>
      </c>
      <c r="F197" s="1236" t="s">
        <v>282</v>
      </c>
      <c r="G197" s="1236" t="s">
        <v>2185</v>
      </c>
      <c r="H197" s="1238"/>
      <c r="I197" s="1239"/>
      <c r="J197" s="1239"/>
      <c r="K197" s="1239"/>
      <c r="L197" s="150">
        <f t="shared" si="0"/>
        <v>4402</v>
      </c>
      <c r="M197" s="151" t="str">
        <f t="shared" si="1"/>
        <v>VTE - M.O. ESTHETIQUE CLIENT</v>
      </c>
      <c r="N197" s="152">
        <f>+IF(OR($Q197=Parametres!$G$2,$Q197=Parametres!$G$3),I197,C197)</f>
        <v>-1618.61</v>
      </c>
      <c r="O197" s="152">
        <f>+IF(OR($Q197=Parametres!$G$2,$Q197=Parametres!$G$3),J197,D197)</f>
        <v>-504.86</v>
      </c>
      <c r="P197" s="152">
        <f>+IF(OR($Q197=Parametres!$G$2,$Q197=Parametres!$G$3),K197,E197)</f>
        <v>-2123.4699999999998</v>
      </c>
      <c r="Q197" s="151" t="str">
        <f t="shared" si="14"/>
        <v>5-Ventes</v>
      </c>
      <c r="R197" s="150" t="str">
        <f t="shared" si="14"/>
        <v>4402</v>
      </c>
      <c r="S197" s="151">
        <f t="shared" si="14"/>
        <v>0</v>
      </c>
      <c r="T197" s="153">
        <f>+VLOOKUP($L197,Data_Validation!$A:$D,1,0)</f>
        <v>4402</v>
      </c>
      <c r="U197" s="153" t="str">
        <f>+VLOOKUP($L197,Data_Validation!$A:$D,3,0)</f>
        <v>Service</v>
      </c>
      <c r="V197" s="153" t="str">
        <f>+VLOOKUP($L197,Data_Validation!$A:$D,4,0)</f>
        <v>M/O Esthétique</v>
      </c>
      <c r="W197" s="153" t="str">
        <f>+VLOOKUP($L197,Data_Validation!$A:$E,5,0)</f>
        <v>$</v>
      </c>
      <c r="X197" s="153" t="str">
        <f>+VLOOKUP($L197,Data_Validation!$A:$F,6,0)</f>
        <v>Oui</v>
      </c>
    </row>
    <row r="198" spans="1:24" ht="15" customHeight="1">
      <c r="A198" s="986" t="s">
        <v>2034</v>
      </c>
      <c r="B198" s="1103">
        <v>4403</v>
      </c>
      <c r="C198" s="988">
        <v>-215251.45</v>
      </c>
      <c r="D198" s="988">
        <v>-59705.25</v>
      </c>
      <c r="E198" s="988">
        <v>-274956.7</v>
      </c>
      <c r="F198" s="986" t="s">
        <v>282</v>
      </c>
      <c r="G198" s="986" t="s">
        <v>2035</v>
      </c>
      <c r="H198" s="987"/>
      <c r="I198" s="987"/>
      <c r="J198" s="987"/>
      <c r="K198" s="987"/>
      <c r="L198" s="150">
        <f t="shared" si="0"/>
        <v>4403</v>
      </c>
      <c r="M198" s="151" t="str">
        <f t="shared" si="1"/>
        <v>M.O. MECANIQUE-VENTE GAR. MANU</v>
      </c>
      <c r="N198" s="152">
        <f>+IF(OR($Q198=Parametres!$G$2,$Q198=Parametres!$G$3),I198,C198)</f>
        <v>-215251.45</v>
      </c>
      <c r="O198" s="152">
        <f>+IF(OR($Q198=Parametres!$G$2,$Q198=Parametres!$G$3),J198,D198)</f>
        <v>-59705.25</v>
      </c>
      <c r="P198" s="152">
        <f>+IF(OR($Q198=Parametres!$G$2,$Q198=Parametres!$G$3),K198,E198)</f>
        <v>-274956.7</v>
      </c>
      <c r="Q198" s="151" t="str">
        <f t="shared" si="14"/>
        <v>5-Ventes</v>
      </c>
      <c r="R198" s="150" t="str">
        <f t="shared" si="14"/>
        <v>4403</v>
      </c>
      <c r="S198" s="151">
        <f t="shared" si="14"/>
        <v>0</v>
      </c>
      <c r="T198" s="153">
        <f>+VLOOKUP($L198,Data_Validation!$A:$D,1,0)</f>
        <v>4403</v>
      </c>
      <c r="U198" s="153" t="str">
        <f>+VLOOKUP($L198,Data_Validation!$A:$D,3,0)</f>
        <v>Service</v>
      </c>
      <c r="V198" s="153" t="str">
        <f>+VLOOKUP($L198,Data_Validation!$A:$D,4,0)</f>
        <v>M/O Garantie</v>
      </c>
      <c r="W198" s="153" t="str">
        <f>+VLOOKUP($L198,Data_Validation!$A:$E,5,0)</f>
        <v>$</v>
      </c>
      <c r="X198" s="153" t="str">
        <f>+VLOOKUP($L198,Data_Validation!$A:$F,6,0)</f>
        <v>Oui</v>
      </c>
    </row>
    <row r="199" spans="1:24" ht="15.75" customHeight="1">
      <c r="A199" s="1236" t="s">
        <v>2034</v>
      </c>
      <c r="B199" s="1237" t="s">
        <v>2513</v>
      </c>
      <c r="C199" s="1240"/>
      <c r="D199" s="1240"/>
      <c r="E199" s="1240"/>
      <c r="F199" s="1236" t="s">
        <v>4</v>
      </c>
      <c r="G199" s="1236" t="s">
        <v>2035</v>
      </c>
      <c r="H199" s="1238"/>
      <c r="I199" s="1239">
        <v>-976</v>
      </c>
      <c r="J199" s="1239">
        <v>-246</v>
      </c>
      <c r="K199" s="1239">
        <v>-1222</v>
      </c>
      <c r="L199" s="150" t="str">
        <f t="shared" si="0"/>
        <v>4403@</v>
      </c>
      <c r="M199" s="151" t="str">
        <f t="shared" si="1"/>
        <v>M.O. MECANIQUE-VENTE GAR. MANU</v>
      </c>
      <c r="N199" s="152">
        <f>+IF(OR($Q199=Parametres!$G$2,$Q199=Parametres!$G$3),I199,C199)</f>
        <v>-976</v>
      </c>
      <c r="O199" s="152">
        <f>+IF(OR($Q199=Parametres!$G$2,$Q199=Parametres!$G$3),J199,D199)</f>
        <v>-246</v>
      </c>
      <c r="P199" s="152">
        <f>+IF(OR($Q199=Parametres!$G$2,$Q199=Parametres!$G$3),K199,E199)</f>
        <v>-1222</v>
      </c>
      <c r="Q199" s="151" t="str">
        <f t="shared" si="14"/>
        <v>10-Compte compteur</v>
      </c>
      <c r="R199" s="150" t="str">
        <f t="shared" si="14"/>
        <v>4403</v>
      </c>
      <c r="S199" s="151">
        <f t="shared" si="14"/>
        <v>0</v>
      </c>
      <c r="T199" s="153" t="str">
        <f>+VLOOKUP($L199,Data_Validation!$A:$D,1,0)</f>
        <v>4403@</v>
      </c>
      <c r="U199" s="153" t="str">
        <f>+VLOOKUP($L199,Data_Validation!$A:$D,3,0)</f>
        <v>Service</v>
      </c>
      <c r="V199" s="153" t="str">
        <f>+VLOOKUP($L199,Data_Validation!$A:$D,4,0)</f>
        <v>M/O Garantie</v>
      </c>
      <c r="W199" s="153" t="str">
        <f>+VLOOKUP($L199,Data_Validation!$A:$E,5,0)</f>
        <v>NB</v>
      </c>
      <c r="X199" s="153">
        <f>+VLOOKUP($L199,Data_Validation!$A:$F,6,0)</f>
        <v>0</v>
      </c>
    </row>
    <row r="200" spans="1:24" ht="15" customHeight="1">
      <c r="A200" s="986" t="s">
        <v>2044</v>
      </c>
      <c r="B200" s="1103">
        <v>4405</v>
      </c>
      <c r="C200" s="988">
        <v>-213562.16</v>
      </c>
      <c r="D200" s="988">
        <v>-51693.14</v>
      </c>
      <c r="E200" s="988">
        <v>-265255.3</v>
      </c>
      <c r="F200" s="986" t="s">
        <v>282</v>
      </c>
      <c r="G200" s="986" t="s">
        <v>2045</v>
      </c>
      <c r="H200" s="987"/>
      <c r="I200" s="987"/>
      <c r="J200" s="987"/>
      <c r="K200" s="1006"/>
      <c r="L200" s="150">
        <f t="shared" si="0"/>
        <v>4405</v>
      </c>
      <c r="M200" s="151" t="str">
        <f t="shared" si="1"/>
        <v>M.O. MECANIQUE-VENTE INTERNE</v>
      </c>
      <c r="N200" s="152">
        <f>+IF(OR($Q200=Parametres!$G$2,$Q200=Parametres!$G$3),I200,C200)</f>
        <v>-213562.16</v>
      </c>
      <c r="O200" s="152">
        <f>+IF(OR($Q200=Parametres!$G$2,$Q200=Parametres!$G$3),J200,D200)</f>
        <v>-51693.14</v>
      </c>
      <c r="P200" s="152">
        <f>+IF(OR($Q200=Parametres!$G$2,$Q200=Parametres!$G$3),K200,E200)</f>
        <v>-265255.3</v>
      </c>
      <c r="Q200" s="151" t="str">
        <f t="shared" si="14"/>
        <v>5-Ventes</v>
      </c>
      <c r="R200" s="150" t="str">
        <f t="shared" si="14"/>
        <v>4405</v>
      </c>
      <c r="S200" s="151">
        <f t="shared" si="14"/>
        <v>0</v>
      </c>
      <c r="T200" s="153">
        <f>+VLOOKUP($L200,Data_Validation!$A:$D,1,0)</f>
        <v>4405</v>
      </c>
      <c r="U200" s="153" t="str">
        <f>+VLOOKUP($L200,Data_Validation!$A:$D,3,0)</f>
        <v>Service</v>
      </c>
      <c r="V200" s="153" t="str">
        <f>+VLOOKUP($L200,Data_Validation!$A:$D,4,0)</f>
        <v>M/O Interne</v>
      </c>
      <c r="W200" s="153" t="str">
        <f>+VLOOKUP($L200,Data_Validation!$A:$E,5,0)</f>
        <v>$</v>
      </c>
      <c r="X200" s="153" t="str">
        <f>+VLOOKUP($L200,Data_Validation!$A:$F,6,0)</f>
        <v>Oui</v>
      </c>
    </row>
    <row r="201" spans="1:24" ht="15" customHeight="1">
      <c r="A201" s="1236" t="s">
        <v>2044</v>
      </c>
      <c r="B201" s="1237" t="s">
        <v>2514</v>
      </c>
      <c r="C201" s="1240"/>
      <c r="D201" s="1240"/>
      <c r="E201" s="1240"/>
      <c r="F201" s="1236" t="s">
        <v>4</v>
      </c>
      <c r="G201" s="1236" t="s">
        <v>2045</v>
      </c>
      <c r="H201" s="1238"/>
      <c r="I201" s="1239">
        <v>-1085</v>
      </c>
      <c r="J201" s="1239">
        <v>-302</v>
      </c>
      <c r="K201" s="1239">
        <v>-1387</v>
      </c>
      <c r="L201" s="150" t="str">
        <f t="shared" si="0"/>
        <v>4405@</v>
      </c>
      <c r="M201" s="151" t="str">
        <f t="shared" si="1"/>
        <v>M.O. MECANIQUE-VENTE INTERNE</v>
      </c>
      <c r="N201" s="152">
        <f>+IF(OR($Q201=Parametres!$G$2,$Q201=Parametres!$G$3),I201,C201)</f>
        <v>-1085</v>
      </c>
      <c r="O201" s="152">
        <f>+IF(OR($Q201=Parametres!$G$2,$Q201=Parametres!$G$3),J201,D201)</f>
        <v>-302</v>
      </c>
      <c r="P201" s="152">
        <f>+IF(OR($Q201=Parametres!$G$2,$Q201=Parametres!$G$3),K201,E201)</f>
        <v>-1387</v>
      </c>
      <c r="Q201" s="151" t="str">
        <f t="shared" si="14"/>
        <v>10-Compte compteur</v>
      </c>
      <c r="R201" s="150" t="str">
        <f t="shared" si="14"/>
        <v>4405</v>
      </c>
      <c r="S201" s="151">
        <f t="shared" si="14"/>
        <v>0</v>
      </c>
      <c r="T201" s="153" t="str">
        <f>+VLOOKUP($L201,Data_Validation!$A:$D,1,0)</f>
        <v>4405@</v>
      </c>
      <c r="U201" s="153" t="str">
        <f>+VLOOKUP($L201,Data_Validation!$A:$D,3,0)</f>
        <v>Service</v>
      </c>
      <c r="V201" s="153" t="str">
        <f>+VLOOKUP($L201,Data_Validation!$A:$D,4,0)</f>
        <v>M/O Interne</v>
      </c>
      <c r="W201" s="153" t="str">
        <f>+VLOOKUP($L201,Data_Validation!$A:$E,5,0)</f>
        <v>NB</v>
      </c>
      <c r="X201" s="153">
        <f>+VLOOKUP($L201,Data_Validation!$A:$F,6,0)</f>
        <v>0</v>
      </c>
    </row>
    <row r="202" spans="1:24" ht="15" customHeight="1">
      <c r="A202" s="986" t="s">
        <v>2064</v>
      </c>
      <c r="B202" s="1103">
        <v>4451</v>
      </c>
      <c r="C202" s="988">
        <v>-62000.53</v>
      </c>
      <c r="D202" s="988">
        <v>-17764.38</v>
      </c>
      <c r="E202" s="988">
        <v>-79764.91</v>
      </c>
      <c r="F202" s="986" t="s">
        <v>282</v>
      </c>
      <c r="G202" s="986" t="s">
        <v>2066</v>
      </c>
      <c r="H202" s="987"/>
      <c r="I202" s="987"/>
      <c r="J202" s="987"/>
      <c r="K202" s="1006"/>
      <c r="L202" s="150">
        <f t="shared" si="0"/>
        <v>4451</v>
      </c>
      <c r="M202" s="151" t="str">
        <f t="shared" si="1"/>
        <v>CARBURANT/HUILE/GRAISSE</v>
      </c>
      <c r="N202" s="152">
        <f>+IF(OR($Q202=Parametres!$G$2,$Q202=Parametres!$G$3),I202,C202)</f>
        <v>-62000.53</v>
      </c>
      <c r="O202" s="152">
        <f>+IF(OR($Q202=Parametres!$G$2,$Q202=Parametres!$G$3),J202,D202)</f>
        <v>-17764.38</v>
      </c>
      <c r="P202" s="152">
        <f>+IF(OR($Q202=Parametres!$G$2,$Q202=Parametres!$G$3),K202,E202)</f>
        <v>-79764.91</v>
      </c>
      <c r="Q202" s="151" t="str">
        <f t="shared" si="14"/>
        <v>5-Ventes</v>
      </c>
      <c r="R202" s="150" t="str">
        <f t="shared" si="14"/>
        <v>4782</v>
      </c>
      <c r="S202" s="151">
        <f t="shared" si="14"/>
        <v>0</v>
      </c>
      <c r="T202" s="153">
        <f>+VLOOKUP($L202,Data_Validation!$A:$D,1,0)</f>
        <v>4451</v>
      </c>
      <c r="U202" s="153" t="str">
        <f>+VLOOKUP($L202,Data_Validation!$A:$D,3,0)</f>
        <v>Pièces</v>
      </c>
      <c r="V202" s="153" t="str">
        <f>+VLOOKUP($L202,Data_Validation!$A:$D,4,0)</f>
        <v>Huiles et Graisse</v>
      </c>
      <c r="W202" s="153" t="str">
        <f>+VLOOKUP($L202,Data_Validation!$A:$E,5,0)</f>
        <v>$</v>
      </c>
      <c r="X202" s="153" t="str">
        <f>+VLOOKUP($L202,Data_Validation!$A:$F,6,0)</f>
        <v>Oui</v>
      </c>
    </row>
    <row r="203" spans="1:24" ht="15" customHeight="1">
      <c r="A203" s="1236" t="s">
        <v>2064</v>
      </c>
      <c r="B203" s="1237" t="s">
        <v>2517</v>
      </c>
      <c r="C203" s="1240"/>
      <c r="D203" s="1240"/>
      <c r="E203" s="1240"/>
      <c r="F203" s="1236" t="s">
        <v>4</v>
      </c>
      <c r="G203" s="1236" t="s">
        <v>2066</v>
      </c>
      <c r="H203" s="1238"/>
      <c r="I203" s="1239">
        <v>-1123</v>
      </c>
      <c r="J203" s="1239">
        <v>-333</v>
      </c>
      <c r="K203" s="1239">
        <v>-1456</v>
      </c>
      <c r="L203" s="150" t="str">
        <f t="shared" si="0"/>
        <v>4451@</v>
      </c>
      <c r="M203" s="151" t="str">
        <f t="shared" si="1"/>
        <v>CARBURANT/HUILE/GRAISSE</v>
      </c>
      <c r="N203" s="152">
        <f>+IF(OR($Q203=Parametres!$G$2,$Q203=Parametres!$G$3),I203,C203)</f>
        <v>-1123</v>
      </c>
      <c r="O203" s="152">
        <f>+IF(OR($Q203=Parametres!$G$2,$Q203=Parametres!$G$3),J203,D203)</f>
        <v>-333</v>
      </c>
      <c r="P203" s="152">
        <f>+IF(OR($Q203=Parametres!$G$2,$Q203=Parametres!$G$3),K203,E203)</f>
        <v>-1456</v>
      </c>
      <c r="Q203" s="151" t="str">
        <f t="shared" si="14"/>
        <v>10-Compte compteur</v>
      </c>
      <c r="R203" s="150" t="str">
        <f t="shared" si="14"/>
        <v>4782</v>
      </c>
      <c r="S203" s="151">
        <f t="shared" si="14"/>
        <v>0</v>
      </c>
      <c r="T203" s="153" t="str">
        <f>+VLOOKUP($L203,Data_Validation!$A:$D,1,0)</f>
        <v>4451@</v>
      </c>
      <c r="U203" s="153" t="str">
        <f>+VLOOKUP($L203,Data_Validation!$A:$D,3,0)</f>
        <v>Pièces</v>
      </c>
      <c r="V203" s="153" t="str">
        <f>+VLOOKUP($L203,Data_Validation!$A:$D,4,0)</f>
        <v>Huiles et Graisse</v>
      </c>
      <c r="W203" s="153" t="str">
        <f>+VLOOKUP($L203,Data_Validation!$A:$E,5,0)</f>
        <v>NB</v>
      </c>
      <c r="X203" s="153">
        <f>+VLOOKUP($L203,Data_Validation!$A:$F,6,0)</f>
        <v>0</v>
      </c>
    </row>
    <row r="204" spans="1:24" ht="15" customHeight="1">
      <c r="A204" s="986" t="s">
        <v>2137</v>
      </c>
      <c r="B204" s="1103">
        <v>4491</v>
      </c>
      <c r="C204" s="988">
        <v>-7078.47</v>
      </c>
      <c r="D204" s="988">
        <v>-1529.24</v>
      </c>
      <c r="E204" s="988">
        <v>-8607.7099999999991</v>
      </c>
      <c r="F204" s="986" t="s">
        <v>282</v>
      </c>
      <c r="G204" s="986" t="s">
        <v>2138</v>
      </c>
      <c r="H204" s="987"/>
      <c r="I204" s="987"/>
      <c r="J204" s="987"/>
      <c r="K204" s="987"/>
      <c r="L204" s="150">
        <f t="shared" si="0"/>
        <v>4491</v>
      </c>
      <c r="M204" s="151" t="str">
        <f t="shared" si="1"/>
        <v>REPARATION SOUS-LOC. - GENERAL</v>
      </c>
      <c r="N204" s="152">
        <f>+IF(OR($Q204=Parametres!$G$2,$Q204=Parametres!$G$3),I204,C204)</f>
        <v>-7078.47</v>
      </c>
      <c r="O204" s="152">
        <f>+IF(OR($Q204=Parametres!$G$2,$Q204=Parametres!$G$3),J204,D204)</f>
        <v>-1529.24</v>
      </c>
      <c r="P204" s="152">
        <f>+IF(OR($Q204=Parametres!$G$2,$Q204=Parametres!$G$3),K204,E204)</f>
        <v>-8607.7099999999991</v>
      </c>
      <c r="Q204" s="151" t="str">
        <f t="shared" si="14"/>
        <v>5-Ventes</v>
      </c>
      <c r="R204" s="150" t="str">
        <f t="shared" si="14"/>
        <v>4491</v>
      </c>
      <c r="S204" s="151">
        <f t="shared" si="14"/>
        <v>0</v>
      </c>
      <c r="T204" s="153">
        <f>+VLOOKUP($L204,Data_Validation!$A:$D,1,0)</f>
        <v>4491</v>
      </c>
      <c r="U204" s="153" t="str">
        <f>+VLOOKUP($L204,Data_Validation!$A:$D,3,0)</f>
        <v>Service</v>
      </c>
      <c r="V204" s="153" t="str">
        <f>+VLOOKUP($L204,Data_Validation!$A:$D,4,0)</f>
        <v>Sous-traitement</v>
      </c>
      <c r="W204" s="153" t="str">
        <f>+VLOOKUP($L204,Data_Validation!$A:$E,5,0)</f>
        <v>$</v>
      </c>
      <c r="X204" s="153" t="str">
        <f>+VLOOKUP($L204,Data_Validation!$A:$F,6,0)</f>
        <v>Oui</v>
      </c>
    </row>
    <row r="205" spans="1:24" ht="15" customHeight="1">
      <c r="A205" s="1236" t="s">
        <v>2137</v>
      </c>
      <c r="B205" s="1237" t="s">
        <v>2518</v>
      </c>
      <c r="C205" s="1240"/>
      <c r="D205" s="1240"/>
      <c r="E205" s="1240"/>
      <c r="F205" s="1236" t="s">
        <v>4</v>
      </c>
      <c r="G205" s="1236" t="s">
        <v>2138</v>
      </c>
      <c r="H205" s="1238"/>
      <c r="I205" s="1239">
        <v>-34</v>
      </c>
      <c r="J205" s="1239">
        <v>-9</v>
      </c>
      <c r="K205" s="1239">
        <v>-43</v>
      </c>
      <c r="L205" s="150" t="str">
        <f t="shared" si="0"/>
        <v>4491@</v>
      </c>
      <c r="M205" s="151" t="str">
        <f t="shared" si="1"/>
        <v>REPARATION SOUS-LOC. - GENERAL</v>
      </c>
      <c r="N205" s="152">
        <f>+IF(OR($Q205=Parametres!$G$2,$Q205=Parametres!$G$3),I205,C205)</f>
        <v>-34</v>
      </c>
      <c r="O205" s="152">
        <f>+IF(OR($Q205=Parametres!$G$2,$Q205=Parametres!$G$3),J205,D205)</f>
        <v>-9</v>
      </c>
      <c r="P205" s="152">
        <f>+IF(OR($Q205=Parametres!$G$2,$Q205=Parametres!$G$3),K205,E205)</f>
        <v>-43</v>
      </c>
      <c r="Q205" s="151" t="str">
        <f t="shared" si="14"/>
        <v>10-Compte compteur</v>
      </c>
      <c r="R205" s="150" t="str">
        <f t="shared" si="14"/>
        <v>4491</v>
      </c>
      <c r="S205" s="151">
        <f t="shared" si="14"/>
        <v>0</v>
      </c>
      <c r="T205" s="153" t="str">
        <f>+VLOOKUP($L205,Data_Validation!$A:$D,1,0)</f>
        <v>4491@</v>
      </c>
      <c r="U205" s="153" t="str">
        <f>+VLOOKUP($L205,Data_Validation!$A:$D,3,0)</f>
        <v>Service</v>
      </c>
      <c r="V205" s="153" t="str">
        <f>+VLOOKUP($L205,Data_Validation!$A:$D,4,0)</f>
        <v>Sous-traitement</v>
      </c>
      <c r="W205" s="153" t="str">
        <f>+VLOOKUP($L205,Data_Validation!$A:$E,5,0)</f>
        <v>NB</v>
      </c>
      <c r="X205" s="153">
        <f>+VLOOKUP($L205,Data_Validation!$A:$F,6,0)</f>
        <v>0</v>
      </c>
    </row>
    <row r="206" spans="1:24" ht="15.75" customHeight="1">
      <c r="A206" s="986" t="s">
        <v>2160</v>
      </c>
      <c r="B206" s="1103">
        <v>4493</v>
      </c>
      <c r="C206" s="988">
        <v>-6854.6</v>
      </c>
      <c r="D206" s="988">
        <v>-3855.22</v>
      </c>
      <c r="E206" s="988">
        <v>-10709.82</v>
      </c>
      <c r="F206" s="986" t="s">
        <v>282</v>
      </c>
      <c r="G206" s="986" t="s">
        <v>2161</v>
      </c>
      <c r="H206" s="987"/>
      <c r="I206" s="987"/>
      <c r="J206" s="987"/>
      <c r="K206" s="987"/>
      <c r="L206" s="150">
        <f t="shared" si="0"/>
        <v>4493</v>
      </c>
      <c r="M206" s="151" t="str">
        <f t="shared" si="1"/>
        <v>VTE - SOUS-TRAITANCE GARANTIE</v>
      </c>
      <c r="N206" s="152">
        <f>+IF(OR($Q206=Parametres!$G$2,$Q206=Parametres!$G$3),I206,C206)</f>
        <v>-6854.6</v>
      </c>
      <c r="O206" s="152">
        <f>+IF(OR($Q206=Parametres!$G$2,$Q206=Parametres!$G$3),J206,D206)</f>
        <v>-3855.22</v>
      </c>
      <c r="P206" s="152">
        <f>+IF(OR($Q206=Parametres!$G$2,$Q206=Parametres!$G$3),K206,E206)</f>
        <v>-10709.82</v>
      </c>
      <c r="Q206" s="151" t="str">
        <f t="shared" si="14"/>
        <v>5-Ventes</v>
      </c>
      <c r="R206" s="150" t="str">
        <f t="shared" si="14"/>
        <v>4493</v>
      </c>
      <c r="S206" s="151">
        <f t="shared" si="14"/>
        <v>0</v>
      </c>
      <c r="T206" s="153">
        <f>+VLOOKUP($L206,Data_Validation!$A:$D,1,0)</f>
        <v>4493</v>
      </c>
      <c r="U206" s="153" t="str">
        <f>+VLOOKUP($L206,Data_Validation!$A:$D,3,0)</f>
        <v>Service</v>
      </c>
      <c r="V206" s="153" t="str">
        <f>+VLOOKUP($L206,Data_Validation!$A:$D,4,0)</f>
        <v>Sous-traitement</v>
      </c>
      <c r="W206" s="153" t="str">
        <f>+VLOOKUP($L206,Data_Validation!$A:$E,5,0)</f>
        <v>$</v>
      </c>
      <c r="X206" s="153" t="str">
        <f>+VLOOKUP($L206,Data_Validation!$A:$F,6,0)</f>
        <v>Oui</v>
      </c>
    </row>
    <row r="207" spans="1:24" ht="15" customHeight="1">
      <c r="A207" s="1236" t="s">
        <v>2519</v>
      </c>
      <c r="B207" s="1237" t="s">
        <v>2520</v>
      </c>
      <c r="C207" s="1240"/>
      <c r="D207" s="1240"/>
      <c r="E207" s="1240"/>
      <c r="F207" s="1236" t="s">
        <v>4</v>
      </c>
      <c r="G207" s="1236" t="s">
        <v>2161</v>
      </c>
      <c r="H207" s="1238"/>
      <c r="I207" s="1239">
        <v>-11</v>
      </c>
      <c r="J207" s="1239">
        <v>-5</v>
      </c>
      <c r="K207" s="1239">
        <v>-16</v>
      </c>
      <c r="L207" s="150" t="str">
        <f t="shared" si="0"/>
        <v>4493@</v>
      </c>
      <c r="M207" s="151" t="str">
        <f t="shared" si="1"/>
        <v># DE VTE - SOUS-TRAITANCE GARANTIE</v>
      </c>
      <c r="N207" s="152">
        <f>+IF(OR($Q207=Parametres!$G$2,$Q207=Parametres!$G$3),I207,C207)</f>
        <v>-11</v>
      </c>
      <c r="O207" s="152">
        <f>+IF(OR($Q207=Parametres!$G$2,$Q207=Parametres!$G$3),J207,D207)</f>
        <v>-5</v>
      </c>
      <c r="P207" s="152">
        <f>+IF(OR($Q207=Parametres!$G$2,$Q207=Parametres!$G$3),K207,E207)</f>
        <v>-16</v>
      </c>
      <c r="Q207" s="151" t="str">
        <f t="shared" si="14"/>
        <v>10-Compte compteur</v>
      </c>
      <c r="R207" s="150" t="str">
        <f t="shared" si="14"/>
        <v>4493</v>
      </c>
      <c r="S207" s="151">
        <f t="shared" si="14"/>
        <v>0</v>
      </c>
      <c r="T207" s="153" t="str">
        <f>+VLOOKUP($L207,Data_Validation!$A:$D,1,0)</f>
        <v>4493@</v>
      </c>
      <c r="U207" s="153" t="str">
        <f>+VLOOKUP($L207,Data_Validation!$A:$D,3,0)</f>
        <v>Service</v>
      </c>
      <c r="V207" s="153" t="str">
        <f>+VLOOKUP($L207,Data_Validation!$A:$D,4,0)</f>
        <v>Sous-traitement</v>
      </c>
      <c r="W207" s="153" t="str">
        <f>+VLOOKUP($L207,Data_Validation!$A:$E,5,0)</f>
        <v>NB</v>
      </c>
      <c r="X207" s="153">
        <f>+VLOOKUP($L207,Data_Validation!$A:$F,6,0)</f>
        <v>0</v>
      </c>
    </row>
    <row r="208" spans="1:24" ht="15" customHeight="1">
      <c r="A208" s="986" t="s">
        <v>2079</v>
      </c>
      <c r="B208" s="1103">
        <v>4495</v>
      </c>
      <c r="C208" s="988">
        <v>-69103.360000000001</v>
      </c>
      <c r="D208" s="988">
        <v>-24378.25</v>
      </c>
      <c r="E208" s="988">
        <v>-93481.61</v>
      </c>
      <c r="F208" s="986" t="s">
        <v>282</v>
      </c>
      <c r="G208" s="986" t="s">
        <v>2080</v>
      </c>
      <c r="H208" s="987"/>
      <c r="I208" s="987"/>
      <c r="J208" s="987"/>
      <c r="K208" s="1006"/>
      <c r="L208" s="150">
        <f t="shared" si="0"/>
        <v>4495</v>
      </c>
      <c r="M208" s="151" t="str">
        <f t="shared" si="1"/>
        <v>VTE - S-TRAITANCE MEC.INTERNE VW</v>
      </c>
      <c r="N208" s="152">
        <f>+IF(OR($Q208=Parametres!$G$2,$Q208=Parametres!$G$3),I208,C208)</f>
        <v>-69103.360000000001</v>
      </c>
      <c r="O208" s="152">
        <f>+IF(OR($Q208=Parametres!$G$2,$Q208=Parametres!$G$3),J208,D208)</f>
        <v>-24378.25</v>
      </c>
      <c r="P208" s="152">
        <f>+IF(OR($Q208=Parametres!$G$2,$Q208=Parametres!$G$3),K208,E208)</f>
        <v>-93481.61</v>
      </c>
      <c r="Q208" s="151" t="str">
        <f t="shared" si="14"/>
        <v>5-Ventes</v>
      </c>
      <c r="R208" s="150" t="str">
        <f t="shared" si="14"/>
        <v>4495</v>
      </c>
      <c r="S208" s="151">
        <f t="shared" si="14"/>
        <v>0</v>
      </c>
      <c r="T208" s="153">
        <f>+VLOOKUP($L208,Data_Validation!$A:$D,1,0)</f>
        <v>4495</v>
      </c>
      <c r="U208" s="153" t="str">
        <f>+VLOOKUP($L208,Data_Validation!$A:$D,3,0)</f>
        <v>Service</v>
      </c>
      <c r="V208" s="153" t="str">
        <f>+VLOOKUP($L208,Data_Validation!$A:$D,4,0)</f>
        <v>Sous-traitement</v>
      </c>
      <c r="W208" s="153" t="str">
        <f>+VLOOKUP($L208,Data_Validation!$A:$E,5,0)</f>
        <v>$</v>
      </c>
      <c r="X208" s="153" t="str">
        <f>+VLOOKUP($L208,Data_Validation!$A:$F,6,0)</f>
        <v>Oui</v>
      </c>
    </row>
    <row r="209" spans="1:24" ht="15" customHeight="1">
      <c r="A209" s="1236" t="s">
        <v>2521</v>
      </c>
      <c r="B209" s="1237" t="s">
        <v>2522</v>
      </c>
      <c r="C209" s="1240"/>
      <c r="D209" s="1240"/>
      <c r="E209" s="1240"/>
      <c r="F209" s="1236" t="s">
        <v>4</v>
      </c>
      <c r="G209" s="1236" t="s">
        <v>2080</v>
      </c>
      <c r="H209" s="1238"/>
      <c r="I209" s="1239">
        <v>-296</v>
      </c>
      <c r="J209" s="1239">
        <v>-99</v>
      </c>
      <c r="K209" s="1239">
        <v>-395</v>
      </c>
      <c r="L209" s="150" t="str">
        <f t="shared" si="0"/>
        <v>4495@</v>
      </c>
      <c r="M209" s="151" t="str">
        <f t="shared" si="1"/>
        <v># DE VTE - S-TRAITANCE MEC.INTERNE VW</v>
      </c>
      <c r="N209" s="152">
        <f>+IF(OR($Q209=Parametres!$G$2,$Q209=Parametres!$G$3),I209,C209)</f>
        <v>-296</v>
      </c>
      <c r="O209" s="152">
        <f>+IF(OR($Q209=Parametres!$G$2,$Q209=Parametres!$G$3),J209,D209)</f>
        <v>-99</v>
      </c>
      <c r="P209" s="152">
        <f>+IF(OR($Q209=Parametres!$G$2,$Q209=Parametres!$G$3),K209,E209)</f>
        <v>-395</v>
      </c>
      <c r="Q209" s="151" t="str">
        <f t="shared" si="14"/>
        <v>10-Compte compteur</v>
      </c>
      <c r="R209" s="150" t="str">
        <f t="shared" si="14"/>
        <v>4495</v>
      </c>
      <c r="S209" s="151">
        <f t="shared" si="14"/>
        <v>0</v>
      </c>
      <c r="T209" s="153" t="str">
        <f>+VLOOKUP($L209,Data_Validation!$A:$D,1,0)</f>
        <v>4495@</v>
      </c>
      <c r="U209" s="153" t="str">
        <f>+VLOOKUP($L209,Data_Validation!$A:$D,3,0)</f>
        <v>Service</v>
      </c>
      <c r="V209" s="153" t="str">
        <f>+VLOOKUP($L209,Data_Validation!$A:$D,4,0)</f>
        <v>Sous-traitement</v>
      </c>
      <c r="W209" s="153" t="str">
        <f>+VLOOKUP($L209,Data_Validation!$A:$E,5,0)</f>
        <v>NB</v>
      </c>
      <c r="X209" s="153">
        <f>+VLOOKUP($L209,Data_Validation!$A:$F,6,0)</f>
        <v>0</v>
      </c>
    </row>
    <row r="210" spans="1:24" ht="15" customHeight="1">
      <c r="A210" s="1236" t="s">
        <v>2062</v>
      </c>
      <c r="B210" s="1237">
        <v>4591</v>
      </c>
      <c r="C210" s="1239">
        <v>-117833.96</v>
      </c>
      <c r="D210" s="1239">
        <v>-22884.81</v>
      </c>
      <c r="E210" s="1239">
        <v>-140718.76999999999</v>
      </c>
      <c r="F210" s="1236" t="s">
        <v>282</v>
      </c>
      <c r="G210" s="1236" t="s">
        <v>2063</v>
      </c>
      <c r="H210" s="1238"/>
      <c r="I210" s="1238"/>
      <c r="J210" s="1238"/>
      <c r="K210" s="1238"/>
      <c r="L210" s="150">
        <f t="shared" si="0"/>
        <v>4591</v>
      </c>
      <c r="M210" s="151" t="str">
        <f t="shared" si="1"/>
        <v>VTE - S-TRAIT. CARR.</v>
      </c>
      <c r="N210" s="152">
        <f>+IF(OR($Q210=Parametres!$G$2,$Q210=Parametres!$G$3),I210,C210)</f>
        <v>-117833.96</v>
      </c>
      <c r="O210" s="152">
        <f>+IF(OR($Q210=Parametres!$G$2,$Q210=Parametres!$G$3),J210,D210)</f>
        <v>-22884.81</v>
      </c>
      <c r="P210" s="152">
        <f>+IF(OR($Q210=Parametres!$G$2,$Q210=Parametres!$G$3),K210,E210)</f>
        <v>-140718.76999999999</v>
      </c>
      <c r="Q210" s="151" t="str">
        <f t="shared" ref="Q210:S225" si="15">+F210</f>
        <v>5-Ventes</v>
      </c>
      <c r="R210" s="150" t="str">
        <f t="shared" si="15"/>
        <v>4591</v>
      </c>
      <c r="S210" s="151">
        <f t="shared" si="15"/>
        <v>0</v>
      </c>
      <c r="T210" s="153">
        <f>+VLOOKUP($L210,Data_Validation!$A:$D,1,0)</f>
        <v>4591</v>
      </c>
      <c r="U210" s="153" t="str">
        <f>+VLOOKUP($L210,Data_Validation!$A:$D,3,0)</f>
        <v>Carrosserie</v>
      </c>
      <c r="V210" s="153" t="str">
        <f>+VLOOKUP($L210,Data_Validation!$A:$D,4,0)</f>
        <v>M/O Sous-traitement</v>
      </c>
      <c r="W210" s="153" t="str">
        <f>+VLOOKUP($L210,Data_Validation!$A:$E,5,0)</f>
        <v>$</v>
      </c>
      <c r="X210" s="153" t="str">
        <f>+VLOOKUP($L210,Data_Validation!$A:$F,6,0)</f>
        <v>Oui</v>
      </c>
    </row>
    <row r="211" spans="1:24" ht="15.75" customHeight="1">
      <c r="A211" s="986" t="s">
        <v>2523</v>
      </c>
      <c r="B211" s="1103" t="s">
        <v>2524</v>
      </c>
      <c r="C211" s="1006"/>
      <c r="D211" s="1006"/>
      <c r="E211" s="1006"/>
      <c r="F211" s="986" t="s">
        <v>4</v>
      </c>
      <c r="G211" s="986" t="s">
        <v>2063</v>
      </c>
      <c r="H211" s="987"/>
      <c r="I211" s="988">
        <v>-79</v>
      </c>
      <c r="J211" s="988">
        <v>-16</v>
      </c>
      <c r="K211" s="988">
        <v>-95</v>
      </c>
      <c r="L211" s="150" t="str">
        <f t="shared" si="0"/>
        <v>4591@</v>
      </c>
      <c r="M211" s="151" t="str">
        <f t="shared" si="1"/>
        <v>REPARATION SOUS-LOC.-PEINT/DEB</v>
      </c>
      <c r="N211" s="152">
        <f>+IF(OR($Q211=Parametres!$G$2,$Q211=Parametres!$G$3),I211,C211)</f>
        <v>-79</v>
      </c>
      <c r="O211" s="152">
        <f>+IF(OR($Q211=Parametres!$G$2,$Q211=Parametres!$G$3),J211,D211)</f>
        <v>-16</v>
      </c>
      <c r="P211" s="152">
        <f>+IF(OR($Q211=Parametres!$G$2,$Q211=Parametres!$G$3),K211,E211)</f>
        <v>-95</v>
      </c>
      <c r="Q211" s="151" t="str">
        <f t="shared" si="15"/>
        <v>10-Compte compteur</v>
      </c>
      <c r="R211" s="150" t="str">
        <f t="shared" si="15"/>
        <v>4591</v>
      </c>
      <c r="S211" s="151">
        <f t="shared" si="15"/>
        <v>0</v>
      </c>
      <c r="T211" s="153" t="str">
        <f>+VLOOKUP($L211,Data_Validation!$A:$D,1,0)</f>
        <v>4591@</v>
      </c>
      <c r="U211" s="153" t="str">
        <f>+VLOOKUP($L211,Data_Validation!$A:$D,3,0)</f>
        <v>Carrosserie</v>
      </c>
      <c r="V211" s="153" t="str">
        <f>+VLOOKUP($L211,Data_Validation!$A:$D,4,0)</f>
        <v>M/O Sous-traitement</v>
      </c>
      <c r="W211" s="153" t="str">
        <f>+VLOOKUP($L211,Data_Validation!$A:$E,5,0)</f>
        <v>NB</v>
      </c>
      <c r="X211" s="153">
        <f>+VLOOKUP($L211,Data_Validation!$A:$F,6,0)</f>
        <v>0</v>
      </c>
    </row>
    <row r="212" spans="1:24" ht="15" customHeight="1">
      <c r="A212" s="1236" t="s">
        <v>2060</v>
      </c>
      <c r="B212" s="1237">
        <v>4593</v>
      </c>
      <c r="C212" s="1239">
        <v>-242695.49</v>
      </c>
      <c r="D212" s="1239">
        <v>-21643.64</v>
      </c>
      <c r="E212" s="1239">
        <v>-264339.13</v>
      </c>
      <c r="F212" s="1236" t="s">
        <v>282</v>
      </c>
      <c r="G212" s="1236" t="s">
        <v>2061</v>
      </c>
      <c r="H212" s="1238"/>
      <c r="I212" s="1238"/>
      <c r="J212" s="1238"/>
      <c r="K212" s="1238"/>
      <c r="L212" s="150">
        <f t="shared" si="0"/>
        <v>4593</v>
      </c>
      <c r="M212" s="151" t="str">
        <f t="shared" si="1"/>
        <v>VTE - SOUS-TRAITANCE GARANTIE CARR.</v>
      </c>
      <c r="N212" s="152">
        <f>+IF(OR($Q212=Parametres!$G$2,$Q212=Parametres!$G$3),I212,C212)</f>
        <v>-242695.49</v>
      </c>
      <c r="O212" s="152">
        <f>+IF(OR($Q212=Parametres!$G$2,$Q212=Parametres!$G$3),J212,D212)</f>
        <v>-21643.64</v>
      </c>
      <c r="P212" s="152">
        <f>+IF(OR($Q212=Parametres!$G$2,$Q212=Parametres!$G$3),K212,E212)</f>
        <v>-264339.13</v>
      </c>
      <c r="Q212" s="151" t="str">
        <f t="shared" si="15"/>
        <v>5-Ventes</v>
      </c>
      <c r="R212" s="150" t="str">
        <f t="shared" si="15"/>
        <v>4593</v>
      </c>
      <c r="S212" s="151">
        <f t="shared" si="15"/>
        <v>0</v>
      </c>
      <c r="T212" s="153">
        <f>+VLOOKUP($L212,Data_Validation!$A:$D,1,0)</f>
        <v>4593</v>
      </c>
      <c r="U212" s="153" t="str">
        <f>+VLOOKUP($L212,Data_Validation!$A:$D,3,0)</f>
        <v>Carrosserie</v>
      </c>
      <c r="V212" s="153" t="str">
        <f>+VLOOKUP($L212,Data_Validation!$A:$D,4,0)</f>
        <v>M/O Sous-traitement</v>
      </c>
      <c r="W212" s="153" t="str">
        <f>+VLOOKUP($L212,Data_Validation!$A:$E,5,0)</f>
        <v>$</v>
      </c>
      <c r="X212" s="153" t="str">
        <f>+VLOOKUP($L212,Data_Validation!$A:$F,6,0)</f>
        <v>Oui</v>
      </c>
    </row>
    <row r="213" spans="1:24" ht="15" customHeight="1">
      <c r="A213" s="986" t="s">
        <v>2525</v>
      </c>
      <c r="B213" s="1103" t="s">
        <v>2526</v>
      </c>
      <c r="C213" s="1006"/>
      <c r="D213" s="1006"/>
      <c r="E213" s="1006"/>
      <c r="F213" s="986" t="s">
        <v>4</v>
      </c>
      <c r="G213" s="986" t="s">
        <v>2061</v>
      </c>
      <c r="H213" s="987"/>
      <c r="I213" s="988">
        <v>-119</v>
      </c>
      <c r="J213" s="988">
        <v>-11</v>
      </c>
      <c r="K213" s="988">
        <v>-130</v>
      </c>
      <c r="L213" s="150" t="str">
        <f t="shared" si="0"/>
        <v>4593@</v>
      </c>
      <c r="M213" s="151" t="str">
        <f t="shared" si="1"/>
        <v># DE VTE - S-TRAITANCE GAR.CARR.</v>
      </c>
      <c r="N213" s="152">
        <f>+IF(OR($Q213=Parametres!$G$2,$Q213=Parametres!$G$3),I213,C213)</f>
        <v>-119</v>
      </c>
      <c r="O213" s="152">
        <f>+IF(OR($Q213=Parametres!$G$2,$Q213=Parametres!$G$3),J213,D213)</f>
        <v>-11</v>
      </c>
      <c r="P213" s="152">
        <f>+IF(OR($Q213=Parametres!$G$2,$Q213=Parametres!$G$3),K213,E213)</f>
        <v>-130</v>
      </c>
      <c r="Q213" s="151" t="str">
        <f t="shared" si="15"/>
        <v>10-Compte compteur</v>
      </c>
      <c r="R213" s="150" t="str">
        <f t="shared" si="15"/>
        <v>4593</v>
      </c>
      <c r="S213" s="151">
        <f t="shared" si="15"/>
        <v>0</v>
      </c>
      <c r="T213" s="153" t="str">
        <f>+VLOOKUP($L213,Data_Validation!$A:$D,1,0)</f>
        <v>4593@</v>
      </c>
      <c r="U213" s="153" t="str">
        <f>+VLOOKUP($L213,Data_Validation!$A:$D,3,0)</f>
        <v>Carrosserie</v>
      </c>
      <c r="V213" s="153" t="str">
        <f>+VLOOKUP($L213,Data_Validation!$A:$D,4,0)</f>
        <v>M/O Sous-traitement</v>
      </c>
      <c r="W213" s="153" t="str">
        <f>+VLOOKUP($L213,Data_Validation!$A:$E,5,0)</f>
        <v>NB</v>
      </c>
      <c r="X213" s="153">
        <f>+VLOOKUP($L213,Data_Validation!$A:$F,6,0)</f>
        <v>0</v>
      </c>
    </row>
    <row r="214" spans="1:24" ht="15" customHeight="1">
      <c r="A214" s="1236" t="s">
        <v>2093</v>
      </c>
      <c r="B214" s="1237">
        <v>4595</v>
      </c>
      <c r="C214" s="1239">
        <v>-16032.11</v>
      </c>
      <c r="D214" s="1239">
        <v>-4523.79</v>
      </c>
      <c r="E214" s="1239">
        <v>-20555.900000000001</v>
      </c>
      <c r="F214" s="1236" t="s">
        <v>282</v>
      </c>
      <c r="G214" s="1236" t="s">
        <v>2094</v>
      </c>
      <c r="H214" s="1238"/>
      <c r="I214" s="1238"/>
      <c r="J214" s="1238"/>
      <c r="K214" s="1238"/>
      <c r="L214" s="150">
        <f t="shared" si="0"/>
        <v>4595</v>
      </c>
      <c r="M214" s="151" t="str">
        <f t="shared" si="1"/>
        <v>VTE - SOUS-TRAITANCE INTERNE CARR.</v>
      </c>
      <c r="N214" s="152">
        <f>+IF(OR($Q214=Parametres!$G$2,$Q214=Parametres!$G$3),I214,C214)</f>
        <v>-16032.11</v>
      </c>
      <c r="O214" s="152">
        <f>+IF(OR($Q214=Parametres!$G$2,$Q214=Parametres!$G$3),J214,D214)</f>
        <v>-4523.79</v>
      </c>
      <c r="P214" s="152">
        <f>+IF(OR($Q214=Parametres!$G$2,$Q214=Parametres!$G$3),K214,E214)</f>
        <v>-20555.900000000001</v>
      </c>
      <c r="Q214" s="151" t="str">
        <f t="shared" si="15"/>
        <v>5-Ventes</v>
      </c>
      <c r="R214" s="150" t="str">
        <f t="shared" si="15"/>
        <v>4595</v>
      </c>
      <c r="S214" s="151">
        <f t="shared" si="15"/>
        <v>0</v>
      </c>
      <c r="T214" s="153">
        <f>+VLOOKUP($L214,Data_Validation!$A:$D,1,0)</f>
        <v>4595</v>
      </c>
      <c r="U214" s="153" t="str">
        <f>+VLOOKUP($L214,Data_Validation!$A:$D,3,0)</f>
        <v>Carrosserie</v>
      </c>
      <c r="V214" s="153" t="str">
        <f>+VLOOKUP($L214,Data_Validation!$A:$D,4,0)</f>
        <v>M/O Sous-traitement</v>
      </c>
      <c r="W214" s="153" t="str">
        <f>+VLOOKUP($L214,Data_Validation!$A:$E,5,0)</f>
        <v>$</v>
      </c>
      <c r="X214" s="153" t="str">
        <f>+VLOOKUP($L214,Data_Validation!$A:$F,6,0)</f>
        <v>Oui</v>
      </c>
    </row>
    <row r="215" spans="1:24" ht="15.75" customHeight="1">
      <c r="A215" s="1236" t="s">
        <v>2527</v>
      </c>
      <c r="B215" s="1237" t="s">
        <v>2528</v>
      </c>
      <c r="C215" s="1240"/>
      <c r="D215" s="1240"/>
      <c r="E215" s="1240"/>
      <c r="F215" s="1236" t="s">
        <v>4</v>
      </c>
      <c r="G215" s="1236" t="s">
        <v>2094</v>
      </c>
      <c r="H215" s="1238"/>
      <c r="I215" s="1239">
        <v>-46</v>
      </c>
      <c r="J215" s="1239">
        <v>-15</v>
      </c>
      <c r="K215" s="1239">
        <v>-61</v>
      </c>
      <c r="L215" s="150" t="str">
        <f t="shared" si="0"/>
        <v>4595@</v>
      </c>
      <c r="M215" s="151" t="str">
        <f t="shared" si="1"/>
        <v># DE VTE - S-TRAIT.INTERNE CARR.</v>
      </c>
      <c r="N215" s="152">
        <f>+IF(OR($Q215=Parametres!$G$2,$Q215=Parametres!$G$3),I215,C215)</f>
        <v>-46</v>
      </c>
      <c r="O215" s="152">
        <f>+IF(OR($Q215=Parametres!$G$2,$Q215=Parametres!$G$3),J215,D215)</f>
        <v>-15</v>
      </c>
      <c r="P215" s="152">
        <f>+IF(OR($Q215=Parametres!$G$2,$Q215=Parametres!$G$3),K215,E215)</f>
        <v>-61</v>
      </c>
      <c r="Q215" s="151" t="str">
        <f t="shared" si="15"/>
        <v>10-Compte compteur</v>
      </c>
      <c r="R215" s="150" t="str">
        <f t="shared" si="15"/>
        <v>4595</v>
      </c>
      <c r="S215" s="151">
        <f t="shared" si="15"/>
        <v>0</v>
      </c>
      <c r="T215" s="153" t="str">
        <f>+VLOOKUP($L215,Data_Validation!$A:$D,1,0)</f>
        <v>4595@</v>
      </c>
      <c r="U215" s="153" t="str">
        <f>+VLOOKUP($L215,Data_Validation!$A:$D,3,0)</f>
        <v>Carrosserie</v>
      </c>
      <c r="V215" s="153" t="str">
        <f>+VLOOKUP($L215,Data_Validation!$A:$D,4,0)</f>
        <v>M/O Sous-traitement</v>
      </c>
      <c r="W215" s="153" t="str">
        <f>+VLOOKUP($L215,Data_Validation!$A:$E,5,0)</f>
        <v>NB</v>
      </c>
      <c r="X215" s="153">
        <f>+VLOOKUP($L215,Data_Validation!$A:$F,6,0)</f>
        <v>0</v>
      </c>
    </row>
    <row r="216" spans="1:24" ht="15" customHeight="1">
      <c r="A216" s="986" t="s">
        <v>2016</v>
      </c>
      <c r="B216" s="1103">
        <v>4701</v>
      </c>
      <c r="C216" s="988">
        <v>-206249.96</v>
      </c>
      <c r="D216" s="988">
        <v>-65039.79</v>
      </c>
      <c r="E216" s="988">
        <v>-271289.75</v>
      </c>
      <c r="F216" s="986" t="s">
        <v>282</v>
      </c>
      <c r="G216" s="986" t="s">
        <v>2017</v>
      </c>
      <c r="H216" s="987"/>
      <c r="I216" s="1006"/>
      <c r="J216" s="987"/>
      <c r="K216" s="1006"/>
      <c r="L216" s="150">
        <f t="shared" si="0"/>
        <v>4701</v>
      </c>
      <c r="M216" s="151" t="str">
        <f t="shared" si="1"/>
        <v>VTE - PIECE/ACC B.R. CLIENT VW</v>
      </c>
      <c r="N216" s="152">
        <f>+IF(OR($Q216=Parametres!$G$2,$Q216=Parametres!$G$3),I216,C216)</f>
        <v>-206249.96</v>
      </c>
      <c r="O216" s="152">
        <f>+IF(OR($Q216=Parametres!$G$2,$Q216=Parametres!$G$3),J216,D216)</f>
        <v>-65039.79</v>
      </c>
      <c r="P216" s="152">
        <f>+IF(OR($Q216=Parametres!$G$2,$Q216=Parametres!$G$3),K216,E216)</f>
        <v>-271289.75</v>
      </c>
      <c r="Q216" s="151" t="str">
        <f t="shared" si="15"/>
        <v>5-Ventes</v>
      </c>
      <c r="R216" s="150" t="str">
        <f t="shared" si="15"/>
        <v>4701</v>
      </c>
      <c r="S216" s="151">
        <f t="shared" si="15"/>
        <v>0</v>
      </c>
      <c r="T216" s="153">
        <f>+VLOOKUP($L216,Data_Validation!$A:$D,1,0)</f>
        <v>4701</v>
      </c>
      <c r="U216" s="153" t="str">
        <f>+VLOOKUP($L216,Data_Validation!$A:$D,3,0)</f>
        <v>Pièces</v>
      </c>
      <c r="V216" s="153" t="str">
        <f>+VLOOKUP($L216,Data_Validation!$A:$D,4,0)</f>
        <v>Pièces Ro Clients</v>
      </c>
      <c r="W216" s="153" t="str">
        <f>+VLOOKUP($L216,Data_Validation!$A:$E,5,0)</f>
        <v>$</v>
      </c>
      <c r="X216" s="153" t="str">
        <f>+VLOOKUP($L216,Data_Validation!$A:$F,6,0)</f>
        <v>Oui</v>
      </c>
    </row>
    <row r="217" spans="1:24" ht="15" customHeight="1">
      <c r="A217" s="1236" t="s">
        <v>2529</v>
      </c>
      <c r="B217" s="1237" t="s">
        <v>2530</v>
      </c>
      <c r="C217" s="1240"/>
      <c r="D217" s="1240"/>
      <c r="E217" s="1240"/>
      <c r="F217" s="1236" t="s">
        <v>4</v>
      </c>
      <c r="G217" s="1236" t="s">
        <v>2017</v>
      </c>
      <c r="H217" s="1238"/>
      <c r="I217" s="1239">
        <v>-1511</v>
      </c>
      <c r="J217" s="1239">
        <v>-516</v>
      </c>
      <c r="K217" s="1239">
        <v>-2027</v>
      </c>
      <c r="L217" s="150" t="str">
        <f t="shared" si="0"/>
        <v>4701@</v>
      </c>
      <c r="M217" s="151" t="str">
        <f t="shared" si="1"/>
        <v>PIECES-BON REPARATION- CLIENTS</v>
      </c>
      <c r="N217" s="152">
        <f>+IF(OR($Q217=Parametres!$G$2,$Q217=Parametres!$G$3),I217,C217)</f>
        <v>-1511</v>
      </c>
      <c r="O217" s="152">
        <f>+IF(OR($Q217=Parametres!$G$2,$Q217=Parametres!$G$3),J217,D217)</f>
        <v>-516</v>
      </c>
      <c r="P217" s="152">
        <f>+IF(OR($Q217=Parametres!$G$2,$Q217=Parametres!$G$3),K217,E217)</f>
        <v>-2027</v>
      </c>
      <c r="Q217" s="151" t="str">
        <f t="shared" si="15"/>
        <v>10-Compte compteur</v>
      </c>
      <c r="R217" s="150" t="str">
        <f t="shared" si="15"/>
        <v>4701</v>
      </c>
      <c r="S217" s="151">
        <f t="shared" si="15"/>
        <v>0</v>
      </c>
      <c r="T217" s="153" t="str">
        <f>+VLOOKUP($L217,Data_Validation!$A:$D,1,0)</f>
        <v>4701@</v>
      </c>
      <c r="U217" s="153" t="str">
        <f>+VLOOKUP($L217,Data_Validation!$A:$D,3,0)</f>
        <v>Pièces</v>
      </c>
      <c r="V217" s="153" t="str">
        <f>+VLOOKUP($L217,Data_Validation!$A:$D,4,0)</f>
        <v>Pièces Ro Clients</v>
      </c>
      <c r="W217" s="153" t="str">
        <f>+VLOOKUP($L217,Data_Validation!$A:$E,5,0)</f>
        <v>NB</v>
      </c>
      <c r="X217" s="153">
        <f>+VLOOKUP($L217,Data_Validation!$A:$F,6,0)</f>
        <v>0</v>
      </c>
    </row>
    <row r="218" spans="1:24" ht="15" customHeight="1">
      <c r="A218" s="986" t="s">
        <v>2143</v>
      </c>
      <c r="B218" s="1103">
        <v>4702</v>
      </c>
      <c r="C218" s="988">
        <v>-2170.14</v>
      </c>
      <c r="D218" s="988">
        <v>-537.25</v>
      </c>
      <c r="E218" s="988">
        <v>-2707.39</v>
      </c>
      <c r="F218" s="986" t="s">
        <v>282</v>
      </c>
      <c r="G218" s="986" t="s">
        <v>2144</v>
      </c>
      <c r="H218" s="987"/>
      <c r="I218" s="1006"/>
      <c r="J218" s="987"/>
      <c r="K218" s="1006"/>
      <c r="L218" s="150">
        <f t="shared" si="0"/>
        <v>4702</v>
      </c>
      <c r="M218" s="151" t="str">
        <f t="shared" si="1"/>
        <v>VTE - SHOP SUPPLY VW</v>
      </c>
      <c r="N218" s="152">
        <f>+IF(OR($Q218=Parametres!$G$2,$Q218=Parametres!$G$3),I218,C218)</f>
        <v>-2170.14</v>
      </c>
      <c r="O218" s="152">
        <f>+IF(OR($Q218=Parametres!$G$2,$Q218=Parametres!$G$3),J218,D218)</f>
        <v>-537.25</v>
      </c>
      <c r="P218" s="152">
        <f>+IF(OR($Q218=Parametres!$G$2,$Q218=Parametres!$G$3),K218,E218)</f>
        <v>-2707.39</v>
      </c>
      <c r="Q218" s="151" t="str">
        <f t="shared" si="15"/>
        <v>5-Ventes</v>
      </c>
      <c r="R218" s="150" t="str">
        <f t="shared" si="15"/>
        <v>4702</v>
      </c>
      <c r="S218" s="151">
        <f t="shared" si="15"/>
        <v>0</v>
      </c>
      <c r="T218" s="153">
        <f>+VLOOKUP($L218,Data_Validation!$A:$D,1,0)</f>
        <v>4702</v>
      </c>
      <c r="U218" s="153" t="str">
        <f>+VLOOKUP($L218,Data_Validation!$A:$D,3,0)</f>
        <v>Service</v>
      </c>
      <c r="V218" s="153" t="str">
        <f>+VLOOKUP($L218,Data_Validation!$A:$D,4,0)</f>
        <v>M/O Client</v>
      </c>
      <c r="W218" s="153" t="str">
        <f>+VLOOKUP($L218,Data_Validation!$A:$E,5,0)</f>
        <v>$</v>
      </c>
      <c r="X218" s="153" t="str">
        <f>+VLOOKUP($L218,Data_Validation!$A:$F,6,0)</f>
        <v>Oui</v>
      </c>
    </row>
    <row r="219" spans="1:24" ht="15.75" customHeight="1">
      <c r="A219" s="1236" t="s">
        <v>2036</v>
      </c>
      <c r="B219" s="1237">
        <v>4703</v>
      </c>
      <c r="C219" s="1240">
        <v>-273084.69</v>
      </c>
      <c r="D219" s="1240">
        <v>-79594.67</v>
      </c>
      <c r="E219" s="1240">
        <v>-352679.36</v>
      </c>
      <c r="F219" s="1236" t="s">
        <v>282</v>
      </c>
      <c r="G219" s="1236" t="s">
        <v>2037</v>
      </c>
      <c r="H219" s="1238"/>
      <c r="I219" s="1239"/>
      <c r="J219" s="1239"/>
      <c r="K219" s="1239"/>
      <c r="L219" s="150">
        <f t="shared" si="0"/>
        <v>4703</v>
      </c>
      <c r="M219" s="151" t="str">
        <f t="shared" si="1"/>
        <v>VTE - PIECE/ACC B.R. GARANTIE VW</v>
      </c>
      <c r="N219" s="152">
        <f>+IF(OR($Q219=Parametres!$G$2,$Q219=Parametres!$G$3),I219,C219)</f>
        <v>-273084.69</v>
      </c>
      <c r="O219" s="152">
        <f>+IF(OR($Q219=Parametres!$G$2,$Q219=Parametres!$G$3),J219,D219)</f>
        <v>-79594.67</v>
      </c>
      <c r="P219" s="152">
        <f>+IF(OR($Q219=Parametres!$G$2,$Q219=Parametres!$G$3),K219,E219)</f>
        <v>-352679.36</v>
      </c>
      <c r="Q219" s="151" t="str">
        <f t="shared" si="15"/>
        <v>5-Ventes</v>
      </c>
      <c r="R219" s="150" t="str">
        <f t="shared" si="15"/>
        <v>4703</v>
      </c>
      <c r="S219" s="151">
        <f t="shared" si="15"/>
        <v>0</v>
      </c>
      <c r="T219" s="153">
        <f>+VLOOKUP($L219,Data_Validation!$A:$D,1,0)</f>
        <v>4703</v>
      </c>
      <c r="U219" s="153" t="str">
        <f>+VLOOKUP($L219,Data_Validation!$A:$D,3,0)</f>
        <v>Pièces</v>
      </c>
      <c r="V219" s="153" t="str">
        <f>+VLOOKUP($L219,Data_Validation!$A:$D,4,0)</f>
        <v>P/A Garantie</v>
      </c>
      <c r="W219" s="153" t="str">
        <f>+VLOOKUP($L219,Data_Validation!$A:$E,5,0)</f>
        <v>$</v>
      </c>
      <c r="X219" s="153" t="str">
        <f>+VLOOKUP($L219,Data_Validation!$A:$F,6,0)</f>
        <v>Oui</v>
      </c>
    </row>
    <row r="220" spans="1:24" ht="15" customHeight="1">
      <c r="A220" s="986" t="s">
        <v>2531</v>
      </c>
      <c r="B220" s="1103" t="s">
        <v>2532</v>
      </c>
      <c r="C220" s="988"/>
      <c r="D220" s="988"/>
      <c r="E220" s="988"/>
      <c r="F220" s="986" t="s">
        <v>4</v>
      </c>
      <c r="G220" s="986" t="s">
        <v>2037</v>
      </c>
      <c r="H220" s="987"/>
      <c r="I220" s="987">
        <v>-579</v>
      </c>
      <c r="J220" s="987">
        <v>-188</v>
      </c>
      <c r="K220" s="987">
        <v>-767</v>
      </c>
      <c r="L220" s="150" t="str">
        <f t="shared" si="0"/>
        <v>4703@</v>
      </c>
      <c r="M220" s="151" t="str">
        <f t="shared" si="1"/>
        <v>PIECES-BON REPARATION-GAR. MAN</v>
      </c>
      <c r="N220" s="152">
        <f>+IF(OR($Q220=Parametres!$G$2,$Q220=Parametres!$G$3),I220,C220)</f>
        <v>-579</v>
      </c>
      <c r="O220" s="152">
        <f>+IF(OR($Q220=Parametres!$G$2,$Q220=Parametres!$G$3),J220,D220)</f>
        <v>-188</v>
      </c>
      <c r="P220" s="152">
        <f>+IF(OR($Q220=Parametres!$G$2,$Q220=Parametres!$G$3),K220,E220)</f>
        <v>-767</v>
      </c>
      <c r="Q220" s="151" t="str">
        <f t="shared" si="15"/>
        <v>10-Compte compteur</v>
      </c>
      <c r="R220" s="150" t="str">
        <f t="shared" si="15"/>
        <v>4703</v>
      </c>
      <c r="S220" s="151">
        <f t="shared" si="15"/>
        <v>0</v>
      </c>
      <c r="T220" s="153" t="str">
        <f>+VLOOKUP($L220,Data_Validation!$A:$D,1,0)</f>
        <v>4703@</v>
      </c>
      <c r="U220" s="153" t="str">
        <f>+VLOOKUP($L220,Data_Validation!$A:$D,3,0)</f>
        <v>Pièces</v>
      </c>
      <c r="V220" s="153" t="str">
        <f>+VLOOKUP($L220,Data_Validation!$A:$D,4,0)</f>
        <v>P/A Garantie</v>
      </c>
      <c r="W220" s="153" t="str">
        <f>+VLOOKUP($L220,Data_Validation!$A:$E,5,0)</f>
        <v>NB</v>
      </c>
      <c r="X220" s="153">
        <f>+VLOOKUP($L220,Data_Validation!$A:$F,6,0)</f>
        <v>0</v>
      </c>
    </row>
    <row r="221" spans="1:24" ht="15" customHeight="1">
      <c r="A221" s="1236" t="s">
        <v>2040</v>
      </c>
      <c r="B221" s="1237">
        <v>4705</v>
      </c>
      <c r="C221" s="1240">
        <v>-166336.73000000001</v>
      </c>
      <c r="D221" s="1240">
        <v>-52618.64</v>
      </c>
      <c r="E221" s="1240">
        <v>-218955.37</v>
      </c>
      <c r="F221" s="1236" t="s">
        <v>282</v>
      </c>
      <c r="G221" s="1236" t="s">
        <v>2041</v>
      </c>
      <c r="H221" s="1238"/>
      <c r="I221" s="1239"/>
      <c r="J221" s="1239"/>
      <c r="K221" s="1239"/>
      <c r="L221" s="150">
        <f t="shared" si="0"/>
        <v>4705</v>
      </c>
      <c r="M221" s="151" t="str">
        <f t="shared" si="1"/>
        <v>VTE - PIECE/ACC B.R. INTERNE VW</v>
      </c>
      <c r="N221" s="152">
        <f>+IF(OR($Q221=Parametres!$G$2,$Q221=Parametres!$G$3),I221,C221)</f>
        <v>-166336.73000000001</v>
      </c>
      <c r="O221" s="152">
        <f>+IF(OR($Q221=Parametres!$G$2,$Q221=Parametres!$G$3),J221,D221)</f>
        <v>-52618.64</v>
      </c>
      <c r="P221" s="152">
        <f>+IF(OR($Q221=Parametres!$G$2,$Q221=Parametres!$G$3),K221,E221)</f>
        <v>-218955.37</v>
      </c>
      <c r="Q221" s="151" t="str">
        <f t="shared" si="15"/>
        <v>5-Ventes</v>
      </c>
      <c r="R221" s="150" t="str">
        <f t="shared" si="15"/>
        <v>4705</v>
      </c>
      <c r="S221" s="151">
        <f t="shared" si="15"/>
        <v>0</v>
      </c>
      <c r="T221" s="153">
        <f>+VLOOKUP($L221,Data_Validation!$A:$D,1,0)</f>
        <v>4705</v>
      </c>
      <c r="U221" s="153" t="str">
        <f>+VLOOKUP($L221,Data_Validation!$A:$D,3,0)</f>
        <v>Pièces</v>
      </c>
      <c r="V221" s="153" t="str">
        <f>+VLOOKUP($L221,Data_Validation!$A:$D,4,0)</f>
        <v>Ventes Internes</v>
      </c>
      <c r="W221" s="153" t="str">
        <f>+VLOOKUP($L221,Data_Validation!$A:$E,5,0)</f>
        <v>$</v>
      </c>
      <c r="X221" s="153" t="str">
        <f>+VLOOKUP($L221,Data_Validation!$A:$F,6,0)</f>
        <v>Oui</v>
      </c>
    </row>
    <row r="222" spans="1:24" ht="15" customHeight="1">
      <c r="A222" s="986" t="s">
        <v>2533</v>
      </c>
      <c r="B222" s="1103" t="s">
        <v>2534</v>
      </c>
      <c r="C222" s="988"/>
      <c r="D222" s="988"/>
      <c r="E222" s="988"/>
      <c r="F222" s="986" t="s">
        <v>4</v>
      </c>
      <c r="G222" s="986" t="s">
        <v>2041</v>
      </c>
      <c r="H222" s="987"/>
      <c r="I222" s="1006">
        <v>-1021</v>
      </c>
      <c r="J222" s="987">
        <v>-271</v>
      </c>
      <c r="K222" s="1006">
        <v>-1292</v>
      </c>
      <c r="L222" s="150" t="str">
        <f t="shared" si="0"/>
        <v>4705@</v>
      </c>
      <c r="M222" s="151" t="str">
        <f t="shared" si="1"/>
        <v>PIECES-BON REPARATION - INTERN</v>
      </c>
      <c r="N222" s="152">
        <f>+IF(OR($Q222=Parametres!$G$2,$Q222=Parametres!$G$3),I222,C222)</f>
        <v>-1021</v>
      </c>
      <c r="O222" s="152">
        <f>+IF(OR($Q222=Parametres!$G$2,$Q222=Parametres!$G$3),J222,D222)</f>
        <v>-271</v>
      </c>
      <c r="P222" s="152">
        <f>+IF(OR($Q222=Parametres!$G$2,$Q222=Parametres!$G$3),K222,E222)</f>
        <v>-1292</v>
      </c>
      <c r="Q222" s="151" t="str">
        <f t="shared" si="15"/>
        <v>10-Compte compteur</v>
      </c>
      <c r="R222" s="150" t="str">
        <f t="shared" si="15"/>
        <v>4705</v>
      </c>
      <c r="S222" s="151">
        <f t="shared" si="15"/>
        <v>0</v>
      </c>
      <c r="T222" s="153" t="str">
        <f>+VLOOKUP($L222,Data_Validation!$A:$D,1,0)</f>
        <v>4705@</v>
      </c>
      <c r="U222" s="153" t="str">
        <f>+VLOOKUP($L222,Data_Validation!$A:$D,3,0)</f>
        <v>Pièces</v>
      </c>
      <c r="V222" s="153" t="str">
        <f>+VLOOKUP($L222,Data_Validation!$A:$D,4,0)</f>
        <v>Ventes Internes</v>
      </c>
      <c r="W222" s="153" t="str">
        <f>+VLOOKUP($L222,Data_Validation!$A:$E,5,0)</f>
        <v>NB</v>
      </c>
      <c r="X222" s="153">
        <f>+VLOOKUP($L222,Data_Validation!$A:$F,6,0)</f>
        <v>0</v>
      </c>
    </row>
    <row r="223" spans="1:24" ht="15" customHeight="1">
      <c r="A223" s="1236" t="s">
        <v>2143</v>
      </c>
      <c r="B223" s="1237">
        <v>4706</v>
      </c>
      <c r="C223" s="1240">
        <v>-2417.7399999999998</v>
      </c>
      <c r="D223" s="1240">
        <v>-879.85</v>
      </c>
      <c r="E223" s="1240">
        <v>-3297.59</v>
      </c>
      <c r="F223" s="1236" t="s">
        <v>282</v>
      </c>
      <c r="G223" s="1236" t="s">
        <v>2162</v>
      </c>
      <c r="H223" s="1238"/>
      <c r="I223" s="1239"/>
      <c r="J223" s="1239"/>
      <c r="K223" s="1239"/>
      <c r="L223" s="150">
        <f t="shared" si="0"/>
        <v>4706</v>
      </c>
      <c r="M223" s="151" t="str">
        <f t="shared" si="1"/>
        <v>VTE - SHOP SUPPLY VW</v>
      </c>
      <c r="N223" s="152">
        <f>+IF(OR($Q223=Parametres!$G$2,$Q223=Parametres!$G$3),I223,C223)</f>
        <v>-2417.7399999999998</v>
      </c>
      <c r="O223" s="152">
        <f>+IF(OR($Q223=Parametres!$G$2,$Q223=Parametres!$G$3),J223,D223)</f>
        <v>-879.85</v>
      </c>
      <c r="P223" s="152">
        <f>+IF(OR($Q223=Parametres!$G$2,$Q223=Parametres!$G$3),K223,E223)</f>
        <v>-3297.59</v>
      </c>
      <c r="Q223" s="151" t="str">
        <f t="shared" si="15"/>
        <v>5-Ventes</v>
      </c>
      <c r="R223" s="150" t="str">
        <f t="shared" si="15"/>
        <v>4706</v>
      </c>
      <c r="S223" s="151">
        <f t="shared" si="15"/>
        <v>0</v>
      </c>
      <c r="T223" s="153">
        <f>+VLOOKUP($L223,Data_Validation!$A:$D,1,0)</f>
        <v>4706</v>
      </c>
      <c r="U223" s="153" t="str">
        <f>+VLOOKUP($L223,Data_Validation!$A:$D,3,0)</f>
        <v>Service</v>
      </c>
      <c r="V223" s="153" t="str">
        <f>+VLOOKUP($L223,Data_Validation!$A:$D,4,0)</f>
        <v>M/O Interne</v>
      </c>
      <c r="W223" s="153" t="str">
        <f>+VLOOKUP($L223,Data_Validation!$A:$E,5,0)</f>
        <v>$</v>
      </c>
      <c r="X223" s="153" t="str">
        <f>+VLOOKUP($L223,Data_Validation!$A:$F,6,0)</f>
        <v>Oui</v>
      </c>
    </row>
    <row r="224" spans="1:24" ht="15" customHeight="1">
      <c r="A224" s="986" t="s">
        <v>2107</v>
      </c>
      <c r="B224" s="1103">
        <v>4711</v>
      </c>
      <c r="C224" s="988">
        <v>-17951.32</v>
      </c>
      <c r="D224" s="988">
        <v>-3034.38</v>
      </c>
      <c r="E224" s="988">
        <v>-20985.7</v>
      </c>
      <c r="F224" s="986" t="s">
        <v>282</v>
      </c>
      <c r="G224" s="986" t="s">
        <v>332</v>
      </c>
      <c r="H224" s="987"/>
      <c r="I224" s="1006"/>
      <c r="J224" s="987"/>
      <c r="K224" s="1006"/>
      <c r="L224" s="150">
        <f t="shared" si="0"/>
        <v>4711</v>
      </c>
      <c r="M224" s="151" t="str">
        <f t="shared" si="1"/>
        <v>VTE - AUTRE PIECE/ACC/CARR B.R. CLIENT</v>
      </c>
      <c r="N224" s="152">
        <f>+IF(OR($Q224=Parametres!$G$2,$Q224=Parametres!$G$3),I224,C224)</f>
        <v>-17951.32</v>
      </c>
      <c r="O224" s="152">
        <f>+IF(OR($Q224=Parametres!$G$2,$Q224=Parametres!$G$3),J224,D224)</f>
        <v>-3034.38</v>
      </c>
      <c r="P224" s="152">
        <f>+IF(OR($Q224=Parametres!$G$2,$Q224=Parametres!$G$3),K224,E224)</f>
        <v>-20985.7</v>
      </c>
      <c r="Q224" s="151" t="str">
        <f t="shared" si="15"/>
        <v>5-Ventes</v>
      </c>
      <c r="R224" s="150" t="str">
        <f t="shared" si="15"/>
        <v>84711</v>
      </c>
      <c r="S224" s="151">
        <f t="shared" si="15"/>
        <v>0</v>
      </c>
      <c r="T224" s="153">
        <f>+VLOOKUP($L224,Data_Validation!$A:$D,1,0)</f>
        <v>4711</v>
      </c>
      <c r="U224" s="153" t="str">
        <f>+VLOOKUP($L224,Data_Validation!$A:$D,3,0)</f>
        <v>Pièces</v>
      </c>
      <c r="V224" s="153" t="str">
        <f>+VLOOKUP($L224,Data_Validation!$A:$D,4,0)</f>
        <v>Pièces Ro Clients</v>
      </c>
      <c r="W224" s="153" t="str">
        <f>+VLOOKUP($L224,Data_Validation!$A:$E,5,0)</f>
        <v>$</v>
      </c>
      <c r="X224" s="153" t="str">
        <f>+VLOOKUP($L224,Data_Validation!$A:$F,6,0)</f>
        <v>Oui</v>
      </c>
    </row>
    <row r="225" spans="1:24" ht="15.75" customHeight="1">
      <c r="A225" s="1236" t="s">
        <v>2535</v>
      </c>
      <c r="B225" s="1237" t="s">
        <v>2536</v>
      </c>
      <c r="C225" s="1240"/>
      <c r="D225" s="1240"/>
      <c r="E225" s="1240"/>
      <c r="F225" s="1236" t="s">
        <v>4</v>
      </c>
      <c r="G225" s="1236" t="s">
        <v>332</v>
      </c>
      <c r="H225" s="1238"/>
      <c r="I225" s="1239">
        <v>-346</v>
      </c>
      <c r="J225" s="1239">
        <v>-105</v>
      </c>
      <c r="K225" s="1239">
        <v>-451</v>
      </c>
      <c r="L225" s="150" t="str">
        <f t="shared" si="0"/>
        <v>4711@</v>
      </c>
      <c r="M225" s="151" t="str">
        <f t="shared" si="1"/>
        <v># DE VTE - P&amp;A B.T. CLIENT AUDI</v>
      </c>
      <c r="N225" s="152">
        <f>+IF(OR($Q225=Parametres!$G$2,$Q225=Parametres!$G$3),I225,C225)</f>
        <v>-346</v>
      </c>
      <c r="O225" s="152">
        <f>+IF(OR($Q225=Parametres!$G$2,$Q225=Parametres!$G$3),J225,D225)</f>
        <v>-105</v>
      </c>
      <c r="P225" s="152">
        <f>+IF(OR($Q225=Parametres!$G$2,$Q225=Parametres!$G$3),K225,E225)</f>
        <v>-451</v>
      </c>
      <c r="Q225" s="151" t="str">
        <f t="shared" si="15"/>
        <v>10-Compte compteur</v>
      </c>
      <c r="R225" s="150" t="str">
        <f t="shared" si="15"/>
        <v>84711</v>
      </c>
      <c r="S225" s="151">
        <f t="shared" si="15"/>
        <v>0</v>
      </c>
      <c r="T225" s="153" t="str">
        <f>+VLOOKUP($L225,Data_Validation!$A:$D,1,0)</f>
        <v>4711@</v>
      </c>
      <c r="U225" s="153" t="str">
        <f>+VLOOKUP($L225,Data_Validation!$A:$D,3,0)</f>
        <v>Pièces</v>
      </c>
      <c r="V225" s="153" t="str">
        <f>+VLOOKUP($L225,Data_Validation!$A:$D,4,0)</f>
        <v>Pièces Ro Clients</v>
      </c>
      <c r="W225" s="153" t="str">
        <f>+VLOOKUP($L225,Data_Validation!$A:$E,5,0)</f>
        <v>NB</v>
      </c>
      <c r="X225" s="153">
        <f>+VLOOKUP($L225,Data_Validation!$A:$F,6,0)</f>
        <v>0</v>
      </c>
    </row>
    <row r="226" spans="1:24" ht="15" customHeight="1">
      <c r="A226" s="986" t="s">
        <v>2100</v>
      </c>
      <c r="B226" s="1103">
        <v>4731</v>
      </c>
      <c r="C226" s="988">
        <v>-29349.65</v>
      </c>
      <c r="D226" s="988">
        <v>-5771.32</v>
      </c>
      <c r="E226" s="988">
        <v>-35120.97</v>
      </c>
      <c r="F226" s="986" t="s">
        <v>282</v>
      </c>
      <c r="G226" s="986" t="s">
        <v>2101</v>
      </c>
      <c r="H226" s="987"/>
      <c r="I226" s="1006"/>
      <c r="J226" s="987"/>
      <c r="K226" s="1006"/>
      <c r="L226" s="150">
        <f t="shared" si="0"/>
        <v>4731</v>
      </c>
      <c r="M226" s="151" t="str">
        <f t="shared" si="1"/>
        <v>VTE - PIECES-BON REPAR.-PEINT/DEBOS</v>
      </c>
      <c r="N226" s="152">
        <f>+IF(OR($Q226=Parametres!$G$2,$Q226=Parametres!$G$3),I226,C226)</f>
        <v>-29349.65</v>
      </c>
      <c r="O226" s="152">
        <f>+IF(OR($Q226=Parametres!$G$2,$Q226=Parametres!$G$3),J226,D226)</f>
        <v>-5771.32</v>
      </c>
      <c r="P226" s="152">
        <f>+IF(OR($Q226=Parametres!$G$2,$Q226=Parametres!$G$3),K226,E226)</f>
        <v>-35120.97</v>
      </c>
      <c r="Q226" s="151" t="str">
        <f t="shared" ref="Q226:S241" si="16">+F226</f>
        <v>5-Ventes</v>
      </c>
      <c r="R226" s="150" t="str">
        <f t="shared" si="16"/>
        <v>4731</v>
      </c>
      <c r="S226" s="151">
        <f t="shared" si="16"/>
        <v>0</v>
      </c>
      <c r="T226" s="153">
        <f>+VLOOKUP($L226,Data_Validation!$A:$D,1,0)</f>
        <v>4731</v>
      </c>
      <c r="U226" s="153" t="str">
        <f>+VLOOKUP($L226,Data_Validation!$A:$D,3,0)</f>
        <v>Pièces</v>
      </c>
      <c r="V226" s="153" t="str">
        <f>+VLOOKUP($L226,Data_Validation!$A:$D,4,0)</f>
        <v>Pièces Ro Carrosserie</v>
      </c>
      <c r="W226" s="153" t="str">
        <f>+VLOOKUP($L226,Data_Validation!$A:$E,5,0)</f>
        <v>$</v>
      </c>
      <c r="X226" s="153" t="str">
        <f>+VLOOKUP($L226,Data_Validation!$A:$F,6,0)</f>
        <v>Oui</v>
      </c>
    </row>
    <row r="227" spans="1:24" ht="15" customHeight="1">
      <c r="A227" s="1236" t="s">
        <v>2539</v>
      </c>
      <c r="B227" s="1237" t="s">
        <v>2540</v>
      </c>
      <c r="C227" s="1240"/>
      <c r="D227" s="1240"/>
      <c r="E227" s="1240"/>
      <c r="F227" s="1236" t="s">
        <v>4</v>
      </c>
      <c r="G227" s="1236" t="s">
        <v>2101</v>
      </c>
      <c r="H227" s="1238"/>
      <c r="I227" s="1239">
        <v>-43</v>
      </c>
      <c r="J227" s="1239">
        <v>-7</v>
      </c>
      <c r="K227" s="1239">
        <v>-50</v>
      </c>
      <c r="L227" s="150" t="str">
        <f t="shared" si="0"/>
        <v>4731@</v>
      </c>
      <c r="M227" s="151" t="str">
        <f t="shared" si="1"/>
        <v>PIECES-BON REPAR. PEINT/DEBOS</v>
      </c>
      <c r="N227" s="152">
        <f>+IF(OR($Q227=Parametres!$G$2,$Q227=Parametres!$G$3),I227,C227)</f>
        <v>-43</v>
      </c>
      <c r="O227" s="152">
        <f>+IF(OR($Q227=Parametres!$G$2,$Q227=Parametres!$G$3),J227,D227)</f>
        <v>-7</v>
      </c>
      <c r="P227" s="152">
        <f>+IF(OR($Q227=Parametres!$G$2,$Q227=Parametres!$G$3),K227,E227)</f>
        <v>-50</v>
      </c>
      <c r="Q227" s="151" t="str">
        <f t="shared" si="16"/>
        <v>10-Compte compteur</v>
      </c>
      <c r="R227" s="150" t="str">
        <f t="shared" si="16"/>
        <v>4731</v>
      </c>
      <c r="S227" s="151">
        <f t="shared" si="16"/>
        <v>0</v>
      </c>
      <c r="T227" s="153" t="str">
        <f>+VLOOKUP($L227,Data_Validation!$A:$D,1,0)</f>
        <v>4731@</v>
      </c>
      <c r="U227" s="153" t="str">
        <f>+VLOOKUP($L227,Data_Validation!$A:$D,3,0)</f>
        <v>Pièces</v>
      </c>
      <c r="V227" s="153" t="str">
        <f>+VLOOKUP($L227,Data_Validation!$A:$D,4,0)</f>
        <v>Pièces Ro Carrosserie</v>
      </c>
      <c r="W227" s="153" t="str">
        <f>+VLOOKUP($L227,Data_Validation!$A:$E,5,0)</f>
        <v>NB</v>
      </c>
      <c r="X227" s="153">
        <f>+VLOOKUP($L227,Data_Validation!$A:$F,6,0)</f>
        <v>0</v>
      </c>
    </row>
    <row r="228" spans="1:24" ht="15" customHeight="1">
      <c r="A228" s="986" t="s">
        <v>2083</v>
      </c>
      <c r="B228" s="1103">
        <v>4733</v>
      </c>
      <c r="C228" s="988">
        <v>-160615.14000000001</v>
      </c>
      <c r="D228" s="988">
        <v>-21290.2</v>
      </c>
      <c r="E228" s="988">
        <v>-181905.34</v>
      </c>
      <c r="F228" s="986" t="s">
        <v>282</v>
      </c>
      <c r="G228" s="986" t="s">
        <v>2084</v>
      </c>
      <c r="H228" s="987"/>
      <c r="I228" s="1006"/>
      <c r="J228" s="987"/>
      <c r="K228" s="1006"/>
      <c r="L228" s="150">
        <f t="shared" si="0"/>
        <v>4733</v>
      </c>
      <c r="M228" s="151" t="str">
        <f t="shared" si="1"/>
        <v>VTE - P&amp;A B.T. GARANTIE CAR.</v>
      </c>
      <c r="N228" s="152">
        <f>+IF(OR($Q228=Parametres!$G$2,$Q228=Parametres!$G$3),I228,C228)</f>
        <v>-160615.14000000001</v>
      </c>
      <c r="O228" s="152">
        <f>+IF(OR($Q228=Parametres!$G$2,$Q228=Parametres!$G$3),J228,D228)</f>
        <v>-21290.2</v>
      </c>
      <c r="P228" s="152">
        <f>+IF(OR($Q228=Parametres!$G$2,$Q228=Parametres!$G$3),K228,E228)</f>
        <v>-181905.34</v>
      </c>
      <c r="Q228" s="151" t="str">
        <f t="shared" si="16"/>
        <v>5-Ventes</v>
      </c>
      <c r="R228" s="150" t="str">
        <f t="shared" si="16"/>
        <v>4733</v>
      </c>
      <c r="S228" s="151">
        <f t="shared" si="16"/>
        <v>0</v>
      </c>
      <c r="T228" s="153">
        <f>+VLOOKUP($L228,Data_Validation!$A:$D,1,0)</f>
        <v>4733</v>
      </c>
      <c r="U228" s="153" t="str">
        <f>+VLOOKUP($L228,Data_Validation!$A:$D,3,0)</f>
        <v>Pièces</v>
      </c>
      <c r="V228" s="153" t="str">
        <f>+VLOOKUP($L228,Data_Validation!$A:$D,4,0)</f>
        <v>Pièces Ro Carrosserie</v>
      </c>
      <c r="W228" s="153" t="str">
        <f>+VLOOKUP($L228,Data_Validation!$A:$E,5,0)</f>
        <v>$</v>
      </c>
      <c r="X228" s="153" t="str">
        <f>+VLOOKUP($L228,Data_Validation!$A:$F,6,0)</f>
        <v>Oui</v>
      </c>
    </row>
    <row r="229" spans="1:24" ht="15.75" customHeight="1">
      <c r="A229" s="1236" t="s">
        <v>2541</v>
      </c>
      <c r="B229" s="1237" t="s">
        <v>2542</v>
      </c>
      <c r="C229" s="1240"/>
      <c r="D229" s="1240"/>
      <c r="E229" s="1240"/>
      <c r="F229" s="1236" t="s">
        <v>4</v>
      </c>
      <c r="G229" s="1236" t="s">
        <v>2084</v>
      </c>
      <c r="H229" s="1238"/>
      <c r="I229" s="1239">
        <v>-94</v>
      </c>
      <c r="J229" s="1239">
        <v>-10</v>
      </c>
      <c r="K229" s="1239">
        <v>-104</v>
      </c>
      <c r="L229" s="150" t="str">
        <f t="shared" si="0"/>
        <v>4733@</v>
      </c>
      <c r="M229" s="151" t="str">
        <f t="shared" si="1"/>
        <v># DE VTE - P&amp;A B.T. GARANTIE CARR.</v>
      </c>
      <c r="N229" s="152">
        <f>+IF(OR($Q229=Parametres!$G$2,$Q229=Parametres!$G$3),I229,C229)</f>
        <v>-94</v>
      </c>
      <c r="O229" s="152">
        <f>+IF(OR($Q229=Parametres!$G$2,$Q229=Parametres!$G$3),J229,D229)</f>
        <v>-10</v>
      </c>
      <c r="P229" s="152">
        <f>+IF(OR($Q229=Parametres!$G$2,$Q229=Parametres!$G$3),K229,E229)</f>
        <v>-104</v>
      </c>
      <c r="Q229" s="151" t="str">
        <f t="shared" si="16"/>
        <v>10-Compte compteur</v>
      </c>
      <c r="R229" s="150" t="str">
        <f t="shared" si="16"/>
        <v>4733</v>
      </c>
      <c r="S229" s="151">
        <f t="shared" si="16"/>
        <v>0</v>
      </c>
      <c r="T229" s="153" t="str">
        <f>+VLOOKUP($L229,Data_Validation!$A:$D,1,0)</f>
        <v>4733@</v>
      </c>
      <c r="U229" s="153" t="str">
        <f>+VLOOKUP($L229,Data_Validation!$A:$D,3,0)</f>
        <v>Pièces</v>
      </c>
      <c r="V229" s="153" t="str">
        <f>+VLOOKUP($L229,Data_Validation!$A:$D,4,0)</f>
        <v>Pièces Ro Carrosserie</v>
      </c>
      <c r="W229" s="153" t="str">
        <f>+VLOOKUP($L229,Data_Validation!$A:$E,5,0)</f>
        <v>NB</v>
      </c>
      <c r="X229" s="153">
        <f>+VLOOKUP($L229,Data_Validation!$A:$F,6,0)</f>
        <v>0</v>
      </c>
    </row>
    <row r="230" spans="1:24" ht="15" customHeight="1">
      <c r="A230" s="1236" t="s">
        <v>2158</v>
      </c>
      <c r="B230" s="1237">
        <v>4735</v>
      </c>
      <c r="C230" s="1239">
        <v>-1873.32</v>
      </c>
      <c r="D230" s="1239">
        <v>-123</v>
      </c>
      <c r="E230" s="1239">
        <v>-1996.32</v>
      </c>
      <c r="F230" s="1236" t="s">
        <v>282</v>
      </c>
      <c r="G230" s="1236" t="s">
        <v>2159</v>
      </c>
      <c r="H230" s="1238"/>
      <c r="I230" s="1240"/>
      <c r="J230" s="1238"/>
      <c r="K230" s="1240"/>
      <c r="L230" s="150">
        <f t="shared" si="0"/>
        <v>4735</v>
      </c>
      <c r="M230" s="151" t="str">
        <f t="shared" si="1"/>
        <v>VTE - P&amp;A B.T. INTERNE CARROS.</v>
      </c>
      <c r="N230" s="152">
        <f>+IF(OR($Q230=Parametres!$G$2,$Q230=Parametres!$G$3),I230,C230)</f>
        <v>-1873.32</v>
      </c>
      <c r="O230" s="152">
        <f>+IF(OR($Q230=Parametres!$G$2,$Q230=Parametres!$G$3),J230,D230)</f>
        <v>-123</v>
      </c>
      <c r="P230" s="152">
        <f>+IF(OR($Q230=Parametres!$G$2,$Q230=Parametres!$G$3),K230,E230)</f>
        <v>-1996.32</v>
      </c>
      <c r="Q230" s="151" t="str">
        <f t="shared" si="16"/>
        <v>5-Ventes</v>
      </c>
      <c r="R230" s="150" t="str">
        <f t="shared" si="16"/>
        <v>4735</v>
      </c>
      <c r="S230" s="151">
        <f t="shared" si="16"/>
        <v>0</v>
      </c>
      <c r="T230" s="153">
        <f>+VLOOKUP($L230,Data_Validation!$A:$D,1,0)</f>
        <v>4735</v>
      </c>
      <c r="U230" s="153" t="str">
        <f>+VLOOKUP($L230,Data_Validation!$A:$D,3,0)</f>
        <v>Pièces</v>
      </c>
      <c r="V230" s="153" t="str">
        <f>+VLOOKUP($L230,Data_Validation!$A:$D,4,0)</f>
        <v>Pièces Ro Carrosserie</v>
      </c>
      <c r="W230" s="153" t="str">
        <f>+VLOOKUP($L230,Data_Validation!$A:$E,5,0)</f>
        <v>$</v>
      </c>
      <c r="X230" s="153" t="str">
        <f>+VLOOKUP($L230,Data_Validation!$A:$F,6,0)</f>
        <v>Oui</v>
      </c>
    </row>
    <row r="231" spans="1:24" ht="15" customHeight="1">
      <c r="A231" s="1236" t="s">
        <v>2543</v>
      </c>
      <c r="B231" s="1237" t="s">
        <v>2544</v>
      </c>
      <c r="C231" s="1240"/>
      <c r="D231" s="1240"/>
      <c r="E231" s="1240"/>
      <c r="F231" s="1236" t="s">
        <v>4</v>
      </c>
      <c r="G231" s="1236" t="s">
        <v>2159</v>
      </c>
      <c r="H231" s="1238"/>
      <c r="I231" s="1239">
        <v>-13</v>
      </c>
      <c r="J231" s="1239">
        <v>-3</v>
      </c>
      <c r="K231" s="1239">
        <v>-16</v>
      </c>
      <c r="L231" s="150" t="str">
        <f t="shared" si="0"/>
        <v>4735@</v>
      </c>
      <c r="M231" s="151" t="str">
        <f t="shared" si="1"/>
        <v># DE VTE - P&amp;A B.T. INTERNE CARROS.</v>
      </c>
      <c r="N231" s="152">
        <f>+IF(OR($Q231=Parametres!$G$2,$Q231=Parametres!$G$3),I231,C231)</f>
        <v>-13</v>
      </c>
      <c r="O231" s="152">
        <f>+IF(OR($Q231=Parametres!$G$2,$Q231=Parametres!$G$3),J231,D231)</f>
        <v>-3</v>
      </c>
      <c r="P231" s="152">
        <f>+IF(OR($Q231=Parametres!$G$2,$Q231=Parametres!$G$3),K231,E231)</f>
        <v>-16</v>
      </c>
      <c r="Q231" s="151" t="str">
        <f t="shared" si="16"/>
        <v>10-Compte compteur</v>
      </c>
      <c r="R231" s="150" t="str">
        <f t="shared" si="16"/>
        <v>4735</v>
      </c>
      <c r="S231" s="151">
        <f t="shared" si="16"/>
        <v>0</v>
      </c>
      <c r="T231" s="153" t="str">
        <f>+VLOOKUP($L231,Data_Validation!$A:$D,1,0)</f>
        <v>4735@</v>
      </c>
      <c r="U231" s="153" t="str">
        <f>+VLOOKUP($L231,Data_Validation!$A:$D,3,0)</f>
        <v>Pièces</v>
      </c>
      <c r="V231" s="153" t="str">
        <f>+VLOOKUP($L231,Data_Validation!$A:$D,4,0)</f>
        <v>Pièces Ro Carrosserie</v>
      </c>
      <c r="W231" s="153" t="str">
        <f>+VLOOKUP($L231,Data_Validation!$A:$E,5,0)</f>
        <v>NB</v>
      </c>
      <c r="X231" s="153">
        <f>+VLOOKUP($L231,Data_Validation!$A:$F,6,0)</f>
        <v>0</v>
      </c>
    </row>
    <row r="232" spans="1:24" ht="15" customHeight="1">
      <c r="A232" s="1236" t="s">
        <v>2075</v>
      </c>
      <c r="B232" s="1237">
        <v>4761</v>
      </c>
      <c r="C232" s="1239">
        <v>-56339.93</v>
      </c>
      <c r="D232" s="1239">
        <v>-14457.31</v>
      </c>
      <c r="E232" s="1239">
        <v>-70797.240000000005</v>
      </c>
      <c r="F232" s="1236" t="s">
        <v>282</v>
      </c>
      <c r="G232" s="1236" t="s">
        <v>2076</v>
      </c>
      <c r="H232" s="1238"/>
      <c r="I232" s="1240"/>
      <c r="J232" s="1238"/>
      <c r="K232" s="1240"/>
      <c r="L232" s="150">
        <f t="shared" si="0"/>
        <v>4761</v>
      </c>
      <c r="M232" s="151" t="str">
        <f t="shared" si="1"/>
        <v>VTE - P&amp;A VW COMPTOIR - DETAIL</v>
      </c>
      <c r="N232" s="152">
        <f>+IF(OR($Q232=Parametres!$G$2,$Q232=Parametres!$G$3),I232,C232)</f>
        <v>-56339.93</v>
      </c>
      <c r="O232" s="152">
        <f>+IF(OR($Q232=Parametres!$G$2,$Q232=Parametres!$G$3),J232,D232)</f>
        <v>-14457.31</v>
      </c>
      <c r="P232" s="152">
        <f>+IF(OR($Q232=Parametres!$G$2,$Q232=Parametres!$G$3),K232,E232)</f>
        <v>-70797.240000000005</v>
      </c>
      <c r="Q232" s="151" t="str">
        <f t="shared" si="16"/>
        <v>5-Ventes</v>
      </c>
      <c r="R232" s="150" t="str">
        <f t="shared" si="16"/>
        <v>4761</v>
      </c>
      <c r="S232" s="151">
        <f t="shared" si="16"/>
        <v>0</v>
      </c>
      <c r="T232" s="153">
        <f>+VLOOKUP($L232,Data_Validation!$A:$D,1,0)</f>
        <v>4761</v>
      </c>
      <c r="U232" s="153" t="str">
        <f>+VLOOKUP($L232,Data_Validation!$A:$D,3,0)</f>
        <v>Pièces</v>
      </c>
      <c r="V232" s="153" t="str">
        <f>+VLOOKUP($L232,Data_Validation!$A:$D,4,0)</f>
        <v>Ventes Détails</v>
      </c>
      <c r="W232" s="153" t="str">
        <f>+VLOOKUP($L232,Data_Validation!$A:$E,5,0)</f>
        <v>$</v>
      </c>
      <c r="X232" s="153" t="str">
        <f>+VLOOKUP($L232,Data_Validation!$A:$F,6,0)</f>
        <v>Oui</v>
      </c>
    </row>
    <row r="233" spans="1:24" ht="15" customHeight="1">
      <c r="A233" s="1236" t="s">
        <v>2545</v>
      </c>
      <c r="B233" s="1237" t="s">
        <v>2546</v>
      </c>
      <c r="C233" s="1240"/>
      <c r="D233" s="1240"/>
      <c r="E233" s="1240"/>
      <c r="F233" s="1236" t="s">
        <v>4</v>
      </c>
      <c r="G233" s="1236" t="s">
        <v>2076</v>
      </c>
      <c r="H233" s="1238"/>
      <c r="I233" s="1239">
        <v>-644</v>
      </c>
      <c r="J233" s="1239">
        <v>-172</v>
      </c>
      <c r="K233" s="1239">
        <v>-816</v>
      </c>
      <c r="L233" s="150" t="str">
        <f t="shared" si="0"/>
        <v>4761@</v>
      </c>
      <c r="M233" s="151" t="str">
        <f t="shared" si="1"/>
        <v>PIECES-COMPTOIR-DETAIL</v>
      </c>
      <c r="N233" s="152">
        <f>+IF(OR($Q233=Parametres!$G$2,$Q233=Parametres!$G$3),I233,C233)</f>
        <v>-644</v>
      </c>
      <c r="O233" s="152">
        <f>+IF(OR($Q233=Parametres!$G$2,$Q233=Parametres!$G$3),J233,D233)</f>
        <v>-172</v>
      </c>
      <c r="P233" s="152">
        <f>+IF(OR($Q233=Parametres!$G$2,$Q233=Parametres!$G$3),K233,E233)</f>
        <v>-816</v>
      </c>
      <c r="Q233" s="151" t="str">
        <f t="shared" si="16"/>
        <v>10-Compte compteur</v>
      </c>
      <c r="R233" s="150" t="str">
        <f t="shared" si="16"/>
        <v>4761</v>
      </c>
      <c r="S233" s="151">
        <f t="shared" si="16"/>
        <v>0</v>
      </c>
      <c r="T233" s="153" t="str">
        <f>+VLOOKUP($L233,Data_Validation!$A:$D,1,0)</f>
        <v>4761@</v>
      </c>
      <c r="U233" s="153" t="str">
        <f>+VLOOKUP($L233,Data_Validation!$A:$D,3,0)</f>
        <v>Pièces</v>
      </c>
      <c r="V233" s="153" t="str">
        <f>+VLOOKUP($L233,Data_Validation!$A:$D,4,0)</f>
        <v>Ventes Détails</v>
      </c>
      <c r="W233" s="153" t="str">
        <f>+VLOOKUP($L233,Data_Validation!$A:$E,5,0)</f>
        <v>NB</v>
      </c>
      <c r="X233" s="153">
        <f>+VLOOKUP($L233,Data_Validation!$A:$F,6,0)</f>
        <v>0</v>
      </c>
    </row>
    <row r="234" spans="1:24" ht="15.75" customHeight="1">
      <c r="A234" s="1236" t="s">
        <v>2038</v>
      </c>
      <c r="B234" s="1237">
        <v>4763</v>
      </c>
      <c r="C234" s="1239">
        <v>-160807.18</v>
      </c>
      <c r="D234" s="1239">
        <v>-33246.97</v>
      </c>
      <c r="E234" s="1239">
        <v>-194054.15</v>
      </c>
      <c r="F234" s="1236" t="s">
        <v>282</v>
      </c>
      <c r="G234" s="1236" t="s">
        <v>2039</v>
      </c>
      <c r="H234" s="1238"/>
      <c r="I234" s="1240"/>
      <c r="J234" s="1238"/>
      <c r="K234" s="1240"/>
      <c r="L234" s="150">
        <f t="shared" si="0"/>
        <v>4763</v>
      </c>
      <c r="M234" s="151" t="str">
        <f t="shared" si="1"/>
        <v>VTE - P&amp;A VW COMPTOIR GROS - ECHANGE</v>
      </c>
      <c r="N234" s="152">
        <f>+IF(OR($Q234=Parametres!$G$2,$Q234=Parametres!$G$3),I234,C234)</f>
        <v>-160807.18</v>
      </c>
      <c r="O234" s="152">
        <f>+IF(OR($Q234=Parametres!$G$2,$Q234=Parametres!$G$3),J234,D234)</f>
        <v>-33246.97</v>
      </c>
      <c r="P234" s="152">
        <f>+IF(OR($Q234=Parametres!$G$2,$Q234=Parametres!$G$3),K234,E234)</f>
        <v>-194054.15</v>
      </c>
      <c r="Q234" s="151" t="str">
        <f t="shared" si="16"/>
        <v>5-Ventes</v>
      </c>
      <c r="R234" s="150" t="str">
        <f t="shared" si="16"/>
        <v>4763</v>
      </c>
      <c r="S234" s="151">
        <f t="shared" si="16"/>
        <v>0</v>
      </c>
      <c r="T234" s="153">
        <f>+VLOOKUP($L234,Data_Validation!$A:$D,1,0)</f>
        <v>4763</v>
      </c>
      <c r="U234" s="153" t="str">
        <f>+VLOOKUP($L234,Data_Validation!$A:$D,3,0)</f>
        <v>Pièces</v>
      </c>
      <c r="V234" s="153" t="str">
        <f>+VLOOKUP($L234,Data_Validation!$A:$D,4,0)</f>
        <v>Ventes de Gros</v>
      </c>
      <c r="W234" s="153" t="str">
        <f>+VLOOKUP($L234,Data_Validation!$A:$E,5,0)</f>
        <v>$</v>
      </c>
      <c r="X234" s="153" t="str">
        <f>+VLOOKUP($L234,Data_Validation!$A:$F,6,0)</f>
        <v>Oui</v>
      </c>
    </row>
    <row r="235" spans="1:24" ht="15" customHeight="1">
      <c r="A235" s="1236" t="s">
        <v>2547</v>
      </c>
      <c r="B235" s="1237" t="s">
        <v>2548</v>
      </c>
      <c r="C235" s="1240"/>
      <c r="D235" s="1240"/>
      <c r="E235" s="1240"/>
      <c r="F235" s="1236" t="s">
        <v>4</v>
      </c>
      <c r="G235" s="1236" t="s">
        <v>2039</v>
      </c>
      <c r="H235" s="1238"/>
      <c r="I235" s="1239">
        <v>-697</v>
      </c>
      <c r="J235" s="1239">
        <v>-167</v>
      </c>
      <c r="K235" s="1239">
        <v>-864</v>
      </c>
      <c r="L235" s="150" t="str">
        <f t="shared" si="0"/>
        <v>4763@</v>
      </c>
      <c r="M235" s="151" t="str">
        <f t="shared" si="1"/>
        <v>PIECES-COMPTOIR-COMM. GROS</v>
      </c>
      <c r="N235" s="152">
        <f>+IF(OR($Q235=Parametres!$G$2,$Q235=Parametres!$G$3),I235,C235)</f>
        <v>-697</v>
      </c>
      <c r="O235" s="152">
        <f>+IF(OR($Q235=Parametres!$G$2,$Q235=Parametres!$G$3),J235,D235)</f>
        <v>-167</v>
      </c>
      <c r="P235" s="152">
        <f>+IF(OR($Q235=Parametres!$G$2,$Q235=Parametres!$G$3),K235,E235)</f>
        <v>-864</v>
      </c>
      <c r="Q235" s="151" t="str">
        <f t="shared" si="16"/>
        <v>10-Compte compteur</v>
      </c>
      <c r="R235" s="150" t="str">
        <f t="shared" si="16"/>
        <v>4763</v>
      </c>
      <c r="S235" s="151">
        <f t="shared" si="16"/>
        <v>0</v>
      </c>
      <c r="T235" s="153" t="str">
        <f>+VLOOKUP($L235,Data_Validation!$A:$D,1,0)</f>
        <v>4763@</v>
      </c>
      <c r="U235" s="153" t="str">
        <f>+VLOOKUP($L235,Data_Validation!$A:$D,3,0)</f>
        <v>Pièces</v>
      </c>
      <c r="V235" s="153" t="str">
        <f>+VLOOKUP($L235,Data_Validation!$A:$D,4,0)</f>
        <v>Ventes de Gros</v>
      </c>
      <c r="W235" s="153" t="str">
        <f>+VLOOKUP($L235,Data_Validation!$A:$E,5,0)</f>
        <v>NB</v>
      </c>
      <c r="X235" s="153">
        <f>+VLOOKUP($L235,Data_Validation!$A:$F,6,0)</f>
        <v>0</v>
      </c>
    </row>
    <row r="236" spans="1:24" ht="15" customHeight="1">
      <c r="A236" s="1236" t="s">
        <v>2027</v>
      </c>
      <c r="B236" s="1237">
        <v>4781</v>
      </c>
      <c r="C236" s="1239">
        <v>-111694.28</v>
      </c>
      <c r="D236" s="1239">
        <v>-41678.730000000003</v>
      </c>
      <c r="E236" s="1239">
        <v>-153373.01</v>
      </c>
      <c r="F236" s="1236" t="s">
        <v>282</v>
      </c>
      <c r="G236" s="1236" t="s">
        <v>2028</v>
      </c>
      <c r="H236" s="1238"/>
      <c r="I236" s="1240"/>
      <c r="J236" s="1238"/>
      <c r="K236" s="1240"/>
      <c r="L236" s="150">
        <f t="shared" si="0"/>
        <v>4781</v>
      </c>
      <c r="M236" s="151" t="str">
        <f t="shared" si="1"/>
        <v>VENTES PNEUS</v>
      </c>
      <c r="N236" s="152">
        <f>+IF(OR($Q236=Parametres!$G$2,$Q236=Parametres!$G$3),I236,C236)</f>
        <v>-111694.28</v>
      </c>
      <c r="O236" s="152">
        <f>+IF(OR($Q236=Parametres!$G$2,$Q236=Parametres!$G$3),J236,D236)</f>
        <v>-41678.730000000003</v>
      </c>
      <c r="P236" s="152">
        <f>+IF(OR($Q236=Parametres!$G$2,$Q236=Parametres!$G$3),K236,E236)</f>
        <v>-153373.01</v>
      </c>
      <c r="Q236" s="151" t="str">
        <f t="shared" si="16"/>
        <v>5-Ventes</v>
      </c>
      <c r="R236" s="150" t="str">
        <f t="shared" si="16"/>
        <v>4781</v>
      </c>
      <c r="S236" s="151">
        <f t="shared" si="16"/>
        <v>0</v>
      </c>
      <c r="T236" s="153">
        <f>+VLOOKUP($L236,Data_Validation!$A:$D,1,0)</f>
        <v>4781</v>
      </c>
      <c r="U236" s="153" t="str">
        <f>+VLOOKUP($L236,Data_Validation!$A:$D,3,0)</f>
        <v>Pièces</v>
      </c>
      <c r="V236" s="153" t="str">
        <f>+VLOOKUP($L236,Data_Validation!$A:$D,4,0)</f>
        <v>Ventes Pneus</v>
      </c>
      <c r="W236" s="153" t="str">
        <f>+VLOOKUP($L236,Data_Validation!$A:$E,5,0)</f>
        <v>$</v>
      </c>
      <c r="X236" s="153" t="str">
        <f>+VLOOKUP($L236,Data_Validation!$A:$F,6,0)</f>
        <v>Oui</v>
      </c>
    </row>
    <row r="237" spans="1:24" ht="15" customHeight="1">
      <c r="A237" s="1236" t="s">
        <v>2027</v>
      </c>
      <c r="B237" s="1237" t="s">
        <v>2549</v>
      </c>
      <c r="C237" s="1240"/>
      <c r="D237" s="1240"/>
      <c r="E237" s="1240"/>
      <c r="F237" s="1236" t="s">
        <v>4</v>
      </c>
      <c r="G237" s="1236" t="s">
        <v>2028</v>
      </c>
      <c r="H237" s="1238"/>
      <c r="I237" s="1239">
        <v>-168</v>
      </c>
      <c r="J237" s="1239">
        <v>-55</v>
      </c>
      <c r="K237" s="1239">
        <v>-223</v>
      </c>
      <c r="L237" s="150" t="str">
        <f t="shared" si="0"/>
        <v>4781@</v>
      </c>
      <c r="M237" s="151" t="str">
        <f t="shared" si="1"/>
        <v>VENTES PNEUS</v>
      </c>
      <c r="N237" s="152">
        <f>+IF(OR($Q237=Parametres!$G$2,$Q237=Parametres!$G$3),I237,C237)</f>
        <v>-168</v>
      </c>
      <c r="O237" s="152">
        <f>+IF(OR($Q237=Parametres!$G$2,$Q237=Parametres!$G$3),J237,D237)</f>
        <v>-55</v>
      </c>
      <c r="P237" s="152">
        <f>+IF(OR($Q237=Parametres!$G$2,$Q237=Parametres!$G$3),K237,E237)</f>
        <v>-223</v>
      </c>
      <c r="Q237" s="151" t="str">
        <f t="shared" si="16"/>
        <v>10-Compte compteur</v>
      </c>
      <c r="R237" s="150" t="str">
        <f t="shared" si="16"/>
        <v>4781</v>
      </c>
      <c r="S237" s="151">
        <f t="shared" si="16"/>
        <v>0</v>
      </c>
      <c r="T237" s="153" t="str">
        <f>+VLOOKUP($L237,Data_Validation!$A:$D,1,0)</f>
        <v>4781@</v>
      </c>
      <c r="U237" s="153" t="str">
        <f>+VLOOKUP($L237,Data_Validation!$A:$D,3,0)</f>
        <v>Pièces</v>
      </c>
      <c r="V237" s="153" t="str">
        <f>+VLOOKUP($L237,Data_Validation!$A:$D,4,0)</f>
        <v>Ventes Pneus</v>
      </c>
      <c r="W237" s="153" t="str">
        <f>+VLOOKUP($L237,Data_Validation!$A:$E,5,0)</f>
        <v>NB</v>
      </c>
      <c r="X237" s="153">
        <f>+VLOOKUP($L237,Data_Validation!$A:$F,6,0)</f>
        <v>0</v>
      </c>
    </row>
    <row r="238" spans="1:24" ht="15.75" customHeight="1">
      <c r="A238" s="1236" t="s">
        <v>2113</v>
      </c>
      <c r="B238" s="1237">
        <v>4785</v>
      </c>
      <c r="C238" s="1239">
        <v>-554.75</v>
      </c>
      <c r="D238" s="1239">
        <v>0</v>
      </c>
      <c r="E238" s="1239">
        <v>-554.75</v>
      </c>
      <c r="F238" s="1236" t="s">
        <v>282</v>
      </c>
      <c r="G238" s="1236" t="s">
        <v>2028</v>
      </c>
      <c r="H238" s="1238"/>
      <c r="I238" s="1240"/>
      <c r="J238" s="1238"/>
      <c r="K238" s="1240"/>
      <c r="L238" s="150">
        <f t="shared" si="0"/>
        <v>4785</v>
      </c>
      <c r="M238" s="151" t="str">
        <f t="shared" si="1"/>
        <v>VTE - VW PNEUS</v>
      </c>
      <c r="N238" s="152">
        <f>+IF(OR($Q238=Parametres!$G$2,$Q238=Parametres!$G$3),I238,C238)</f>
        <v>-554.75</v>
      </c>
      <c r="O238" s="152">
        <f>+IF(OR($Q238=Parametres!$G$2,$Q238=Parametres!$G$3),J238,D238)</f>
        <v>0</v>
      </c>
      <c r="P238" s="152">
        <f>+IF(OR($Q238=Parametres!$G$2,$Q238=Parametres!$G$3),K238,E238)</f>
        <v>-554.75</v>
      </c>
      <c r="Q238" s="151" t="str">
        <f t="shared" si="16"/>
        <v>5-Ventes</v>
      </c>
      <c r="R238" s="150" t="str">
        <f t="shared" si="16"/>
        <v>4781</v>
      </c>
      <c r="S238" s="151">
        <f t="shared" si="16"/>
        <v>0</v>
      </c>
      <c r="T238" s="153">
        <f>+VLOOKUP($L238,Data_Validation!$A:$D,1,0)</f>
        <v>4785</v>
      </c>
      <c r="U238" s="153" t="str">
        <f>+VLOOKUP($L238,Data_Validation!$A:$D,3,0)</f>
        <v>Pièces</v>
      </c>
      <c r="V238" s="153" t="str">
        <f>+VLOOKUP($L238,Data_Validation!$A:$D,4,0)</f>
        <v>Ventes Pneus</v>
      </c>
      <c r="W238" s="153" t="str">
        <f>+VLOOKUP($L238,Data_Validation!$A:$E,5,0)</f>
        <v>$</v>
      </c>
      <c r="X238" s="153" t="str">
        <f>+VLOOKUP($L238,Data_Validation!$A:$F,6,0)</f>
        <v>Oui</v>
      </c>
    </row>
    <row r="239" spans="1:24" ht="15" customHeight="1">
      <c r="A239" s="1236" t="s">
        <v>2831</v>
      </c>
      <c r="B239" s="1237">
        <v>5100</v>
      </c>
      <c r="C239" s="1240">
        <v>787478.5</v>
      </c>
      <c r="D239" s="1240">
        <v>216490.46</v>
      </c>
      <c r="E239" s="1240">
        <v>1003968.96</v>
      </c>
      <c r="F239" s="1236" t="s">
        <v>421</v>
      </c>
      <c r="G239" s="1236" t="s">
        <v>2019</v>
      </c>
      <c r="H239" s="1238"/>
      <c r="I239" s="1239"/>
      <c r="J239" s="1239"/>
      <c r="K239" s="1239"/>
      <c r="L239" s="150">
        <f t="shared" si="0"/>
        <v>5100</v>
      </c>
      <c r="M239" s="151" t="str">
        <f t="shared" si="1"/>
        <v>C/V - RACHAT DE BAIL</v>
      </c>
      <c r="N239" s="152">
        <f>+IF(OR($Q239=Parametres!$G$2,$Q239=Parametres!$G$3),I239,C239)</f>
        <v>787478.5</v>
      </c>
      <c r="O239" s="152">
        <f>+IF(OR($Q239=Parametres!$G$2,$Q239=Parametres!$G$3),J239,D239)</f>
        <v>216490.46</v>
      </c>
      <c r="P239" s="152">
        <f>+IF(OR($Q239=Parametres!$G$2,$Q239=Parametres!$G$3),K239,E239)</f>
        <v>1003968.96</v>
      </c>
      <c r="Q239" s="151" t="str">
        <f t="shared" si="16"/>
        <v>6-Coût des ventes</v>
      </c>
      <c r="R239" s="150" t="str">
        <f t="shared" si="16"/>
        <v>4100</v>
      </c>
      <c r="S239" s="151">
        <f t="shared" si="16"/>
        <v>0</v>
      </c>
      <c r="T239" s="153">
        <f>+VLOOKUP($L239,Data_Validation!$A:$D,1,0)</f>
        <v>5100</v>
      </c>
      <c r="U239" s="153" t="str">
        <f>+VLOOKUP($L239,Data_Validation!$A:$D,3,0)</f>
        <v>Véhicules neufs</v>
      </c>
      <c r="V239" s="153" t="str">
        <f>+VLOOKUP($L239,Data_Validation!$A:$D,4,0)</f>
        <v>Rachat bail</v>
      </c>
      <c r="W239" s="153" t="str">
        <f>+VLOOKUP($L239,Data_Validation!$A:$E,5,0)</f>
        <v>$</v>
      </c>
      <c r="X239" s="153">
        <f>+VLOOKUP($L239,Data_Validation!$A:$F,6,0)</f>
        <v>0</v>
      </c>
    </row>
    <row r="240" spans="1:24" ht="15" customHeight="1">
      <c r="A240" s="1236" t="s">
        <v>2439</v>
      </c>
      <c r="B240" s="1237">
        <v>5105</v>
      </c>
      <c r="C240" s="1239">
        <v>0</v>
      </c>
      <c r="D240" s="1239">
        <v>48088.800000000003</v>
      </c>
      <c r="E240" s="1239">
        <v>48088.800000000003</v>
      </c>
      <c r="F240" s="1236" t="s">
        <v>421</v>
      </c>
      <c r="G240" s="1236" t="s">
        <v>2425</v>
      </c>
      <c r="H240" s="1238"/>
      <c r="I240" s="1240"/>
      <c r="J240" s="1238"/>
      <c r="K240" s="1240"/>
      <c r="L240" s="150">
        <f t="shared" si="0"/>
        <v>5105</v>
      </c>
      <c r="M240" s="151" t="str">
        <f t="shared" si="1"/>
        <v>C/V - ARTEON</v>
      </c>
      <c r="N240" s="152">
        <f>+IF(OR($Q240=Parametres!$G$2,$Q240=Parametres!$G$3),I240,C240)</f>
        <v>0</v>
      </c>
      <c r="O240" s="152">
        <f>+IF(OR($Q240=Parametres!$G$2,$Q240=Parametres!$G$3),J240,D240)</f>
        <v>48088.800000000003</v>
      </c>
      <c r="P240" s="152">
        <f>+IF(OR($Q240=Parametres!$G$2,$Q240=Parametres!$G$3),K240,E240)</f>
        <v>48088.800000000003</v>
      </c>
      <c r="Q240" s="151" t="str">
        <f t="shared" si="16"/>
        <v>6-Coût des ventes</v>
      </c>
      <c r="R240" s="150" t="str">
        <f t="shared" si="16"/>
        <v>4105</v>
      </c>
      <c r="S240" s="151">
        <f t="shared" si="16"/>
        <v>0</v>
      </c>
      <c r="T240" s="153">
        <f>+VLOOKUP($L240,Data_Validation!$A:$D,1,0)</f>
        <v>5105</v>
      </c>
      <c r="U240" s="153" t="str">
        <f>+VLOOKUP($L240,Data_Validation!$A:$D,3,0)</f>
        <v>Véhicules neufs</v>
      </c>
      <c r="V240" s="153" t="str">
        <f>+VLOOKUP($L240,Data_Validation!$A:$D,4,0)</f>
        <v>Autos détail</v>
      </c>
      <c r="W240" s="153" t="str">
        <f>+VLOOKUP($L240,Data_Validation!$A:$E,5,0)</f>
        <v>$</v>
      </c>
      <c r="X240" s="153">
        <f>+VLOOKUP($L240,Data_Validation!$A:$F,6,0)</f>
        <v>0</v>
      </c>
    </row>
    <row r="241" spans="1:24" ht="15" customHeight="1">
      <c r="A241" s="1236" t="s">
        <v>2833</v>
      </c>
      <c r="B241" s="1237">
        <v>5107</v>
      </c>
      <c r="C241" s="1239">
        <v>737167.74</v>
      </c>
      <c r="D241" s="1239">
        <v>343372.37</v>
      </c>
      <c r="E241" s="1239">
        <v>1080540.1100000001</v>
      </c>
      <c r="F241" s="1236" t="s">
        <v>421</v>
      </c>
      <c r="G241" s="1236" t="s">
        <v>2012</v>
      </c>
      <c r="H241" s="1243"/>
      <c r="I241" s="1244"/>
      <c r="J241" s="1244"/>
      <c r="K241" s="1244"/>
      <c r="L241" s="150">
        <f t="shared" si="0"/>
        <v>5107</v>
      </c>
      <c r="M241" s="151" t="str">
        <f t="shared" si="1"/>
        <v>C/V - GOLF</v>
      </c>
      <c r="N241" s="152">
        <f>+IF(OR($Q241=Parametres!$G$2,$Q241=Parametres!$G$3),I241,C241)</f>
        <v>737167.74</v>
      </c>
      <c r="O241" s="152">
        <f>+IF(OR($Q241=Parametres!$G$2,$Q241=Parametres!$G$3),J241,D241)</f>
        <v>343372.37</v>
      </c>
      <c r="P241" s="152">
        <f>+IF(OR($Q241=Parametres!$G$2,$Q241=Parametres!$G$3),K241,E241)</f>
        <v>1080540.1100000001</v>
      </c>
      <c r="Q241" s="151" t="str">
        <f t="shared" si="16"/>
        <v>6-Coût des ventes</v>
      </c>
      <c r="R241" s="150" t="str">
        <f t="shared" si="16"/>
        <v>4107</v>
      </c>
      <c r="S241" s="151">
        <f t="shared" si="16"/>
        <v>0</v>
      </c>
      <c r="T241" s="153">
        <f>+VLOOKUP($L241,Data_Validation!$A:$D,1,0)</f>
        <v>5107</v>
      </c>
      <c r="U241" s="153" t="str">
        <f>+VLOOKUP($L241,Data_Validation!$A:$D,3,0)</f>
        <v>Véhicules neufs</v>
      </c>
      <c r="V241" s="153" t="str">
        <f>+VLOOKUP($L241,Data_Validation!$A:$D,4,0)</f>
        <v>Autos détail</v>
      </c>
      <c r="W241" s="153" t="str">
        <f>+VLOOKUP($L241,Data_Validation!$A:$E,5,0)</f>
        <v>$</v>
      </c>
      <c r="X241" s="153">
        <f>+VLOOKUP($L241,Data_Validation!$A:$F,6,0)</f>
        <v>0</v>
      </c>
    </row>
    <row r="242" spans="1:24" ht="15" customHeight="1">
      <c r="A242" s="1236" t="s">
        <v>2835</v>
      </c>
      <c r="B242" s="1237">
        <v>5111</v>
      </c>
      <c r="C242" s="1239">
        <v>746858.94</v>
      </c>
      <c r="D242" s="1239">
        <v>248078.42</v>
      </c>
      <c r="E242" s="1239">
        <v>994937.36</v>
      </c>
      <c r="F242" s="1236" t="s">
        <v>421</v>
      </c>
      <c r="G242" s="1236" t="s">
        <v>2007</v>
      </c>
      <c r="H242" s="1243"/>
      <c r="I242" s="1244"/>
      <c r="J242" s="1244"/>
      <c r="K242" s="1244"/>
      <c r="L242" s="150">
        <f t="shared" si="0"/>
        <v>5111</v>
      </c>
      <c r="M242" s="151" t="str">
        <f t="shared" si="1"/>
        <v>C/V - JETTA</v>
      </c>
      <c r="N242" s="152">
        <f>+IF(OR($Q242=Parametres!$G$2,$Q242=Parametres!$G$3),I242,C242)</f>
        <v>746858.94</v>
      </c>
      <c r="O242" s="152">
        <f>+IF(OR($Q242=Parametres!$G$2,$Q242=Parametres!$G$3),J242,D242)</f>
        <v>248078.42</v>
      </c>
      <c r="P242" s="152">
        <f>+IF(OR($Q242=Parametres!$G$2,$Q242=Parametres!$G$3),K242,E242)</f>
        <v>994937.36</v>
      </c>
      <c r="Q242" s="151" t="str">
        <f t="shared" ref="Q242:S257" si="17">+F242</f>
        <v>6-Coût des ventes</v>
      </c>
      <c r="R242" s="150" t="str">
        <f t="shared" si="17"/>
        <v>4111</v>
      </c>
      <c r="S242" s="151">
        <f t="shared" si="17"/>
        <v>0</v>
      </c>
      <c r="T242" s="153">
        <f>+VLOOKUP($L242,Data_Validation!$A:$D,1,0)</f>
        <v>5111</v>
      </c>
      <c r="U242" s="153" t="str">
        <f>+VLOOKUP($L242,Data_Validation!$A:$D,3,0)</f>
        <v>Véhicules neufs</v>
      </c>
      <c r="V242" s="153" t="str">
        <f>+VLOOKUP($L242,Data_Validation!$A:$D,4,0)</f>
        <v>Autos détail</v>
      </c>
      <c r="W242" s="153" t="str">
        <f>+VLOOKUP($L242,Data_Validation!$A:$E,5,0)</f>
        <v>$</v>
      </c>
      <c r="X242" s="153">
        <f>+VLOOKUP($L242,Data_Validation!$A:$F,6,0)</f>
        <v>0</v>
      </c>
    </row>
    <row r="243" spans="1:24" ht="15.75" customHeight="1">
      <c r="A243" s="1236" t="s">
        <v>2445</v>
      </c>
      <c r="B243" s="1237">
        <v>5115</v>
      </c>
      <c r="C243" s="1239">
        <v>14956.52</v>
      </c>
      <c r="D243" s="1239">
        <v>0</v>
      </c>
      <c r="E243" s="1239">
        <v>14956.52</v>
      </c>
      <c r="F243" s="1236" t="s">
        <v>421</v>
      </c>
      <c r="G243" s="1236" t="s">
        <v>2431</v>
      </c>
      <c r="H243" s="1243"/>
      <c r="I243" s="1244"/>
      <c r="J243" s="1244"/>
      <c r="K243" s="1244"/>
      <c r="L243" s="150">
        <f t="shared" si="0"/>
        <v>5115</v>
      </c>
      <c r="M243" s="151" t="str">
        <f t="shared" si="1"/>
        <v>C/V - PASSAT BERLINE</v>
      </c>
      <c r="N243" s="152">
        <f>+IF(OR($Q243=Parametres!$G$2,$Q243=Parametres!$G$3),I243,C243)</f>
        <v>14956.52</v>
      </c>
      <c r="O243" s="152">
        <f>+IF(OR($Q243=Parametres!$G$2,$Q243=Parametres!$G$3),J243,D243)</f>
        <v>0</v>
      </c>
      <c r="P243" s="152">
        <f>+IF(OR($Q243=Parametres!$G$2,$Q243=Parametres!$G$3),K243,E243)</f>
        <v>14956.52</v>
      </c>
      <c r="Q243" s="151" t="str">
        <f t="shared" si="17"/>
        <v>6-Coût des ventes</v>
      </c>
      <c r="R243" s="150" t="str">
        <f t="shared" si="17"/>
        <v>4115</v>
      </c>
      <c r="S243" s="151">
        <f t="shared" si="17"/>
        <v>0</v>
      </c>
      <c r="T243" s="153">
        <f>+VLOOKUP($L243,Data_Validation!$A:$D,1,0)</f>
        <v>5115</v>
      </c>
      <c r="U243" s="153" t="str">
        <f>+VLOOKUP($L243,Data_Validation!$A:$D,3,0)</f>
        <v>Véhicules neufs</v>
      </c>
      <c r="V243" s="153" t="str">
        <f>+VLOOKUP($L243,Data_Validation!$A:$D,4,0)</f>
        <v>Autos détail</v>
      </c>
      <c r="W243" s="153" t="str">
        <f>+VLOOKUP($L243,Data_Validation!$A:$E,5,0)</f>
        <v>$</v>
      </c>
      <c r="X243" s="153">
        <f>+VLOOKUP($L243,Data_Validation!$A:$F,6,0)</f>
        <v>0</v>
      </c>
    </row>
    <row r="244" spans="1:24" ht="15" customHeight="1">
      <c r="A244" s="1236" t="s">
        <v>2841</v>
      </c>
      <c r="B244" s="1237">
        <v>5119</v>
      </c>
      <c r="C244" s="1239">
        <v>1681370.62</v>
      </c>
      <c r="D244" s="1239">
        <v>698729.5</v>
      </c>
      <c r="E244" s="1239">
        <v>2380100.12</v>
      </c>
      <c r="F244" s="1236" t="s">
        <v>421</v>
      </c>
      <c r="G244" s="1236" t="s">
        <v>1996</v>
      </c>
      <c r="H244" s="1243"/>
      <c r="I244" s="1244"/>
      <c r="J244" s="1244"/>
      <c r="K244" s="1244"/>
      <c r="L244" s="150">
        <f t="shared" si="0"/>
        <v>5119</v>
      </c>
      <c r="M244" s="151" t="str">
        <f t="shared" si="1"/>
        <v>C/V - ATLAS</v>
      </c>
      <c r="N244" s="152">
        <f>+IF(OR($Q244=Parametres!$G$2,$Q244=Parametres!$G$3),I244,C244)</f>
        <v>1681370.62</v>
      </c>
      <c r="O244" s="152">
        <f>+IF(OR($Q244=Parametres!$G$2,$Q244=Parametres!$G$3),J244,D244)</f>
        <v>698729.5</v>
      </c>
      <c r="P244" s="152">
        <f>+IF(OR($Q244=Parametres!$G$2,$Q244=Parametres!$G$3),K244,E244)</f>
        <v>2380100.12</v>
      </c>
      <c r="Q244" s="151" t="str">
        <f t="shared" si="17"/>
        <v>6-Coût des ventes</v>
      </c>
      <c r="R244" s="150" t="str">
        <f t="shared" si="17"/>
        <v>4119</v>
      </c>
      <c r="S244" s="151">
        <f t="shared" si="17"/>
        <v>0</v>
      </c>
      <c r="T244" s="153">
        <f>+VLOOKUP($L244,Data_Validation!$A:$D,1,0)</f>
        <v>5119</v>
      </c>
      <c r="U244" s="153" t="str">
        <f>+VLOOKUP($L244,Data_Validation!$A:$D,3,0)</f>
        <v>Véhicules neufs</v>
      </c>
      <c r="V244" s="153" t="str">
        <f>+VLOOKUP($L244,Data_Validation!$A:$D,4,0)</f>
        <v>Camions détail</v>
      </c>
      <c r="W244" s="153" t="str">
        <f>+VLOOKUP($L244,Data_Validation!$A:$E,5,0)</f>
        <v>$</v>
      </c>
      <c r="X244" s="153">
        <f>+VLOOKUP($L244,Data_Validation!$A:$F,6,0)</f>
        <v>0</v>
      </c>
    </row>
    <row r="245" spans="1:24" ht="15" customHeight="1">
      <c r="A245" s="1236" t="s">
        <v>2885</v>
      </c>
      <c r="B245" s="1237">
        <v>5121</v>
      </c>
      <c r="C245" s="1239">
        <v>126720.36</v>
      </c>
      <c r="D245" s="1239">
        <v>92022.39</v>
      </c>
      <c r="E245" s="1239">
        <v>218742.75</v>
      </c>
      <c r="F245" s="1236" t="s">
        <v>421</v>
      </c>
      <c r="G245" s="1236" t="s">
        <v>3258</v>
      </c>
      <c r="H245" s="1243"/>
      <c r="I245" s="1244"/>
      <c r="J245" s="1244"/>
      <c r="K245" s="1244"/>
      <c r="L245" s="150">
        <f t="shared" si="0"/>
        <v>5121</v>
      </c>
      <c r="M245" s="151" t="str">
        <f t="shared" si="1"/>
        <v>C/V - ATLAS CROSS SPORT</v>
      </c>
      <c r="N245" s="152">
        <f>+IF(OR($Q245=Parametres!$G$2,$Q245=Parametres!$G$3),I245,C245)</f>
        <v>126720.36</v>
      </c>
      <c r="O245" s="152">
        <f>+IF(OR($Q245=Parametres!$G$2,$Q245=Parametres!$G$3),J245,D245)</f>
        <v>92022.39</v>
      </c>
      <c r="P245" s="152">
        <f>+IF(OR($Q245=Parametres!$G$2,$Q245=Parametres!$G$3),K245,E245)</f>
        <v>218742.75</v>
      </c>
      <c r="Q245" s="151" t="str">
        <f t="shared" si="17"/>
        <v>6-Coût des ventes</v>
      </c>
      <c r="R245" s="150" t="str">
        <f t="shared" si="17"/>
        <v>4121</v>
      </c>
      <c r="S245" s="151">
        <f t="shared" si="17"/>
        <v>0</v>
      </c>
      <c r="T245" s="153">
        <f>+VLOOKUP($L245,Data_Validation!$A:$D,1,0)</f>
        <v>5121</v>
      </c>
      <c r="U245" s="153" t="str">
        <f>+VLOOKUP($L245,Data_Validation!$A:$D,3,0)</f>
        <v>Véhicules neufs</v>
      </c>
      <c r="V245" s="153" t="str">
        <f>+VLOOKUP($L245,Data_Validation!$A:$D,4,0)</f>
        <v>Camions détail</v>
      </c>
      <c r="W245" s="153" t="str">
        <f>+VLOOKUP($L245,Data_Validation!$A:$E,5,0)</f>
        <v>$</v>
      </c>
      <c r="X245" s="153">
        <f>+VLOOKUP($L245,Data_Validation!$A:$F,6,0)</f>
        <v>0</v>
      </c>
    </row>
    <row r="246" spans="1:24" ht="15" customHeight="1">
      <c r="A246" s="1236" t="s">
        <v>2827</v>
      </c>
      <c r="B246" s="1237">
        <v>5127</v>
      </c>
      <c r="C246" s="1239">
        <v>434050.79</v>
      </c>
      <c r="D246" s="1239">
        <v>72563.97</v>
      </c>
      <c r="E246" s="1239">
        <v>506614.76</v>
      </c>
      <c r="F246" s="1236" t="s">
        <v>421</v>
      </c>
      <c r="G246" s="1236" t="s">
        <v>2024</v>
      </c>
      <c r="H246" s="1243"/>
      <c r="I246" s="1244"/>
      <c r="J246" s="1244"/>
      <c r="K246" s="1244"/>
      <c r="L246" s="150">
        <f t="shared" si="0"/>
        <v>5127</v>
      </c>
      <c r="M246" s="151" t="str">
        <f t="shared" si="1"/>
        <v>C/V - GOLF GTI</v>
      </c>
      <c r="N246" s="152">
        <f>+IF(OR($Q246=Parametres!$G$2,$Q246=Parametres!$G$3),I246,C246)</f>
        <v>434050.79</v>
      </c>
      <c r="O246" s="152">
        <f>+IF(OR($Q246=Parametres!$G$2,$Q246=Parametres!$G$3),J246,D246)</f>
        <v>72563.97</v>
      </c>
      <c r="P246" s="152">
        <f>+IF(OR($Q246=Parametres!$G$2,$Q246=Parametres!$G$3),K246,E246)</f>
        <v>506614.76</v>
      </c>
      <c r="Q246" s="151" t="str">
        <f t="shared" si="17"/>
        <v>6-Coût des ventes</v>
      </c>
      <c r="R246" s="150" t="str">
        <f t="shared" si="17"/>
        <v>4127</v>
      </c>
      <c r="S246" s="151">
        <f t="shared" si="17"/>
        <v>0</v>
      </c>
      <c r="T246" s="153">
        <f>+VLOOKUP($L246,Data_Validation!$A:$D,1,0)</f>
        <v>5127</v>
      </c>
      <c r="U246" s="153" t="str">
        <f>+VLOOKUP($L246,Data_Validation!$A:$D,3,0)</f>
        <v>Véhicules neufs</v>
      </c>
      <c r="V246" s="153" t="str">
        <f>+VLOOKUP($L246,Data_Validation!$A:$D,4,0)</f>
        <v>Autos détail</v>
      </c>
      <c r="W246" s="153" t="str">
        <f>+VLOOKUP($L246,Data_Validation!$A:$E,5,0)</f>
        <v>$</v>
      </c>
      <c r="X246" s="153">
        <f>+VLOOKUP($L246,Data_Validation!$A:$F,6,0)</f>
        <v>0</v>
      </c>
    </row>
    <row r="247" spans="1:24" ht="15.75" customHeight="1">
      <c r="A247" s="1236" t="s">
        <v>2846</v>
      </c>
      <c r="B247" s="1237">
        <v>5131</v>
      </c>
      <c r="C247" s="1239">
        <v>2787780.31</v>
      </c>
      <c r="D247" s="1239">
        <v>1555842.66</v>
      </c>
      <c r="E247" s="1239">
        <v>4343622.97</v>
      </c>
      <c r="F247" s="1236" t="s">
        <v>421</v>
      </c>
      <c r="G247" s="1236" t="s">
        <v>1992</v>
      </c>
      <c r="H247" s="1243"/>
      <c r="I247" s="1244"/>
      <c r="J247" s="1244"/>
      <c r="K247" s="1244"/>
      <c r="L247" s="150">
        <f t="shared" si="0"/>
        <v>5131</v>
      </c>
      <c r="M247" s="151" t="str">
        <f t="shared" si="1"/>
        <v>C/V - TIGUAN LWB</v>
      </c>
      <c r="N247" s="152">
        <f>+IF(OR($Q247=Parametres!$G$2,$Q247=Parametres!$G$3),I247,C247)</f>
        <v>2787780.31</v>
      </c>
      <c r="O247" s="152">
        <f>+IF(OR($Q247=Parametres!$G$2,$Q247=Parametres!$G$3),J247,D247)</f>
        <v>1555842.66</v>
      </c>
      <c r="P247" s="152">
        <f>+IF(OR($Q247=Parametres!$G$2,$Q247=Parametres!$G$3),K247,E247)</f>
        <v>4343622.97</v>
      </c>
      <c r="Q247" s="151" t="str">
        <f t="shared" si="17"/>
        <v>6-Coût des ventes</v>
      </c>
      <c r="R247" s="150" t="str">
        <f t="shared" si="17"/>
        <v>4131</v>
      </c>
      <c r="S247" s="151">
        <f t="shared" si="17"/>
        <v>0</v>
      </c>
      <c r="T247" s="153">
        <f>+VLOOKUP($L247,Data_Validation!$A:$D,1,0)</f>
        <v>5131</v>
      </c>
      <c r="U247" s="153" t="str">
        <f>+VLOOKUP($L247,Data_Validation!$A:$D,3,0)</f>
        <v>Véhicules neufs</v>
      </c>
      <c r="V247" s="153" t="str">
        <f>+VLOOKUP($L247,Data_Validation!$A:$D,4,0)</f>
        <v>Camions détail</v>
      </c>
      <c r="W247" s="153" t="str">
        <f>+VLOOKUP($L247,Data_Validation!$A:$E,5,0)</f>
        <v>$</v>
      </c>
      <c r="X247" s="153">
        <f>+VLOOKUP($L247,Data_Validation!$A:$F,6,0)</f>
        <v>0</v>
      </c>
    </row>
    <row r="248" spans="1:24" ht="15" customHeight="1">
      <c r="A248" s="1236" t="s">
        <v>2829</v>
      </c>
      <c r="B248" s="1237">
        <v>5135</v>
      </c>
      <c r="C248" s="1239">
        <v>351563.35</v>
      </c>
      <c r="D248" s="1239">
        <v>0</v>
      </c>
      <c r="E248" s="1239">
        <v>351563.35</v>
      </c>
      <c r="F248" s="1236" t="s">
        <v>421</v>
      </c>
      <c r="G248" s="1236" t="s">
        <v>2497</v>
      </c>
      <c r="H248" s="1243"/>
      <c r="I248" s="1244"/>
      <c r="J248" s="1244"/>
      <c r="K248" s="1244"/>
      <c r="L248" s="150">
        <f t="shared" si="0"/>
        <v>5135</v>
      </c>
      <c r="M248" s="151" t="str">
        <f t="shared" si="1"/>
        <v>C/V - EGOLF</v>
      </c>
      <c r="N248" s="152">
        <f>+IF(OR($Q248=Parametres!$G$2,$Q248=Parametres!$G$3),I248,C248)</f>
        <v>351563.35</v>
      </c>
      <c r="O248" s="152">
        <f>+IF(OR($Q248=Parametres!$G$2,$Q248=Parametres!$G$3),J248,D248)</f>
        <v>0</v>
      </c>
      <c r="P248" s="152">
        <f>+IF(OR($Q248=Parametres!$G$2,$Q248=Parametres!$G$3),K248,E248)</f>
        <v>351563.35</v>
      </c>
      <c r="Q248" s="151" t="str">
        <f t="shared" si="17"/>
        <v>6-Coût des ventes</v>
      </c>
      <c r="R248" s="150" t="str">
        <f t="shared" si="17"/>
        <v>84135</v>
      </c>
      <c r="S248" s="151">
        <f t="shared" si="17"/>
        <v>0</v>
      </c>
      <c r="T248" s="153">
        <f>+VLOOKUP($L248,Data_Validation!$A:$D,1,0)</f>
        <v>5135</v>
      </c>
      <c r="U248" s="153" t="str">
        <f>+VLOOKUP($L248,Data_Validation!$A:$D,3,0)</f>
        <v>Véhicules neufs</v>
      </c>
      <c r="V248" s="153" t="str">
        <f>+VLOOKUP($L248,Data_Validation!$A:$D,4,0)</f>
        <v>Autos détail</v>
      </c>
      <c r="W248" s="153" t="str">
        <f>+VLOOKUP($L248,Data_Validation!$A:$E,5,0)</f>
        <v>$</v>
      </c>
      <c r="X248" s="153">
        <f>+VLOOKUP($L248,Data_Validation!$A:$F,6,0)</f>
        <v>0</v>
      </c>
    </row>
    <row r="249" spans="1:24" ht="15" customHeight="1">
      <c r="A249" s="1236" t="s">
        <v>2447</v>
      </c>
      <c r="B249" s="1237">
        <v>5137</v>
      </c>
      <c r="C249" s="1239">
        <v>449713.17</v>
      </c>
      <c r="D249" s="1239">
        <v>150791.54999999999</v>
      </c>
      <c r="E249" s="1239">
        <v>600504.72</v>
      </c>
      <c r="F249" s="1236" t="s">
        <v>421</v>
      </c>
      <c r="G249" s="1236" t="s">
        <v>2433</v>
      </c>
      <c r="H249" s="1243"/>
      <c r="I249" s="1244"/>
      <c r="J249" s="1244"/>
      <c r="K249" s="1244"/>
      <c r="L249" s="150">
        <f t="shared" si="0"/>
        <v>5137</v>
      </c>
      <c r="M249" s="151" t="str">
        <f t="shared" si="1"/>
        <v>C/V - VW FLOTTE/VENTE ENTR/EMPLOYE/VEH DEMONS</v>
      </c>
      <c r="N249" s="152">
        <f>+IF(OR($Q249=Parametres!$G$2,$Q249=Parametres!$G$3),I249,C249)</f>
        <v>449713.17</v>
      </c>
      <c r="O249" s="152">
        <f>+IF(OR($Q249=Parametres!$G$2,$Q249=Parametres!$G$3),J249,D249)</f>
        <v>150791.54999999999</v>
      </c>
      <c r="P249" s="152">
        <f>+IF(OR($Q249=Parametres!$G$2,$Q249=Parametres!$G$3),K249,E249)</f>
        <v>600504.72</v>
      </c>
      <c r="Q249" s="151" t="str">
        <f t="shared" si="17"/>
        <v>6-Coût des ventes</v>
      </c>
      <c r="R249" s="150" t="str">
        <f t="shared" si="17"/>
        <v>4137</v>
      </c>
      <c r="S249" s="151">
        <f t="shared" si="17"/>
        <v>0</v>
      </c>
      <c r="T249" s="153">
        <f>+VLOOKUP($L249,Data_Validation!$A:$D,1,0)</f>
        <v>5137</v>
      </c>
      <c r="U249" s="153" t="str">
        <f>+VLOOKUP($L249,Data_Validation!$A:$D,3,0)</f>
        <v>Véhicules neufs</v>
      </c>
      <c r="V249" s="153" t="str">
        <f>+VLOOKUP($L249,Data_Validation!$A:$D,4,0)</f>
        <v>Flottes</v>
      </c>
      <c r="W249" s="153" t="str">
        <f>+VLOOKUP($L249,Data_Validation!$A:$E,5,0)</f>
        <v>$</v>
      </c>
      <c r="X249" s="153">
        <f>+VLOOKUP($L249,Data_Validation!$A:$F,6,0)</f>
        <v>0</v>
      </c>
    </row>
    <row r="250" spans="1:24" ht="15" customHeight="1">
      <c r="A250" s="1236" t="s">
        <v>2447</v>
      </c>
      <c r="B250" s="1237">
        <v>5139</v>
      </c>
      <c r="C250" s="1239">
        <v>859114.68</v>
      </c>
      <c r="D250" s="1239">
        <v>159083.29</v>
      </c>
      <c r="E250" s="1239">
        <v>1018197.97</v>
      </c>
      <c r="F250" s="1236" t="s">
        <v>421</v>
      </c>
      <c r="G250" s="1236" t="s">
        <v>1998</v>
      </c>
      <c r="H250" s="1243"/>
      <c r="I250" s="1244"/>
      <c r="J250" s="1244"/>
      <c r="K250" s="1244"/>
      <c r="L250" s="150">
        <f t="shared" si="0"/>
        <v>5139</v>
      </c>
      <c r="M250" s="151" t="str">
        <f t="shared" si="1"/>
        <v>C/V - VW FLOTTE/VENTE ENTR/EMPLOYE/VEH DEMONS</v>
      </c>
      <c r="N250" s="152">
        <f>+IF(OR($Q250=Parametres!$G$2,$Q250=Parametres!$G$3),I250,C250)</f>
        <v>859114.68</v>
      </c>
      <c r="O250" s="152">
        <f>+IF(OR($Q250=Parametres!$G$2,$Q250=Parametres!$G$3),J250,D250)</f>
        <v>159083.29</v>
      </c>
      <c r="P250" s="152">
        <f>+IF(OR($Q250=Parametres!$G$2,$Q250=Parametres!$G$3),K250,E250)</f>
        <v>1018197.97</v>
      </c>
      <c r="Q250" s="151" t="str">
        <f t="shared" si="17"/>
        <v>6-Coût des ventes</v>
      </c>
      <c r="R250" s="150" t="str">
        <f t="shared" si="17"/>
        <v>4139</v>
      </c>
      <c r="S250" s="151">
        <f t="shared" si="17"/>
        <v>0</v>
      </c>
      <c r="T250" s="153">
        <f>+VLOOKUP($L250,Data_Validation!$A:$D,1,0)</f>
        <v>5139</v>
      </c>
      <c r="U250" s="153" t="str">
        <f>+VLOOKUP($L250,Data_Validation!$A:$D,3,0)</f>
        <v>Véhicules neufs</v>
      </c>
      <c r="V250" s="153" t="str">
        <f>+VLOOKUP($L250,Data_Validation!$A:$D,4,0)</f>
        <v>Ex-Démos et courtoisies</v>
      </c>
      <c r="W250" s="153" t="str">
        <f>+VLOOKUP($L250,Data_Validation!$A:$E,5,0)</f>
        <v>$</v>
      </c>
      <c r="X250" s="153">
        <f>+VLOOKUP($L250,Data_Validation!$A:$F,6,0)</f>
        <v>0</v>
      </c>
    </row>
    <row r="251" spans="1:24" ht="15" customHeight="1">
      <c r="A251" s="1236" t="s">
        <v>2843</v>
      </c>
      <c r="B251" s="1237">
        <v>5201</v>
      </c>
      <c r="C251" s="1239">
        <v>2276594.04</v>
      </c>
      <c r="D251" s="1239">
        <v>762576.45</v>
      </c>
      <c r="E251" s="1239">
        <v>3039170.49</v>
      </c>
      <c r="F251" s="1236" t="s">
        <v>421</v>
      </c>
      <c r="G251" s="1236" t="s">
        <v>1994</v>
      </c>
      <c r="H251" s="1243"/>
      <c r="I251" s="1244"/>
      <c r="J251" s="1244"/>
      <c r="K251" s="1244"/>
      <c r="L251" s="150">
        <f t="shared" si="0"/>
        <v>5201</v>
      </c>
      <c r="M251" s="151" t="str">
        <f t="shared" si="1"/>
        <v>C/V - VEH.USAGE VW DETAIL CERTIFIE</v>
      </c>
      <c r="N251" s="152">
        <f>+IF(OR($Q251=Parametres!$G$2,$Q251=Parametres!$G$3),I251,C251)</f>
        <v>2276594.04</v>
      </c>
      <c r="O251" s="152">
        <f>+IF(OR($Q251=Parametres!$G$2,$Q251=Parametres!$G$3),J251,D251)</f>
        <v>762576.45</v>
      </c>
      <c r="P251" s="152">
        <f>+IF(OR($Q251=Parametres!$G$2,$Q251=Parametres!$G$3),K251,E251)</f>
        <v>3039170.49</v>
      </c>
      <c r="Q251" s="151" t="str">
        <f t="shared" si="17"/>
        <v>6-Coût des ventes</v>
      </c>
      <c r="R251" s="150" t="str">
        <f t="shared" si="17"/>
        <v>4201</v>
      </c>
      <c r="S251" s="151">
        <f t="shared" si="17"/>
        <v>0</v>
      </c>
      <c r="T251" s="153">
        <f>+VLOOKUP($L251,Data_Validation!$A:$D,1,0)</f>
        <v>5201</v>
      </c>
      <c r="U251" s="153" t="str">
        <f>+VLOOKUP($L251,Data_Validation!$A:$D,3,0)</f>
        <v>Véhicules usagés</v>
      </c>
      <c r="V251" s="153" t="str">
        <f>+VLOOKUP($L251,Data_Validation!$A:$D,4,0)</f>
        <v>Certifié</v>
      </c>
      <c r="W251" s="153" t="str">
        <f>+VLOOKUP($L251,Data_Validation!$A:$E,5,0)</f>
        <v>$</v>
      </c>
      <c r="X251" s="153">
        <f>+VLOOKUP($L251,Data_Validation!$A:$F,6,0)</f>
        <v>0</v>
      </c>
    </row>
    <row r="252" spans="1:24" ht="15.75" customHeight="1">
      <c r="A252" s="1236" t="s">
        <v>2821</v>
      </c>
      <c r="B252" s="1237">
        <v>5203</v>
      </c>
      <c r="C252" s="1239">
        <v>239899.42</v>
      </c>
      <c r="D252" s="1239">
        <v>81016.37</v>
      </c>
      <c r="E252" s="1239">
        <v>320915.78999999998</v>
      </c>
      <c r="F252" s="1236" t="s">
        <v>421</v>
      </c>
      <c r="G252" s="1236" t="s">
        <v>1994</v>
      </c>
      <c r="H252" s="1243"/>
      <c r="I252" s="1244"/>
      <c r="J252" s="1244"/>
      <c r="K252" s="1244"/>
      <c r="L252" s="150">
        <f t="shared" si="0"/>
        <v>5203</v>
      </c>
      <c r="M252" s="151" t="str">
        <f t="shared" si="1"/>
        <v>C/V - RECOND USAGE VW CERT.</v>
      </c>
      <c r="N252" s="152">
        <f>+IF(OR($Q252=Parametres!$G$2,$Q252=Parametres!$G$3),I252,C252)</f>
        <v>239899.42</v>
      </c>
      <c r="O252" s="152">
        <f>+IF(OR($Q252=Parametres!$G$2,$Q252=Parametres!$G$3),J252,D252)</f>
        <v>81016.37</v>
      </c>
      <c r="P252" s="152">
        <f>+IF(OR($Q252=Parametres!$G$2,$Q252=Parametres!$G$3),K252,E252)</f>
        <v>320915.78999999998</v>
      </c>
      <c r="Q252" s="151" t="str">
        <f t="shared" si="17"/>
        <v>6-Coût des ventes</v>
      </c>
      <c r="R252" s="150" t="str">
        <f t="shared" si="17"/>
        <v>4201</v>
      </c>
      <c r="S252" s="151">
        <f t="shared" si="17"/>
        <v>0</v>
      </c>
      <c r="T252" s="153">
        <f>+VLOOKUP($L252,Data_Validation!$A:$D,1,0)</f>
        <v>5203</v>
      </c>
      <c r="U252" s="153" t="str">
        <f>+VLOOKUP($L252,Data_Validation!$A:$D,3,0)</f>
        <v>Véhicules usagés</v>
      </c>
      <c r="V252" s="153" t="str">
        <f>+VLOOKUP($L252,Data_Validation!$A:$D,4,0)</f>
        <v>Certifié</v>
      </c>
      <c r="W252" s="153" t="str">
        <f>+VLOOKUP($L252,Data_Validation!$A:$E,5,0)</f>
        <v>$</v>
      </c>
      <c r="X252" s="153">
        <f>+VLOOKUP($L252,Data_Validation!$A:$F,6,0)</f>
        <v>0</v>
      </c>
    </row>
    <row r="253" spans="1:24" ht="15" customHeight="1">
      <c r="A253" s="1236" t="s">
        <v>2609</v>
      </c>
      <c r="B253" s="1237">
        <v>5211</v>
      </c>
      <c r="C253" s="1239">
        <v>615</v>
      </c>
      <c r="D253" s="1239">
        <v>570</v>
      </c>
      <c r="E253" s="1239">
        <v>1185</v>
      </c>
      <c r="F253" s="1236" t="s">
        <v>421</v>
      </c>
      <c r="G253" s="1236" t="s">
        <v>2435</v>
      </c>
      <c r="H253" s="1243"/>
      <c r="I253" s="1244"/>
      <c r="J253" s="1244"/>
      <c r="K253" s="1244"/>
      <c r="L253" s="150">
        <f t="shared" si="0"/>
        <v>5211</v>
      </c>
      <c r="M253" s="151" t="str">
        <f t="shared" si="1"/>
        <v>C/V - VW USAGES DETAIL</v>
      </c>
      <c r="N253" s="152">
        <f>+IF(OR($Q253=Parametres!$G$2,$Q253=Parametres!$G$3),I253,C253)</f>
        <v>615</v>
      </c>
      <c r="O253" s="152">
        <f>+IF(OR($Q253=Parametres!$G$2,$Q253=Parametres!$G$3),J253,D253)</f>
        <v>570</v>
      </c>
      <c r="P253" s="152">
        <f>+IF(OR($Q253=Parametres!$G$2,$Q253=Parametres!$G$3),K253,E253)</f>
        <v>1185</v>
      </c>
      <c r="Q253" s="151" t="str">
        <f t="shared" si="17"/>
        <v>6-Coût des ventes</v>
      </c>
      <c r="R253" s="150" t="str">
        <f t="shared" si="17"/>
        <v>4211</v>
      </c>
      <c r="S253" s="151">
        <f t="shared" si="17"/>
        <v>0</v>
      </c>
      <c r="T253" s="153">
        <f>+VLOOKUP($L253,Data_Validation!$A:$D,1,0)</f>
        <v>5211</v>
      </c>
      <c r="U253" s="153" t="str">
        <f>+VLOOKUP($L253,Data_Validation!$A:$D,3,0)</f>
        <v>Véhicules usagés</v>
      </c>
      <c r="V253" s="153" t="str">
        <f>+VLOOKUP($L253,Data_Validation!$A:$D,4,0)</f>
        <v>Non Certifié</v>
      </c>
      <c r="W253" s="153" t="str">
        <f>+VLOOKUP($L253,Data_Validation!$A:$E,5,0)</f>
        <v>$</v>
      </c>
      <c r="X253" s="153">
        <f>+VLOOKUP($L253,Data_Validation!$A:$F,6,0)</f>
        <v>0</v>
      </c>
    </row>
    <row r="254" spans="1:24" ht="15" customHeight="1">
      <c r="A254" s="1236" t="s">
        <v>2449</v>
      </c>
      <c r="B254" s="1237">
        <v>5213</v>
      </c>
      <c r="C254" s="1239">
        <v>659.42</v>
      </c>
      <c r="D254" s="1239">
        <v>0</v>
      </c>
      <c r="E254" s="1239">
        <v>659.42</v>
      </c>
      <c r="F254" s="1236" t="s">
        <v>421</v>
      </c>
      <c r="G254" s="1236" t="s">
        <v>2435</v>
      </c>
      <c r="H254" s="1243"/>
      <c r="I254" s="1244"/>
      <c r="J254" s="1244"/>
      <c r="K254" s="1244"/>
      <c r="L254" s="150">
        <f t="shared" si="0"/>
        <v>5213</v>
      </c>
      <c r="M254" s="151" t="str">
        <f t="shared" si="1"/>
        <v>C/V - RECOND. USAGE VW DETAIL</v>
      </c>
      <c r="N254" s="152">
        <f>+IF(OR($Q254=Parametres!$G$2,$Q254=Parametres!$G$3),I254,C254)</f>
        <v>659.42</v>
      </c>
      <c r="O254" s="152">
        <f>+IF(OR($Q254=Parametres!$G$2,$Q254=Parametres!$G$3),J254,D254)</f>
        <v>0</v>
      </c>
      <c r="P254" s="152">
        <f>+IF(OR($Q254=Parametres!$G$2,$Q254=Parametres!$G$3),K254,E254)</f>
        <v>659.42</v>
      </c>
      <c r="Q254" s="151" t="str">
        <f t="shared" si="17"/>
        <v>6-Coût des ventes</v>
      </c>
      <c r="R254" s="150" t="str">
        <f t="shared" si="17"/>
        <v>4211</v>
      </c>
      <c r="S254" s="151">
        <f t="shared" si="17"/>
        <v>0</v>
      </c>
      <c r="T254" s="153">
        <f>+VLOOKUP($L254,Data_Validation!$A:$D,1,0)</f>
        <v>5213</v>
      </c>
      <c r="U254" s="153" t="str">
        <f>+VLOOKUP($L254,Data_Validation!$A:$D,3,0)</f>
        <v>Véhicules usagés</v>
      </c>
      <c r="V254" s="153" t="str">
        <f>+VLOOKUP($L254,Data_Validation!$A:$D,4,0)</f>
        <v>Non Certifié</v>
      </c>
      <c r="W254" s="153" t="str">
        <f>+VLOOKUP($L254,Data_Validation!$A:$E,5,0)</f>
        <v>$</v>
      </c>
      <c r="X254" s="153">
        <f>+VLOOKUP($L254,Data_Validation!$A:$F,6,0)</f>
        <v>0</v>
      </c>
    </row>
    <row r="255" spans="1:24" ht="15" customHeight="1">
      <c r="A255" s="1236" t="s">
        <v>2031</v>
      </c>
      <c r="B255" s="1237">
        <v>5285</v>
      </c>
      <c r="C255" s="1239">
        <v>70495</v>
      </c>
      <c r="D255" s="1239">
        <v>16315</v>
      </c>
      <c r="E255" s="1239">
        <v>86810</v>
      </c>
      <c r="F255" s="1236" t="s">
        <v>421</v>
      </c>
      <c r="G255" s="1236" t="s">
        <v>2033</v>
      </c>
      <c r="H255" s="1243"/>
      <c r="I255" s="1244"/>
      <c r="J255" s="1244"/>
      <c r="K255" s="1244"/>
      <c r="L255" s="150">
        <f t="shared" si="0"/>
        <v>5285</v>
      </c>
      <c r="M255" s="151" t="str">
        <f t="shared" si="1"/>
        <v>VEH. D'OCC. AUTRE DETAIL</v>
      </c>
      <c r="N255" s="152">
        <f>+IF(OR($Q255=Parametres!$G$2,$Q255=Parametres!$G$3),I255,C255)</f>
        <v>70495</v>
      </c>
      <c r="O255" s="152">
        <f>+IF(OR($Q255=Parametres!$G$2,$Q255=Parametres!$G$3),J255,D255)</f>
        <v>16315</v>
      </c>
      <c r="P255" s="152">
        <f>+IF(OR($Q255=Parametres!$G$2,$Q255=Parametres!$G$3),K255,E255)</f>
        <v>86810</v>
      </c>
      <c r="Q255" s="151" t="str">
        <f t="shared" si="17"/>
        <v>6-Coût des ventes</v>
      </c>
      <c r="R255" s="150" t="str">
        <f t="shared" si="17"/>
        <v>4261</v>
      </c>
      <c r="S255" s="151">
        <f t="shared" si="17"/>
        <v>0</v>
      </c>
      <c r="T255" s="153">
        <f>+VLOOKUP($L255,Data_Validation!$A:$D,1,0)</f>
        <v>5285</v>
      </c>
      <c r="U255" s="153" t="str">
        <f>+VLOOKUP($L255,Data_Validation!$A:$D,3,0)</f>
        <v>Véhicules usagés</v>
      </c>
      <c r="V255" s="153" t="str">
        <f>+VLOOKUP($L255,Data_Validation!$A:$D,4,0)</f>
        <v>Non Certifié</v>
      </c>
      <c r="W255" s="153" t="str">
        <f>+VLOOKUP($L255,Data_Validation!$A:$E,5,0)</f>
        <v>$</v>
      </c>
      <c r="X255" s="153">
        <f>+VLOOKUP($L255,Data_Validation!$A:$F,6,0)</f>
        <v>0</v>
      </c>
    </row>
    <row r="256" spans="1:24" ht="15.75" customHeight="1">
      <c r="A256" s="1236" t="s">
        <v>2663</v>
      </c>
      <c r="B256" s="1237">
        <v>5286</v>
      </c>
      <c r="C256" s="1239">
        <v>2018.49</v>
      </c>
      <c r="D256" s="1239">
        <v>93.8</v>
      </c>
      <c r="E256" s="1239">
        <v>2112.29</v>
      </c>
      <c r="F256" s="1236" t="s">
        <v>421</v>
      </c>
      <c r="G256" s="1236" t="s">
        <v>2033</v>
      </c>
      <c r="H256" s="1243"/>
      <c r="I256" s="1244"/>
      <c r="J256" s="1244"/>
      <c r="K256" s="1244"/>
      <c r="L256" s="150">
        <f t="shared" si="0"/>
        <v>5286</v>
      </c>
      <c r="M256" s="151" t="str">
        <f t="shared" si="1"/>
        <v>RECOND. AUTRE DETAIL</v>
      </c>
      <c r="N256" s="152">
        <f>+IF(OR($Q256=Parametres!$G$2,$Q256=Parametres!$G$3),I256,C256)</f>
        <v>2018.49</v>
      </c>
      <c r="O256" s="152">
        <f>+IF(OR($Q256=Parametres!$G$2,$Q256=Parametres!$G$3),J256,D256)</f>
        <v>93.8</v>
      </c>
      <c r="P256" s="152">
        <f>+IF(OR($Q256=Parametres!$G$2,$Q256=Parametres!$G$3),K256,E256)</f>
        <v>2112.29</v>
      </c>
      <c r="Q256" s="151" t="str">
        <f t="shared" si="17"/>
        <v>6-Coût des ventes</v>
      </c>
      <c r="R256" s="150" t="str">
        <f t="shared" si="17"/>
        <v>4261</v>
      </c>
      <c r="S256" s="151">
        <f t="shared" si="17"/>
        <v>0</v>
      </c>
      <c r="T256" s="153">
        <f>+VLOOKUP($L256,Data_Validation!$A:$D,1,0)</f>
        <v>5286</v>
      </c>
      <c r="U256" s="153" t="str">
        <f>+VLOOKUP($L256,Data_Validation!$A:$D,3,0)</f>
        <v>Véhicules usagés</v>
      </c>
      <c r="V256" s="153" t="str">
        <f>+VLOOKUP($L256,Data_Validation!$A:$D,4,0)</f>
        <v>Non Certifié</v>
      </c>
      <c r="W256" s="153" t="str">
        <f>+VLOOKUP($L256,Data_Validation!$A:$E,5,0)</f>
        <v>$</v>
      </c>
      <c r="X256" s="153">
        <f>+VLOOKUP($L256,Data_Validation!$A:$F,6,0)</f>
        <v>0</v>
      </c>
    </row>
    <row r="257" spans="1:24" ht="15" customHeight="1">
      <c r="A257" s="1236" t="s">
        <v>1999</v>
      </c>
      <c r="B257" s="1237">
        <v>5291</v>
      </c>
      <c r="C257" s="1239">
        <v>1366233.18</v>
      </c>
      <c r="D257" s="1239">
        <v>407183.21</v>
      </c>
      <c r="E257" s="1239">
        <v>1773416.39</v>
      </c>
      <c r="F257" s="1236" t="s">
        <v>421</v>
      </c>
      <c r="G257" s="1236" t="s">
        <v>2001</v>
      </c>
      <c r="H257" s="1243"/>
      <c r="I257" s="1244"/>
      <c r="J257" s="1244"/>
      <c r="K257" s="1244"/>
      <c r="L257" s="150">
        <f t="shared" ref="L257:L511" si="18">+B257</f>
        <v>5291</v>
      </c>
      <c r="M257" s="151" t="str">
        <f t="shared" ref="M257:M511" si="19">+A257</f>
        <v>VEH. D'OCC. AU GROS</v>
      </c>
      <c r="N257" s="152">
        <f>+IF(OR($Q257=Parametres!$G$2,$Q257=Parametres!$G$3),I257,C257)</f>
        <v>1366233.18</v>
      </c>
      <c r="O257" s="152">
        <f>+IF(OR($Q257=Parametres!$G$2,$Q257=Parametres!$G$3),J257,D257)</f>
        <v>407183.21</v>
      </c>
      <c r="P257" s="152">
        <f>+IF(OR($Q257=Parametres!$G$2,$Q257=Parametres!$G$3),K257,E257)</f>
        <v>1773416.39</v>
      </c>
      <c r="Q257" s="151" t="str">
        <f t="shared" si="17"/>
        <v>6-Coût des ventes</v>
      </c>
      <c r="R257" s="150" t="str">
        <f t="shared" si="17"/>
        <v>4281</v>
      </c>
      <c r="S257" s="151">
        <f t="shared" si="17"/>
        <v>0</v>
      </c>
      <c r="T257" s="153">
        <f>+VLOOKUP($L257,Data_Validation!$A:$D,1,0)</f>
        <v>5291</v>
      </c>
      <c r="U257" s="153" t="str">
        <f>+VLOOKUP($L257,Data_Validation!$A:$D,3,0)</f>
        <v>Véhicules usagés</v>
      </c>
      <c r="V257" s="153" t="str">
        <f>+VLOOKUP($L257,Data_Validation!$A:$D,4,0)</f>
        <v>Ventes au Gros</v>
      </c>
      <c r="W257" s="153" t="str">
        <f>+VLOOKUP($L257,Data_Validation!$A:$E,5,0)</f>
        <v>$</v>
      </c>
      <c r="X257" s="153">
        <f>+VLOOKUP($L257,Data_Validation!$A:$F,6,0)</f>
        <v>0</v>
      </c>
    </row>
    <row r="258" spans="1:24" ht="15" customHeight="1">
      <c r="A258" s="1236" t="s">
        <v>2819</v>
      </c>
      <c r="B258" s="1237">
        <v>5401</v>
      </c>
      <c r="C258" s="1239">
        <v>88392.62</v>
      </c>
      <c r="D258" s="1239">
        <v>27839.599999999999</v>
      </c>
      <c r="E258" s="1239">
        <v>116232.22</v>
      </c>
      <c r="F258" s="1236" t="s">
        <v>421</v>
      </c>
      <c r="G258" s="1236" t="s">
        <v>2005</v>
      </c>
      <c r="H258" s="1243"/>
      <c r="I258" s="1247"/>
      <c r="J258" s="1243"/>
      <c r="K258" s="1247"/>
      <c r="L258" s="150">
        <f t="shared" si="18"/>
        <v>5401</v>
      </c>
      <c r="M258" s="151" t="str">
        <f t="shared" si="19"/>
        <v>COUT M.O. MECANIQUE CLIENTS</v>
      </c>
      <c r="N258" s="152">
        <f>+IF(OR($Q258=Parametres!$G$2,$Q258=Parametres!$G$3),I258,C258)</f>
        <v>88392.62</v>
      </c>
      <c r="O258" s="152">
        <f>+IF(OR($Q258=Parametres!$G$2,$Q258=Parametres!$G$3),J258,D258)</f>
        <v>27839.599999999999</v>
      </c>
      <c r="P258" s="152">
        <f>+IF(OR($Q258=Parametres!$G$2,$Q258=Parametres!$G$3),K258,E258)</f>
        <v>116232.22</v>
      </c>
      <c r="Q258" s="151" t="str">
        <f t="shared" ref="Q258:S273" si="20">+F258</f>
        <v>6-Coût des ventes</v>
      </c>
      <c r="R258" s="150" t="str">
        <f t="shared" si="20"/>
        <v>4401</v>
      </c>
      <c r="S258" s="151">
        <f t="shared" si="20"/>
        <v>0</v>
      </c>
      <c r="T258" s="153">
        <f>+VLOOKUP($L258,Data_Validation!$A:$D,1,0)</f>
        <v>5401</v>
      </c>
      <c r="U258" s="153" t="str">
        <f>+VLOOKUP($L258,Data_Validation!$A:$D,3,0)</f>
        <v>Service</v>
      </c>
      <c r="V258" s="153" t="str">
        <f>+VLOOKUP($L258,Data_Validation!$A:$D,4,0)</f>
        <v>M/O Client</v>
      </c>
      <c r="W258" s="153" t="str">
        <f>+VLOOKUP($L258,Data_Validation!$A:$E,5,0)</f>
        <v>$</v>
      </c>
      <c r="X258" s="153">
        <f>+VLOOKUP($L258,Data_Validation!$A:$F,6,0)</f>
        <v>0</v>
      </c>
    </row>
    <row r="259" spans="1:24" ht="15" customHeight="1">
      <c r="A259" s="1236" t="s">
        <v>2557</v>
      </c>
      <c r="B259" s="1237">
        <v>5402</v>
      </c>
      <c r="C259" s="1239">
        <v>199.58</v>
      </c>
      <c r="D259" s="1239">
        <v>36.78</v>
      </c>
      <c r="E259" s="1239">
        <v>236.36</v>
      </c>
      <c r="F259" s="1236" t="s">
        <v>421</v>
      </c>
      <c r="G259" s="1236" t="s">
        <v>2185</v>
      </c>
      <c r="H259" s="1243"/>
      <c r="I259" s="1247"/>
      <c r="J259" s="1243"/>
      <c r="K259" s="1247"/>
      <c r="L259" s="150">
        <f t="shared" si="18"/>
        <v>5402</v>
      </c>
      <c r="M259" s="151" t="str">
        <f t="shared" si="19"/>
        <v>C/V - M.O. ESTHETIQUE CLIENT</v>
      </c>
      <c r="N259" s="152">
        <f>+IF(OR($Q259=Parametres!$G$2,$Q259=Parametres!$G$3),I259,C259)</f>
        <v>199.58</v>
      </c>
      <c r="O259" s="152">
        <f>+IF(OR($Q259=Parametres!$G$2,$Q259=Parametres!$G$3),J259,D259)</f>
        <v>36.78</v>
      </c>
      <c r="P259" s="152">
        <f>+IF(OR($Q259=Parametres!$G$2,$Q259=Parametres!$G$3),K259,E259)</f>
        <v>236.36</v>
      </c>
      <c r="Q259" s="151" t="str">
        <f t="shared" si="20"/>
        <v>6-Coût des ventes</v>
      </c>
      <c r="R259" s="150" t="str">
        <f t="shared" si="20"/>
        <v>4402</v>
      </c>
      <c r="S259" s="151">
        <f t="shared" si="20"/>
        <v>0</v>
      </c>
      <c r="T259" s="153">
        <f>+VLOOKUP($L259,Data_Validation!$A:$D,1,0)</f>
        <v>5402</v>
      </c>
      <c r="U259" s="153" t="str">
        <f>+VLOOKUP($L259,Data_Validation!$A:$D,3,0)</f>
        <v>Service</v>
      </c>
      <c r="V259" s="153" t="str">
        <f>+VLOOKUP($L259,Data_Validation!$A:$D,4,0)</f>
        <v>M/O Esthétique</v>
      </c>
      <c r="W259" s="153" t="str">
        <f>+VLOOKUP($L259,Data_Validation!$A:$E,5,0)</f>
        <v>$</v>
      </c>
      <c r="X259" s="153">
        <f>+VLOOKUP($L259,Data_Validation!$A:$F,6,0)</f>
        <v>0</v>
      </c>
    </row>
    <row r="260" spans="1:24" ht="15" customHeight="1">
      <c r="A260" s="1236" t="s">
        <v>2782</v>
      </c>
      <c r="B260" s="1237">
        <v>5403</v>
      </c>
      <c r="C260" s="1239">
        <v>64119.06</v>
      </c>
      <c r="D260" s="1239">
        <v>17284.62</v>
      </c>
      <c r="E260" s="1239">
        <v>81403.679999999993</v>
      </c>
      <c r="F260" s="1236" t="s">
        <v>421</v>
      </c>
      <c r="G260" s="1236" t="s">
        <v>2035</v>
      </c>
      <c r="H260" s="1243"/>
      <c r="I260" s="1243"/>
      <c r="J260" s="1243"/>
      <c r="K260" s="1243"/>
      <c r="L260" s="150">
        <f t="shared" si="18"/>
        <v>5403</v>
      </c>
      <c r="M260" s="151" t="str">
        <f t="shared" si="19"/>
        <v>COUT MEC VENTE GARANTIE MANUF</v>
      </c>
      <c r="N260" s="152">
        <f>+IF(OR($Q260=Parametres!$G$2,$Q260=Parametres!$G$3),I260,C260)</f>
        <v>64119.06</v>
      </c>
      <c r="O260" s="152">
        <f>+IF(OR($Q260=Parametres!$G$2,$Q260=Parametres!$G$3),J260,D260)</f>
        <v>17284.62</v>
      </c>
      <c r="P260" s="152">
        <f>+IF(OR($Q260=Parametres!$G$2,$Q260=Parametres!$G$3),K260,E260)</f>
        <v>81403.679999999993</v>
      </c>
      <c r="Q260" s="151" t="str">
        <f t="shared" si="20"/>
        <v>6-Coût des ventes</v>
      </c>
      <c r="R260" s="150" t="str">
        <f t="shared" si="20"/>
        <v>4403</v>
      </c>
      <c r="S260" s="151">
        <f t="shared" si="20"/>
        <v>0</v>
      </c>
      <c r="T260" s="153">
        <f>+VLOOKUP($L260,Data_Validation!$A:$D,1,0)</f>
        <v>5403</v>
      </c>
      <c r="U260" s="153" t="str">
        <f>+VLOOKUP($L260,Data_Validation!$A:$D,3,0)</f>
        <v>Service</v>
      </c>
      <c r="V260" s="153" t="str">
        <f>+VLOOKUP($L260,Data_Validation!$A:$D,4,0)</f>
        <v>M/O Garantie</v>
      </c>
      <c r="W260" s="153" t="str">
        <f>+VLOOKUP($L260,Data_Validation!$A:$E,5,0)</f>
        <v>$</v>
      </c>
      <c r="X260" s="153">
        <f>+VLOOKUP($L260,Data_Validation!$A:$F,6,0)</f>
        <v>0</v>
      </c>
    </row>
    <row r="261" spans="1:24" ht="15" customHeight="1">
      <c r="A261" s="1236" t="s">
        <v>2768</v>
      </c>
      <c r="B261" s="1237">
        <v>5405</v>
      </c>
      <c r="C261" s="1239">
        <v>56874.23</v>
      </c>
      <c r="D261" s="1239">
        <v>12510</v>
      </c>
      <c r="E261" s="1239">
        <v>69384.23</v>
      </c>
      <c r="F261" s="1236" t="s">
        <v>421</v>
      </c>
      <c r="G261" s="1236" t="s">
        <v>2045</v>
      </c>
      <c r="H261" s="1243"/>
      <c r="I261" s="1247"/>
      <c r="J261" s="1243"/>
      <c r="K261" s="1247"/>
      <c r="L261" s="150">
        <f t="shared" si="18"/>
        <v>5405</v>
      </c>
      <c r="M261" s="151" t="str">
        <f t="shared" si="19"/>
        <v>C D V VENTES M OINTERNE</v>
      </c>
      <c r="N261" s="152">
        <f>+IF(OR($Q261=Parametres!$G$2,$Q261=Parametres!$G$3),I261,C261)</f>
        <v>56874.23</v>
      </c>
      <c r="O261" s="152">
        <f>+IF(OR($Q261=Parametres!$G$2,$Q261=Parametres!$G$3),J261,D261)</f>
        <v>12510</v>
      </c>
      <c r="P261" s="152">
        <f>+IF(OR($Q261=Parametres!$G$2,$Q261=Parametres!$G$3),K261,E261)</f>
        <v>69384.23</v>
      </c>
      <c r="Q261" s="151" t="str">
        <f t="shared" si="20"/>
        <v>6-Coût des ventes</v>
      </c>
      <c r="R261" s="150" t="str">
        <f t="shared" si="20"/>
        <v>4405</v>
      </c>
      <c r="S261" s="151">
        <f t="shared" si="20"/>
        <v>0</v>
      </c>
      <c r="T261" s="153">
        <f>+VLOOKUP($L261,Data_Validation!$A:$D,1,0)</f>
        <v>5405</v>
      </c>
      <c r="U261" s="153" t="str">
        <f>+VLOOKUP($L261,Data_Validation!$A:$D,3,0)</f>
        <v>Service</v>
      </c>
      <c r="V261" s="153" t="str">
        <f>+VLOOKUP($L261,Data_Validation!$A:$D,4,0)</f>
        <v>M/O Interne</v>
      </c>
      <c r="W261" s="153" t="str">
        <f>+VLOOKUP($L261,Data_Validation!$A:$E,5,0)</f>
        <v>$</v>
      </c>
      <c r="X261" s="153">
        <f>+VLOOKUP($L261,Data_Validation!$A:$F,6,0)</f>
        <v>0</v>
      </c>
    </row>
    <row r="262" spans="1:24" ht="15.75" customHeight="1">
      <c r="A262" s="1236" t="s">
        <v>2716</v>
      </c>
      <c r="B262" s="1237">
        <v>5416</v>
      </c>
      <c r="C262" s="1239">
        <v>10999.11</v>
      </c>
      <c r="D262" s="1239">
        <v>4646.71</v>
      </c>
      <c r="E262" s="1239">
        <v>15645.82</v>
      </c>
      <c r="F262" s="1236" t="s">
        <v>421</v>
      </c>
      <c r="G262" s="1236" t="s">
        <v>2718</v>
      </c>
      <c r="H262" s="1243"/>
      <c r="I262" s="1247"/>
      <c r="J262" s="1243"/>
      <c r="K262" s="1247"/>
      <c r="L262" s="150">
        <f t="shared" si="18"/>
        <v>5416</v>
      </c>
      <c r="M262" s="151" t="str">
        <f t="shared" si="19"/>
        <v>C/V - TEMPS MORT M.O. SERVICE</v>
      </c>
      <c r="N262" s="152">
        <f>+IF(OR($Q262=Parametres!$G$2,$Q262=Parametres!$G$3),I262,C262)</f>
        <v>10999.11</v>
      </c>
      <c r="O262" s="152">
        <f>+IF(OR($Q262=Parametres!$G$2,$Q262=Parametres!$G$3),J262,D262)</f>
        <v>4646.71</v>
      </c>
      <c r="P262" s="152">
        <f>+IF(OR($Q262=Parametres!$G$2,$Q262=Parametres!$G$3),K262,E262)</f>
        <v>15645.82</v>
      </c>
      <c r="Q262" s="151" t="str">
        <f t="shared" si="20"/>
        <v>6-Coût des ventes</v>
      </c>
      <c r="R262" s="150" t="str">
        <f t="shared" si="20"/>
        <v>4416</v>
      </c>
      <c r="S262" s="151">
        <f t="shared" si="20"/>
        <v>0</v>
      </c>
      <c r="T262" s="153">
        <f>+VLOOKUP($L262,Data_Validation!$A:$D,1,0)</f>
        <v>5416</v>
      </c>
      <c r="U262" s="153" t="str">
        <f>+VLOOKUP($L262,Data_Validation!$A:$D,3,0)</f>
        <v>Service</v>
      </c>
      <c r="V262" s="153" t="str">
        <f>+VLOOKUP($L262,Data_Validation!$A:$D,4,0)</f>
        <v>Ajustement M/O</v>
      </c>
      <c r="W262" s="153" t="str">
        <f>+VLOOKUP($L262,Data_Validation!$A:$E,5,0)</f>
        <v>$</v>
      </c>
      <c r="X262" s="153">
        <f>+VLOOKUP($L262,Data_Validation!$A:$F,6,0)</f>
        <v>0</v>
      </c>
    </row>
    <row r="263" spans="1:24" ht="15" customHeight="1">
      <c r="A263" s="1236" t="s">
        <v>2064</v>
      </c>
      <c r="B263" s="1237">
        <v>5451</v>
      </c>
      <c r="C263" s="1239">
        <v>44128.66</v>
      </c>
      <c r="D263" s="1239">
        <v>12512.8</v>
      </c>
      <c r="E263" s="1239">
        <v>56641.46</v>
      </c>
      <c r="F263" s="1236" t="s">
        <v>421</v>
      </c>
      <c r="G263" s="1236" t="s">
        <v>2066</v>
      </c>
      <c r="H263" s="1243"/>
      <c r="I263" s="1243"/>
      <c r="J263" s="1243"/>
      <c r="K263" s="1243"/>
      <c r="L263" s="150">
        <f t="shared" si="18"/>
        <v>5451</v>
      </c>
      <c r="M263" s="151" t="str">
        <f t="shared" si="19"/>
        <v>CARBURANT/HUILE/GRAISSE</v>
      </c>
      <c r="N263" s="152">
        <f>+IF(OR($Q263=Parametres!$G$2,$Q263=Parametres!$G$3),I263,C263)</f>
        <v>44128.66</v>
      </c>
      <c r="O263" s="152">
        <f>+IF(OR($Q263=Parametres!$G$2,$Q263=Parametres!$G$3),J263,D263)</f>
        <v>12512.8</v>
      </c>
      <c r="P263" s="152">
        <f>+IF(OR($Q263=Parametres!$G$2,$Q263=Parametres!$G$3),K263,E263)</f>
        <v>56641.46</v>
      </c>
      <c r="Q263" s="151" t="str">
        <f t="shared" si="20"/>
        <v>6-Coût des ventes</v>
      </c>
      <c r="R263" s="150" t="str">
        <f t="shared" si="20"/>
        <v>4782</v>
      </c>
      <c r="S263" s="151">
        <f t="shared" si="20"/>
        <v>0</v>
      </c>
      <c r="T263" s="153">
        <f>+VLOOKUP($L263,Data_Validation!$A:$D,1,0)</f>
        <v>5451</v>
      </c>
      <c r="U263" s="153" t="str">
        <f>+VLOOKUP($L263,Data_Validation!$A:$D,3,0)</f>
        <v>Pièces</v>
      </c>
      <c r="V263" s="153" t="str">
        <f>+VLOOKUP($L263,Data_Validation!$A:$D,4,0)</f>
        <v>Huiles et Graisse</v>
      </c>
      <c r="W263" s="153" t="str">
        <f>+VLOOKUP($L263,Data_Validation!$A:$E,5,0)</f>
        <v>$</v>
      </c>
      <c r="X263" s="153">
        <f>+VLOOKUP($L263,Data_Validation!$A:$F,6,0)</f>
        <v>0</v>
      </c>
    </row>
    <row r="264" spans="1:24" ht="15" customHeight="1">
      <c r="A264" s="1236" t="s">
        <v>2137</v>
      </c>
      <c r="B264" s="1237">
        <v>5491</v>
      </c>
      <c r="C264" s="1239">
        <v>5721</v>
      </c>
      <c r="D264" s="1239">
        <v>1100</v>
      </c>
      <c r="E264" s="1239">
        <v>6821</v>
      </c>
      <c r="F264" s="1236" t="s">
        <v>421</v>
      </c>
      <c r="G264" s="1236" t="s">
        <v>2138</v>
      </c>
      <c r="H264" s="1243"/>
      <c r="I264" s="1247"/>
      <c r="J264" s="1243"/>
      <c r="K264" s="1247"/>
      <c r="L264" s="150">
        <f t="shared" si="18"/>
        <v>5491</v>
      </c>
      <c r="M264" s="151" t="str">
        <f t="shared" si="19"/>
        <v>REPARATION SOUS-LOC. - GENERAL</v>
      </c>
      <c r="N264" s="152">
        <f>+IF(OR($Q264=Parametres!$G$2,$Q264=Parametres!$G$3),I264,C264)</f>
        <v>5721</v>
      </c>
      <c r="O264" s="152">
        <f>+IF(OR($Q264=Parametres!$G$2,$Q264=Parametres!$G$3),J264,D264)</f>
        <v>1100</v>
      </c>
      <c r="P264" s="152">
        <f>+IF(OR($Q264=Parametres!$G$2,$Q264=Parametres!$G$3),K264,E264)</f>
        <v>6821</v>
      </c>
      <c r="Q264" s="151" t="str">
        <f t="shared" si="20"/>
        <v>6-Coût des ventes</v>
      </c>
      <c r="R264" s="150" t="str">
        <f t="shared" si="20"/>
        <v>4491</v>
      </c>
      <c r="S264" s="151">
        <f t="shared" si="20"/>
        <v>0</v>
      </c>
      <c r="T264" s="153">
        <f>+VLOOKUP($L264,Data_Validation!$A:$D,1,0)</f>
        <v>5491</v>
      </c>
      <c r="U264" s="153" t="str">
        <f>+VLOOKUP($L264,Data_Validation!$A:$D,3,0)</f>
        <v>Service</v>
      </c>
      <c r="V264" s="153" t="str">
        <f>+VLOOKUP($L264,Data_Validation!$A:$D,4,0)</f>
        <v>Sous-traitement</v>
      </c>
      <c r="W264" s="153" t="str">
        <f>+VLOOKUP($L264,Data_Validation!$A:$E,5,0)</f>
        <v>$</v>
      </c>
      <c r="X264" s="153">
        <f>+VLOOKUP($L264,Data_Validation!$A:$F,6,0)</f>
        <v>0</v>
      </c>
    </row>
    <row r="265" spans="1:24" ht="15" customHeight="1">
      <c r="A265" s="1236" t="s">
        <v>2678</v>
      </c>
      <c r="B265" s="1237">
        <v>5493</v>
      </c>
      <c r="C265" s="1239">
        <v>7526.41</v>
      </c>
      <c r="D265" s="1239">
        <v>4013.97</v>
      </c>
      <c r="E265" s="1239">
        <v>11540.38</v>
      </c>
      <c r="F265" s="1236" t="s">
        <v>421</v>
      </c>
      <c r="G265" s="1236" t="s">
        <v>2161</v>
      </c>
      <c r="H265" s="1243"/>
      <c r="I265" s="1243"/>
      <c r="J265" s="1243"/>
      <c r="K265" s="1243"/>
      <c r="L265" s="150">
        <f t="shared" si="18"/>
        <v>5493</v>
      </c>
      <c r="M265" s="151" t="str">
        <f t="shared" si="19"/>
        <v>C/V - SOUS-TRAITANCE GARANTIE</v>
      </c>
      <c r="N265" s="152">
        <f>+IF(OR($Q265=Parametres!$G$2,$Q265=Parametres!$G$3),I265,C265)</f>
        <v>7526.41</v>
      </c>
      <c r="O265" s="152">
        <f>+IF(OR($Q265=Parametres!$G$2,$Q265=Parametres!$G$3),J265,D265)</f>
        <v>4013.97</v>
      </c>
      <c r="P265" s="152">
        <f>+IF(OR($Q265=Parametres!$G$2,$Q265=Parametres!$G$3),K265,E265)</f>
        <v>11540.38</v>
      </c>
      <c r="Q265" s="151" t="str">
        <f t="shared" si="20"/>
        <v>6-Coût des ventes</v>
      </c>
      <c r="R265" s="150" t="str">
        <f t="shared" si="20"/>
        <v>4493</v>
      </c>
      <c r="S265" s="151">
        <f t="shared" si="20"/>
        <v>0</v>
      </c>
      <c r="T265" s="153">
        <f>+VLOOKUP($L265,Data_Validation!$A:$D,1,0)</f>
        <v>5493</v>
      </c>
      <c r="U265" s="153" t="str">
        <f>+VLOOKUP($L265,Data_Validation!$A:$D,3,0)</f>
        <v>Service</v>
      </c>
      <c r="V265" s="153" t="str">
        <f>+VLOOKUP($L265,Data_Validation!$A:$D,4,0)</f>
        <v>Sous-traitement</v>
      </c>
      <c r="W265" s="153" t="str">
        <f>+VLOOKUP($L265,Data_Validation!$A:$E,5,0)</f>
        <v>$</v>
      </c>
      <c r="X265" s="153">
        <f>+VLOOKUP($L265,Data_Validation!$A:$F,6,0)</f>
        <v>0</v>
      </c>
    </row>
    <row r="266" spans="1:24" ht="15" customHeight="1">
      <c r="A266" s="1236" t="s">
        <v>2780</v>
      </c>
      <c r="B266" s="1237">
        <v>5495</v>
      </c>
      <c r="C266" s="1239">
        <v>51838.64</v>
      </c>
      <c r="D266" s="1239">
        <v>19269</v>
      </c>
      <c r="E266" s="1239">
        <v>71107.64</v>
      </c>
      <c r="F266" s="1236" t="s">
        <v>421</v>
      </c>
      <c r="G266" s="1236" t="s">
        <v>2080</v>
      </c>
      <c r="H266" s="1243"/>
      <c r="I266" s="1247"/>
      <c r="J266" s="1243"/>
      <c r="K266" s="1247"/>
      <c r="L266" s="150">
        <f t="shared" si="18"/>
        <v>5495</v>
      </c>
      <c r="M266" s="151" t="str">
        <f t="shared" si="19"/>
        <v>C/V - SOUS-TRAITANCE INTERNE</v>
      </c>
      <c r="N266" s="152">
        <f>+IF(OR($Q266=Parametres!$G$2,$Q266=Parametres!$G$3),I266,C266)</f>
        <v>51838.64</v>
      </c>
      <c r="O266" s="152">
        <f>+IF(OR($Q266=Parametres!$G$2,$Q266=Parametres!$G$3),J266,D266)</f>
        <v>19269</v>
      </c>
      <c r="P266" s="152">
        <f>+IF(OR($Q266=Parametres!$G$2,$Q266=Parametres!$G$3),K266,E266)</f>
        <v>71107.64</v>
      </c>
      <c r="Q266" s="151" t="str">
        <f t="shared" si="20"/>
        <v>6-Coût des ventes</v>
      </c>
      <c r="R266" s="150" t="str">
        <f t="shared" si="20"/>
        <v>4495</v>
      </c>
      <c r="S266" s="151">
        <f t="shared" si="20"/>
        <v>0</v>
      </c>
      <c r="T266" s="153">
        <f>+VLOOKUP($L266,Data_Validation!$A:$D,1,0)</f>
        <v>5495</v>
      </c>
      <c r="U266" s="153" t="str">
        <f>+VLOOKUP($L266,Data_Validation!$A:$D,3,0)</f>
        <v>Service</v>
      </c>
      <c r="V266" s="153" t="str">
        <f>+VLOOKUP($L266,Data_Validation!$A:$D,4,0)</f>
        <v>Sous-traitement</v>
      </c>
      <c r="W266" s="153" t="str">
        <f>+VLOOKUP($L266,Data_Validation!$A:$E,5,0)</f>
        <v>$</v>
      </c>
      <c r="X266" s="153">
        <f>+VLOOKUP($L266,Data_Validation!$A:$F,6,0)</f>
        <v>0</v>
      </c>
    </row>
    <row r="267" spans="1:24" ht="15" customHeight="1">
      <c r="A267" s="1236" t="s">
        <v>2789</v>
      </c>
      <c r="B267" s="1237">
        <v>5591</v>
      </c>
      <c r="C267" s="1239">
        <v>45603.72</v>
      </c>
      <c r="D267" s="1239">
        <v>13350.13</v>
      </c>
      <c r="E267" s="1239">
        <v>58953.85</v>
      </c>
      <c r="F267" s="1236" t="s">
        <v>421</v>
      </c>
      <c r="G267" s="1236" t="s">
        <v>2063</v>
      </c>
      <c r="H267" s="1243"/>
      <c r="I267" s="1247"/>
      <c r="J267" s="1243"/>
      <c r="K267" s="1247"/>
      <c r="L267" s="150">
        <f t="shared" si="18"/>
        <v>5591</v>
      </c>
      <c r="M267" s="151" t="str">
        <f t="shared" si="19"/>
        <v>C/V - S-TRAIT. CARR.</v>
      </c>
      <c r="N267" s="152">
        <f>+IF(OR($Q267=Parametres!$G$2,$Q267=Parametres!$G$3),I267,C267)</f>
        <v>45603.72</v>
      </c>
      <c r="O267" s="152">
        <f>+IF(OR($Q267=Parametres!$G$2,$Q267=Parametres!$G$3),J267,D267)</f>
        <v>13350.13</v>
      </c>
      <c r="P267" s="152">
        <f>+IF(OR($Q267=Parametres!$G$2,$Q267=Parametres!$G$3),K267,E267)</f>
        <v>58953.85</v>
      </c>
      <c r="Q267" s="151" t="str">
        <f t="shared" si="20"/>
        <v>6-Coût des ventes</v>
      </c>
      <c r="R267" s="150" t="str">
        <f t="shared" si="20"/>
        <v>4591</v>
      </c>
      <c r="S267" s="151">
        <f t="shared" si="20"/>
        <v>0</v>
      </c>
      <c r="T267" s="153">
        <f>+VLOOKUP($L267,Data_Validation!$A:$D,1,0)</f>
        <v>5591</v>
      </c>
      <c r="U267" s="153" t="str">
        <f>+VLOOKUP($L267,Data_Validation!$A:$D,3,0)</f>
        <v>Carrosserie</v>
      </c>
      <c r="V267" s="153" t="str">
        <f>+VLOOKUP($L267,Data_Validation!$A:$D,4,0)</f>
        <v>M/O Sous-traitement</v>
      </c>
      <c r="W267" s="153" t="str">
        <f>+VLOOKUP($L267,Data_Validation!$A:$E,5,0)</f>
        <v>$</v>
      </c>
      <c r="X267" s="153">
        <f>+VLOOKUP($L267,Data_Validation!$A:$F,6,0)</f>
        <v>0</v>
      </c>
    </row>
    <row r="268" spans="1:24" ht="15" customHeight="1">
      <c r="A268" s="1236" t="s">
        <v>2799</v>
      </c>
      <c r="B268" s="1237">
        <v>5593</v>
      </c>
      <c r="C268" s="1239">
        <v>242520.49</v>
      </c>
      <c r="D268" s="1239">
        <v>21667.03</v>
      </c>
      <c r="E268" s="1239">
        <v>264187.52000000002</v>
      </c>
      <c r="F268" s="1236" t="s">
        <v>421</v>
      </c>
      <c r="G268" s="1236" t="s">
        <v>2061</v>
      </c>
      <c r="H268" s="1243"/>
      <c r="I268" s="1243"/>
      <c r="J268" s="1243"/>
      <c r="K268" s="1243"/>
      <c r="L268" s="150">
        <f t="shared" si="18"/>
        <v>5593</v>
      </c>
      <c r="M268" s="151" t="str">
        <f t="shared" si="19"/>
        <v>C/V - S-TRAIT.GARANTIE CARROS.</v>
      </c>
      <c r="N268" s="152">
        <f>+IF(OR($Q268=Parametres!$G$2,$Q268=Parametres!$G$3),I268,C268)</f>
        <v>242520.49</v>
      </c>
      <c r="O268" s="152">
        <f>+IF(OR($Q268=Parametres!$G$2,$Q268=Parametres!$G$3),J268,D268)</f>
        <v>21667.03</v>
      </c>
      <c r="P268" s="152">
        <f>+IF(OR($Q268=Parametres!$G$2,$Q268=Parametres!$G$3),K268,E268)</f>
        <v>264187.52000000002</v>
      </c>
      <c r="Q268" s="151" t="str">
        <f t="shared" si="20"/>
        <v>6-Coût des ventes</v>
      </c>
      <c r="R268" s="150" t="str">
        <f t="shared" si="20"/>
        <v>4593</v>
      </c>
      <c r="S268" s="151">
        <f t="shared" si="20"/>
        <v>0</v>
      </c>
      <c r="T268" s="153">
        <f>+VLOOKUP($L268,Data_Validation!$A:$D,1,0)</f>
        <v>5593</v>
      </c>
      <c r="U268" s="153" t="str">
        <f>+VLOOKUP($L268,Data_Validation!$A:$D,3,0)</f>
        <v>Carrosserie</v>
      </c>
      <c r="V268" s="153" t="str">
        <f>+VLOOKUP($L268,Data_Validation!$A:$D,4,0)</f>
        <v>M/O Sous-traitement</v>
      </c>
      <c r="W268" s="153" t="str">
        <f>+VLOOKUP($L268,Data_Validation!$A:$E,5,0)</f>
        <v>$</v>
      </c>
      <c r="X268" s="153">
        <f>+VLOOKUP($L268,Data_Validation!$A:$F,6,0)</f>
        <v>0</v>
      </c>
    </row>
    <row r="269" spans="1:24" ht="15" customHeight="1">
      <c r="A269" s="1236" t="s">
        <v>2758</v>
      </c>
      <c r="B269" s="1237">
        <v>5595</v>
      </c>
      <c r="C269" s="1239">
        <v>11453.49</v>
      </c>
      <c r="D269" s="1239">
        <v>3430.22</v>
      </c>
      <c r="E269" s="1239">
        <v>14883.71</v>
      </c>
      <c r="F269" s="1236" t="s">
        <v>421</v>
      </c>
      <c r="G269" s="1236" t="s">
        <v>2094</v>
      </c>
      <c r="H269" s="1243"/>
      <c r="I269" s="1247"/>
      <c r="J269" s="1243"/>
      <c r="K269" s="1247"/>
      <c r="L269" s="150">
        <f t="shared" si="18"/>
        <v>5595</v>
      </c>
      <c r="M269" s="151" t="str">
        <f t="shared" si="19"/>
        <v>C/V - S-TRAIT.INTERNE CARROS.</v>
      </c>
      <c r="N269" s="152">
        <f>+IF(OR($Q269=Parametres!$G$2,$Q269=Parametres!$G$3),I269,C269)</f>
        <v>11453.49</v>
      </c>
      <c r="O269" s="152">
        <f>+IF(OR($Q269=Parametres!$G$2,$Q269=Parametres!$G$3),J269,D269)</f>
        <v>3430.22</v>
      </c>
      <c r="P269" s="152">
        <f>+IF(OR($Q269=Parametres!$G$2,$Q269=Parametres!$G$3),K269,E269)</f>
        <v>14883.71</v>
      </c>
      <c r="Q269" s="151" t="str">
        <f t="shared" si="20"/>
        <v>6-Coût des ventes</v>
      </c>
      <c r="R269" s="150" t="str">
        <f t="shared" si="20"/>
        <v>4595</v>
      </c>
      <c r="S269" s="151">
        <f t="shared" si="20"/>
        <v>0</v>
      </c>
      <c r="T269" s="153">
        <f>+VLOOKUP($L269,Data_Validation!$A:$D,1,0)</f>
        <v>5595</v>
      </c>
      <c r="U269" s="153" t="str">
        <f>+VLOOKUP($L269,Data_Validation!$A:$D,3,0)</f>
        <v>Carrosserie</v>
      </c>
      <c r="V269" s="153" t="str">
        <f>+VLOOKUP($L269,Data_Validation!$A:$D,4,0)</f>
        <v>M/O Sous-traitement</v>
      </c>
      <c r="W269" s="153" t="str">
        <f>+VLOOKUP($L269,Data_Validation!$A:$E,5,0)</f>
        <v>$</v>
      </c>
      <c r="X269" s="153">
        <f>+VLOOKUP($L269,Data_Validation!$A:$F,6,0)</f>
        <v>0</v>
      </c>
    </row>
    <row r="270" spans="1:24" ht="15" customHeight="1">
      <c r="A270" s="1236" t="s">
        <v>2823</v>
      </c>
      <c r="B270" s="1237">
        <v>5701</v>
      </c>
      <c r="C270" s="1239">
        <v>131085.18</v>
      </c>
      <c r="D270" s="1239">
        <v>40960.01</v>
      </c>
      <c r="E270" s="1239">
        <v>172045.19</v>
      </c>
      <c r="F270" s="1236" t="s">
        <v>421</v>
      </c>
      <c r="G270" s="1236" t="s">
        <v>2017</v>
      </c>
      <c r="H270" s="1243"/>
      <c r="I270" s="1247"/>
      <c r="J270" s="1243"/>
      <c r="K270" s="1247"/>
      <c r="L270" s="150">
        <f t="shared" si="18"/>
        <v>5701</v>
      </c>
      <c r="M270" s="151" t="str">
        <f t="shared" si="19"/>
        <v>C/V - PIECE/ACC B.R. CLIENT VW</v>
      </c>
      <c r="N270" s="152">
        <f>+IF(OR($Q270=Parametres!$G$2,$Q270=Parametres!$G$3),I270,C270)</f>
        <v>131085.18</v>
      </c>
      <c r="O270" s="569">
        <f>+IF(OR($Q270=Parametres!$G$2,$Q270=Parametres!$G$3),J270,D270)</f>
        <v>40960.01</v>
      </c>
      <c r="P270" s="152">
        <f>+IF(OR($Q270=Parametres!$G$2,$Q270=Parametres!$G$3),K270,E270)</f>
        <v>172045.19</v>
      </c>
      <c r="Q270" s="151" t="str">
        <f t="shared" si="20"/>
        <v>6-Coût des ventes</v>
      </c>
      <c r="R270" s="150" t="str">
        <f t="shared" si="20"/>
        <v>4701</v>
      </c>
      <c r="S270" s="151">
        <f t="shared" si="20"/>
        <v>0</v>
      </c>
      <c r="T270" s="153">
        <f>+VLOOKUP($L270,Data_Validation!$A:$D,1,0)</f>
        <v>5701</v>
      </c>
      <c r="U270" s="153" t="str">
        <f>+VLOOKUP($L270,Data_Validation!$A:$D,3,0)</f>
        <v>Pièces</v>
      </c>
      <c r="V270" s="153" t="str">
        <f>+VLOOKUP($L270,Data_Validation!$A:$D,4,0)</f>
        <v>Pièces Ro Clients</v>
      </c>
      <c r="W270" s="153" t="str">
        <f>+VLOOKUP($L270,Data_Validation!$A:$E,5,0)</f>
        <v>$</v>
      </c>
      <c r="X270" s="153">
        <f>+VLOOKUP($L270,Data_Validation!$A:$F,6,0)</f>
        <v>0</v>
      </c>
    </row>
    <row r="271" spans="1:24" ht="15" customHeight="1">
      <c r="A271" s="1236" t="s">
        <v>2649</v>
      </c>
      <c r="B271" s="1237">
        <v>5702</v>
      </c>
      <c r="C271" s="1239">
        <v>1468.15</v>
      </c>
      <c r="D271" s="1239">
        <v>363.83</v>
      </c>
      <c r="E271" s="1239">
        <v>1831.98</v>
      </c>
      <c r="F271" s="1236" t="s">
        <v>421</v>
      </c>
      <c r="G271" s="1236" t="s">
        <v>2144</v>
      </c>
      <c r="H271" s="1243"/>
      <c r="I271" s="1243"/>
      <c r="J271" s="1243"/>
      <c r="K271" s="1243"/>
      <c r="L271" s="150">
        <f t="shared" si="18"/>
        <v>5702</v>
      </c>
      <c r="M271" s="151" t="str">
        <f t="shared" si="19"/>
        <v>C/V - SHOP SUPPLY VW</v>
      </c>
      <c r="N271" s="152">
        <f>+IF(OR($Q271=Parametres!$G$2,$Q271=Parametres!$G$3),I271,C271)</f>
        <v>1468.15</v>
      </c>
      <c r="O271" s="569">
        <f>+IF(OR($Q271=Parametres!$G$2,$Q271=Parametres!$G$3),J271,D271)</f>
        <v>363.83</v>
      </c>
      <c r="P271" s="152">
        <f>+IF(OR($Q271=Parametres!$G$2,$Q271=Parametres!$G$3),K271,E271)</f>
        <v>1831.98</v>
      </c>
      <c r="Q271" s="151" t="str">
        <f t="shared" si="20"/>
        <v>6-Coût des ventes</v>
      </c>
      <c r="R271" s="150" t="str">
        <f t="shared" si="20"/>
        <v>4702</v>
      </c>
      <c r="S271" s="151">
        <f t="shared" si="20"/>
        <v>0</v>
      </c>
      <c r="T271" s="153">
        <f>+VLOOKUP($L271,Data_Validation!$A:$D,1,0)</f>
        <v>5702</v>
      </c>
      <c r="U271" s="153" t="str">
        <f>+VLOOKUP($L271,Data_Validation!$A:$D,3,0)</f>
        <v>Service</v>
      </c>
      <c r="V271" s="153" t="str">
        <f>+VLOOKUP($L271,Data_Validation!$A:$D,4,0)</f>
        <v>M/O Client</v>
      </c>
      <c r="W271" s="153" t="str">
        <f>+VLOOKUP($L271,Data_Validation!$A:$E,5,0)</f>
        <v>$</v>
      </c>
      <c r="X271" s="153">
        <f>+VLOOKUP($L271,Data_Validation!$A:$F,6,0)</f>
        <v>0</v>
      </c>
    </row>
    <row r="272" spans="1:24" ht="15.75" customHeight="1">
      <c r="A272" s="1236" t="s">
        <v>2805</v>
      </c>
      <c r="B272" s="1237">
        <v>5703</v>
      </c>
      <c r="C272" s="1239">
        <v>207649.24</v>
      </c>
      <c r="D272" s="1239">
        <v>60790.31</v>
      </c>
      <c r="E272" s="1239">
        <v>268439.55</v>
      </c>
      <c r="F272" s="1236" t="s">
        <v>421</v>
      </c>
      <c r="G272" s="1236" t="s">
        <v>2037</v>
      </c>
      <c r="H272" s="1243"/>
      <c r="I272" s="1247"/>
      <c r="J272" s="1243"/>
      <c r="K272" s="1247"/>
      <c r="L272" s="150">
        <f t="shared" si="18"/>
        <v>5703</v>
      </c>
      <c r="M272" s="151" t="str">
        <f t="shared" si="19"/>
        <v>C/V - PIECE/ACC B.R. GARANTIE VW</v>
      </c>
      <c r="N272" s="152">
        <f>+IF(OR($Q272=Parametres!$G$2,$Q272=Parametres!$G$3),I272,C272)</f>
        <v>207649.24</v>
      </c>
      <c r="O272" s="569">
        <f>+IF(OR($Q272=Parametres!$G$2,$Q272=Parametres!$G$3),J272,D272)</f>
        <v>60790.31</v>
      </c>
      <c r="P272" s="152">
        <f>+IF(OR($Q272=Parametres!$G$2,$Q272=Parametres!$G$3),K272,E272)</f>
        <v>268439.55</v>
      </c>
      <c r="Q272" s="151" t="str">
        <f t="shared" si="20"/>
        <v>6-Coût des ventes</v>
      </c>
      <c r="R272" s="150" t="str">
        <f t="shared" si="20"/>
        <v>4703</v>
      </c>
      <c r="S272" s="151">
        <f t="shared" si="20"/>
        <v>0</v>
      </c>
      <c r="T272" s="153">
        <f>+VLOOKUP($L272,Data_Validation!$A:$D,1,0)</f>
        <v>5703</v>
      </c>
      <c r="U272" s="153" t="str">
        <f>+VLOOKUP($L272,Data_Validation!$A:$D,3,0)</f>
        <v>Pièces</v>
      </c>
      <c r="V272" s="153" t="str">
        <f>+VLOOKUP($L272,Data_Validation!$A:$D,4,0)</f>
        <v>P/A Garantie</v>
      </c>
      <c r="W272" s="153" t="str">
        <f>+VLOOKUP($L272,Data_Validation!$A:$E,5,0)</f>
        <v>$</v>
      </c>
      <c r="X272" s="153">
        <f>+VLOOKUP($L272,Data_Validation!$A:$F,6,0)</f>
        <v>0</v>
      </c>
    </row>
    <row r="273" spans="1:24" ht="15" customHeight="1">
      <c r="A273" s="1236" t="s">
        <v>2802</v>
      </c>
      <c r="B273" s="1237">
        <v>5705</v>
      </c>
      <c r="C273" s="1239">
        <v>111479.32</v>
      </c>
      <c r="D273" s="1239">
        <v>37201.51</v>
      </c>
      <c r="E273" s="1239">
        <v>148680.82999999999</v>
      </c>
      <c r="F273" s="1236" t="s">
        <v>421</v>
      </c>
      <c r="G273" s="1236" t="s">
        <v>2041</v>
      </c>
      <c r="H273" s="1243"/>
      <c r="I273" s="1244"/>
      <c r="J273" s="1244"/>
      <c r="K273" s="1244"/>
      <c r="L273" s="150">
        <f t="shared" si="18"/>
        <v>5705</v>
      </c>
      <c r="M273" s="151" t="str">
        <f t="shared" si="19"/>
        <v>C/V - PIECE/ACC B.R. INTERNE VW</v>
      </c>
      <c r="N273" s="152">
        <f>+IF(OR($Q273=Parametres!$G$2,$Q273=Parametres!$G$3),I273,C273)</f>
        <v>111479.32</v>
      </c>
      <c r="O273" s="569">
        <f>+IF(OR($Q273=Parametres!$G$2,$Q273=Parametres!$G$3),J273,D273)</f>
        <v>37201.51</v>
      </c>
      <c r="P273" s="152">
        <f>+IF(OR($Q273=Parametres!$G$2,$Q273=Parametres!$G$3),K273,E273)</f>
        <v>148680.82999999999</v>
      </c>
      <c r="Q273" s="151" t="str">
        <f t="shared" si="20"/>
        <v>6-Coût des ventes</v>
      </c>
      <c r="R273" s="150" t="str">
        <f t="shared" si="20"/>
        <v>4705</v>
      </c>
      <c r="S273" s="151">
        <f t="shared" si="20"/>
        <v>0</v>
      </c>
      <c r="T273" s="153">
        <f>+VLOOKUP($L273,Data_Validation!$A:$D,1,0)</f>
        <v>5705</v>
      </c>
      <c r="U273" s="153" t="str">
        <f>+VLOOKUP($L273,Data_Validation!$A:$D,3,0)</f>
        <v>Pièces</v>
      </c>
      <c r="V273" s="153" t="str">
        <f>+VLOOKUP($L273,Data_Validation!$A:$D,4,0)</f>
        <v>Ventes Internes</v>
      </c>
      <c r="W273" s="153" t="str">
        <f>+VLOOKUP($L273,Data_Validation!$A:$E,5,0)</f>
        <v>$</v>
      </c>
      <c r="X273" s="153">
        <f>+VLOOKUP($L273,Data_Validation!$A:$F,6,0)</f>
        <v>0</v>
      </c>
    </row>
    <row r="274" spans="1:24" ht="15" customHeight="1">
      <c r="A274" s="1236" t="s">
        <v>2649</v>
      </c>
      <c r="B274" s="1237">
        <v>5706</v>
      </c>
      <c r="C274" s="1239">
        <v>1799.5</v>
      </c>
      <c r="D274" s="1239">
        <v>696.39</v>
      </c>
      <c r="E274" s="1239">
        <v>2495.89</v>
      </c>
      <c r="F274" s="1236" t="s">
        <v>421</v>
      </c>
      <c r="G274" s="1236" t="s">
        <v>2162</v>
      </c>
      <c r="H274" s="1243"/>
      <c r="I274" s="1244"/>
      <c r="J274" s="1244"/>
      <c r="K274" s="1244"/>
      <c r="L274" s="150">
        <f t="shared" si="18"/>
        <v>5706</v>
      </c>
      <c r="M274" s="151" t="str">
        <f t="shared" si="19"/>
        <v>C/V - SHOP SUPPLY VW</v>
      </c>
      <c r="N274" s="152">
        <f>+IF(OR($Q274=Parametres!$G$2,$Q274=Parametres!$G$3),I274,C274)</f>
        <v>1799.5</v>
      </c>
      <c r="O274" s="569">
        <f>+IF(OR($Q274=Parametres!$G$2,$Q274=Parametres!$G$3),J274,D274)</f>
        <v>696.39</v>
      </c>
      <c r="P274" s="152">
        <f>+IF(OR($Q274=Parametres!$G$2,$Q274=Parametres!$G$3),K274,E274)</f>
        <v>2495.89</v>
      </c>
      <c r="Q274" s="151" t="str">
        <f t="shared" ref="Q274:S289" si="21">+F274</f>
        <v>6-Coût des ventes</v>
      </c>
      <c r="R274" s="150" t="str">
        <f t="shared" si="21"/>
        <v>4706</v>
      </c>
      <c r="S274" s="151">
        <f t="shared" si="21"/>
        <v>0</v>
      </c>
      <c r="T274" s="153">
        <f>+VLOOKUP($L274,Data_Validation!$A:$D,1,0)</f>
        <v>5706</v>
      </c>
      <c r="U274" s="153" t="str">
        <f>+VLOOKUP($L274,Data_Validation!$A:$D,3,0)</f>
        <v>Service</v>
      </c>
      <c r="V274" s="153" t="str">
        <f>+VLOOKUP($L274,Data_Validation!$A:$D,4,0)</f>
        <v>M/O Interne</v>
      </c>
      <c r="W274" s="153" t="str">
        <f>+VLOOKUP($L274,Data_Validation!$A:$E,5,0)</f>
        <v>$</v>
      </c>
      <c r="X274" s="153">
        <f>+VLOOKUP($L274,Data_Validation!$A:$F,6,0)</f>
        <v>0</v>
      </c>
    </row>
    <row r="275" spans="1:24" ht="15" customHeight="1">
      <c r="A275" s="1236" t="s">
        <v>2451</v>
      </c>
      <c r="B275" s="1237">
        <v>5711</v>
      </c>
      <c r="C275" s="1239">
        <v>13527.14</v>
      </c>
      <c r="D275" s="1239">
        <v>2262.56</v>
      </c>
      <c r="E275" s="1239">
        <v>15789.7</v>
      </c>
      <c r="F275" s="1236" t="s">
        <v>421</v>
      </c>
      <c r="G275" s="1236" t="s">
        <v>2108</v>
      </c>
      <c r="H275" s="1243"/>
      <c r="I275" s="1244"/>
      <c r="J275" s="1244"/>
      <c r="K275" s="1244"/>
      <c r="L275" s="150">
        <f t="shared" si="18"/>
        <v>5711</v>
      </c>
      <c r="M275" s="151" t="str">
        <f t="shared" si="19"/>
        <v>C/V - AUTRE PIECE/ACC/CARR B.R. CLIENT</v>
      </c>
      <c r="N275" s="152">
        <f>+IF(OR($Q275=Parametres!$G$2,$Q275=Parametres!$G$3),I275,C275)</f>
        <v>13527.14</v>
      </c>
      <c r="O275" s="569">
        <f>+IF(OR($Q275=Parametres!$G$2,$Q275=Parametres!$G$3),J275,D275)</f>
        <v>2262.56</v>
      </c>
      <c r="P275" s="152">
        <f>+IF(OR($Q275=Parametres!$G$2,$Q275=Parametres!$G$3),K275,E275)</f>
        <v>15789.7</v>
      </c>
      <c r="Q275" s="151" t="str">
        <f t="shared" si="21"/>
        <v>6-Coût des ventes</v>
      </c>
      <c r="R275" s="150" t="str">
        <f t="shared" si="21"/>
        <v>4711</v>
      </c>
      <c r="S275" s="151">
        <f t="shared" si="21"/>
        <v>0</v>
      </c>
      <c r="T275" s="153">
        <f>+VLOOKUP($L275,Data_Validation!$A:$D,1,0)</f>
        <v>5711</v>
      </c>
      <c r="U275" s="153" t="str">
        <f>+VLOOKUP($L275,Data_Validation!$A:$D,3,0)</f>
        <v>Pièces</v>
      </c>
      <c r="V275" s="153" t="str">
        <f>+VLOOKUP($L275,Data_Validation!$A:$D,4,0)</f>
        <v>Pièces Ro Clients</v>
      </c>
      <c r="W275" s="153" t="str">
        <f>+VLOOKUP($L275,Data_Validation!$A:$E,5,0)</f>
        <v>$</v>
      </c>
      <c r="X275" s="153">
        <f>+VLOOKUP($L275,Data_Validation!$A:$F,6,0)</f>
        <v>0</v>
      </c>
    </row>
    <row r="276" spans="1:24" ht="15" customHeight="1">
      <c r="A276" s="1236" t="s">
        <v>2745</v>
      </c>
      <c r="B276" s="1237">
        <v>5731</v>
      </c>
      <c r="C276" s="1239">
        <v>20033.689999999999</v>
      </c>
      <c r="D276" s="1239">
        <v>4018.79</v>
      </c>
      <c r="E276" s="1239">
        <v>24052.48</v>
      </c>
      <c r="F276" s="1236" t="s">
        <v>421</v>
      </c>
      <c r="G276" s="1236" t="s">
        <v>2101</v>
      </c>
      <c r="H276" s="1243"/>
      <c r="I276" s="1244"/>
      <c r="J276" s="1244"/>
      <c r="K276" s="1244"/>
      <c r="L276" s="150">
        <f t="shared" si="18"/>
        <v>5731</v>
      </c>
      <c r="M276" s="151" t="str">
        <f t="shared" si="19"/>
        <v>C/V - PIECES-BON REPAR.-PEINT/DEBOS</v>
      </c>
      <c r="N276" s="152">
        <f>+IF(OR($Q276=Parametres!$G$2,$Q276=Parametres!$G$3),I276,C276)</f>
        <v>20033.689999999999</v>
      </c>
      <c r="O276" s="569">
        <f>+IF(OR($Q276=Parametres!$G$2,$Q276=Parametres!$G$3),J276,D276)</f>
        <v>4018.79</v>
      </c>
      <c r="P276" s="152">
        <f>+IF(OR($Q276=Parametres!$G$2,$Q276=Parametres!$G$3),K276,E276)</f>
        <v>24052.48</v>
      </c>
      <c r="Q276" s="151" t="str">
        <f t="shared" si="21"/>
        <v>6-Coût des ventes</v>
      </c>
      <c r="R276" s="150" t="str">
        <f t="shared" si="21"/>
        <v>4731</v>
      </c>
      <c r="S276" s="151">
        <f t="shared" si="21"/>
        <v>0</v>
      </c>
      <c r="T276" s="153">
        <f>+VLOOKUP($L276,Data_Validation!$A:$D,1,0)</f>
        <v>5731</v>
      </c>
      <c r="U276" s="153" t="str">
        <f>+VLOOKUP($L276,Data_Validation!$A:$D,3,0)</f>
        <v>Pièces</v>
      </c>
      <c r="V276" s="153" t="str">
        <f>+VLOOKUP($L276,Data_Validation!$A:$D,4,0)</f>
        <v>Pièces Ro Carrosserie</v>
      </c>
      <c r="W276" s="153" t="str">
        <f>+VLOOKUP($L276,Data_Validation!$A:$E,5,0)</f>
        <v>$</v>
      </c>
      <c r="X276" s="153">
        <f>+VLOOKUP($L276,Data_Validation!$A:$F,6,0)</f>
        <v>0</v>
      </c>
    </row>
    <row r="277" spans="1:24" ht="15" customHeight="1">
      <c r="A277" s="1236" t="s">
        <v>2778</v>
      </c>
      <c r="B277" s="1237">
        <v>5733</v>
      </c>
      <c r="C277" s="1239">
        <v>123549.69</v>
      </c>
      <c r="D277" s="1239">
        <v>16393.060000000001</v>
      </c>
      <c r="E277" s="1239">
        <v>139942.75</v>
      </c>
      <c r="F277" s="1236" t="s">
        <v>421</v>
      </c>
      <c r="G277" s="1236" t="s">
        <v>2084</v>
      </c>
      <c r="H277" s="1243"/>
      <c r="I277" s="1244"/>
      <c r="J277" s="1244"/>
      <c r="K277" s="1244"/>
      <c r="L277" s="150">
        <f t="shared" si="18"/>
        <v>5733</v>
      </c>
      <c r="M277" s="151" t="str">
        <f t="shared" si="19"/>
        <v>C/V - P&amp;A B.T. GAR.CARR.VW</v>
      </c>
      <c r="N277" s="152">
        <f>+IF(OR($Q277=Parametres!$G$2,$Q277=Parametres!$G$3),I277,C277)</f>
        <v>123549.69</v>
      </c>
      <c r="O277" s="569">
        <f>+IF(OR($Q277=Parametres!$G$2,$Q277=Parametres!$G$3),J277,D277)</f>
        <v>16393.060000000001</v>
      </c>
      <c r="P277" s="152">
        <f>+IF(OR($Q277=Parametres!$G$2,$Q277=Parametres!$G$3),K277,E277)</f>
        <v>139942.75</v>
      </c>
      <c r="Q277" s="151" t="str">
        <f t="shared" si="21"/>
        <v>6-Coût des ventes</v>
      </c>
      <c r="R277" s="150" t="str">
        <f t="shared" si="21"/>
        <v>4733</v>
      </c>
      <c r="S277" s="151">
        <f t="shared" si="21"/>
        <v>0</v>
      </c>
      <c r="T277" s="153">
        <f>+VLOOKUP($L277,Data_Validation!$A:$D,1,0)</f>
        <v>5733</v>
      </c>
      <c r="U277" s="153" t="str">
        <f>+VLOOKUP($L277,Data_Validation!$A:$D,3,0)</f>
        <v>Pièces</v>
      </c>
      <c r="V277" s="153" t="str">
        <f>+VLOOKUP($L277,Data_Validation!$A:$D,4,0)</f>
        <v>Pièces Ro Carrosserie</v>
      </c>
      <c r="W277" s="153" t="str">
        <f>+VLOOKUP($L277,Data_Validation!$A:$E,5,0)</f>
        <v>$</v>
      </c>
      <c r="X277" s="153">
        <f>+VLOOKUP($L277,Data_Validation!$A:$F,6,0)</f>
        <v>0</v>
      </c>
    </row>
    <row r="278" spans="1:24" ht="15" customHeight="1">
      <c r="A278" s="1236" t="s">
        <v>2659</v>
      </c>
      <c r="B278" s="1237">
        <v>5735</v>
      </c>
      <c r="C278" s="1239">
        <v>1195.06</v>
      </c>
      <c r="D278" s="1239">
        <v>69.41</v>
      </c>
      <c r="E278" s="1239">
        <v>1264.47</v>
      </c>
      <c r="F278" s="1236" t="s">
        <v>421</v>
      </c>
      <c r="G278" s="1236" t="s">
        <v>2159</v>
      </c>
      <c r="H278" s="1243"/>
      <c r="I278" s="1244"/>
      <c r="J278" s="1244"/>
      <c r="K278" s="1244"/>
      <c r="L278" s="150">
        <f t="shared" si="18"/>
        <v>5735</v>
      </c>
      <c r="M278" s="151" t="str">
        <f t="shared" si="19"/>
        <v>C/V - P&amp;A B.T.INTERNE CARR.VW</v>
      </c>
      <c r="N278" s="152">
        <f>+IF(OR($Q278=Parametres!$G$2,$Q278=Parametres!$G$3),I278,C278)</f>
        <v>1195.06</v>
      </c>
      <c r="O278" s="569">
        <f>+IF(OR($Q278=Parametres!$G$2,$Q278=Parametres!$G$3),J278,D278)</f>
        <v>69.41</v>
      </c>
      <c r="P278" s="152">
        <f>+IF(OR($Q278=Parametres!$G$2,$Q278=Parametres!$G$3),K278,E278)</f>
        <v>1264.47</v>
      </c>
      <c r="Q278" s="151" t="str">
        <f t="shared" si="21"/>
        <v>6-Coût des ventes</v>
      </c>
      <c r="R278" s="150" t="str">
        <f t="shared" si="21"/>
        <v>4735</v>
      </c>
      <c r="S278" s="151">
        <f t="shared" si="21"/>
        <v>0</v>
      </c>
      <c r="T278" s="153">
        <f>+VLOOKUP($L278,Data_Validation!$A:$D,1,0)</f>
        <v>5735</v>
      </c>
      <c r="U278" s="153" t="str">
        <f>+VLOOKUP($L278,Data_Validation!$A:$D,3,0)</f>
        <v>Pièces</v>
      </c>
      <c r="V278" s="153" t="str">
        <f>+VLOOKUP($L278,Data_Validation!$A:$D,4,0)</f>
        <v>Pièces Ro Carrosserie</v>
      </c>
      <c r="W278" s="153" t="str">
        <f>+VLOOKUP($L278,Data_Validation!$A:$E,5,0)</f>
        <v>$</v>
      </c>
      <c r="X278" s="153">
        <f>+VLOOKUP($L278,Data_Validation!$A:$F,6,0)</f>
        <v>0</v>
      </c>
    </row>
    <row r="279" spans="1:24" ht="15.75" customHeight="1">
      <c r="A279" s="1236" t="s">
        <v>2785</v>
      </c>
      <c r="B279" s="1237">
        <v>5761</v>
      </c>
      <c r="C279" s="1239">
        <v>40448.1</v>
      </c>
      <c r="D279" s="1239">
        <v>10261.19</v>
      </c>
      <c r="E279" s="1239">
        <v>50709.29</v>
      </c>
      <c r="F279" s="1236" t="s">
        <v>421</v>
      </c>
      <c r="G279" s="1236" t="s">
        <v>2076</v>
      </c>
      <c r="H279" s="1243"/>
      <c r="I279" s="1244"/>
      <c r="J279" s="1244"/>
      <c r="K279" s="1244"/>
      <c r="L279" s="150">
        <f t="shared" si="18"/>
        <v>5761</v>
      </c>
      <c r="M279" s="151" t="str">
        <f t="shared" si="19"/>
        <v>C/V - P&amp;A VW COMPTOIR - DETAIL</v>
      </c>
      <c r="N279" s="152">
        <f>+IF(OR($Q279=Parametres!$G$2,$Q279=Parametres!$G$3),I279,C279)</f>
        <v>40448.1</v>
      </c>
      <c r="O279" s="569">
        <f>+IF(OR($Q279=Parametres!$G$2,$Q279=Parametres!$G$3),J279,D279)</f>
        <v>10261.19</v>
      </c>
      <c r="P279" s="152">
        <f>+IF(OR($Q279=Parametres!$G$2,$Q279=Parametres!$G$3),K279,E279)</f>
        <v>50709.29</v>
      </c>
      <c r="Q279" s="151" t="str">
        <f t="shared" si="21"/>
        <v>6-Coût des ventes</v>
      </c>
      <c r="R279" s="150" t="str">
        <f t="shared" si="21"/>
        <v>4761</v>
      </c>
      <c r="S279" s="151">
        <f t="shared" si="21"/>
        <v>0</v>
      </c>
      <c r="T279" s="153">
        <f>+VLOOKUP($L279,Data_Validation!$A:$D,1,0)</f>
        <v>5761</v>
      </c>
      <c r="U279" s="153" t="str">
        <f>+VLOOKUP($L279,Data_Validation!$A:$D,3,0)</f>
        <v>Pièces</v>
      </c>
      <c r="V279" s="153" t="str">
        <f>+VLOOKUP($L279,Data_Validation!$A:$D,4,0)</f>
        <v>Ventes Détails</v>
      </c>
      <c r="W279" s="153" t="str">
        <f>+VLOOKUP($L279,Data_Validation!$A:$E,5,0)</f>
        <v>$</v>
      </c>
      <c r="X279" s="153">
        <f>+VLOOKUP($L279,Data_Validation!$A:$F,6,0)</f>
        <v>0</v>
      </c>
    </row>
    <row r="280" spans="1:24" ht="15" customHeight="1">
      <c r="A280" s="1236" t="s">
        <v>2807</v>
      </c>
      <c r="B280" s="1237">
        <v>5763</v>
      </c>
      <c r="C280" s="1239">
        <v>131643.49</v>
      </c>
      <c r="D280" s="1239">
        <v>27266.18</v>
      </c>
      <c r="E280" s="1239">
        <v>158909.67000000001</v>
      </c>
      <c r="F280" s="1236" t="s">
        <v>421</v>
      </c>
      <c r="G280" s="1236" t="s">
        <v>2039</v>
      </c>
      <c r="H280" s="1243"/>
      <c r="I280" s="1244"/>
      <c r="J280" s="1244"/>
      <c r="K280" s="1244"/>
      <c r="L280" s="150">
        <f t="shared" si="18"/>
        <v>5763</v>
      </c>
      <c r="M280" s="151" t="str">
        <f t="shared" si="19"/>
        <v>C/V - P&amp;A VW COMPTOIR GROS - ECHANGE</v>
      </c>
      <c r="N280" s="152">
        <f>+IF(OR($Q280=Parametres!$G$2,$Q280=Parametres!$G$3),I280,C280)</f>
        <v>131643.49</v>
      </c>
      <c r="O280" s="569">
        <f>+IF(OR($Q280=Parametres!$G$2,$Q280=Parametres!$G$3),J280,D280)</f>
        <v>27266.18</v>
      </c>
      <c r="P280" s="152">
        <f>+IF(OR($Q280=Parametres!$G$2,$Q280=Parametres!$G$3),K280,E280)</f>
        <v>158909.67000000001</v>
      </c>
      <c r="Q280" s="151" t="str">
        <f t="shared" si="21"/>
        <v>6-Coût des ventes</v>
      </c>
      <c r="R280" s="150" t="str">
        <f t="shared" si="21"/>
        <v>4763</v>
      </c>
      <c r="S280" s="151">
        <f t="shared" si="21"/>
        <v>0</v>
      </c>
      <c r="T280" s="153">
        <f>+VLOOKUP($L280,Data_Validation!$A:$D,1,0)</f>
        <v>5763</v>
      </c>
      <c r="U280" s="153" t="str">
        <f>+VLOOKUP($L280,Data_Validation!$A:$D,3,0)</f>
        <v>Pièces</v>
      </c>
      <c r="V280" s="153" t="str">
        <f>+VLOOKUP($L280,Data_Validation!$A:$D,4,0)</f>
        <v>Ventes de Gros</v>
      </c>
      <c r="W280" s="153" t="str">
        <f>+VLOOKUP($L280,Data_Validation!$A:$E,5,0)</f>
        <v>$</v>
      </c>
      <c r="X280" s="153">
        <f>+VLOOKUP($L280,Data_Validation!$A:$F,6,0)</f>
        <v>0</v>
      </c>
    </row>
    <row r="281" spans="1:24" ht="15" customHeight="1">
      <c r="A281" s="1236" t="s">
        <v>2811</v>
      </c>
      <c r="B281" s="1237">
        <v>5781</v>
      </c>
      <c r="C281" s="1239">
        <v>91478.720000000001</v>
      </c>
      <c r="D281" s="1239">
        <v>34534.74</v>
      </c>
      <c r="E281" s="1239">
        <v>126013.46</v>
      </c>
      <c r="F281" s="1236" t="s">
        <v>421</v>
      </c>
      <c r="G281" s="1236" t="s">
        <v>2028</v>
      </c>
      <c r="H281" s="1243"/>
      <c r="I281" s="1244"/>
      <c r="J281" s="1244"/>
      <c r="K281" s="1244"/>
      <c r="L281" s="150">
        <f t="shared" si="18"/>
        <v>5781</v>
      </c>
      <c r="M281" s="151" t="str">
        <f t="shared" si="19"/>
        <v>COUT PNEUS</v>
      </c>
      <c r="N281" s="152">
        <f>+IF(OR($Q281=Parametres!$G$2,$Q281=Parametres!$G$3),I281,C281)</f>
        <v>91478.720000000001</v>
      </c>
      <c r="O281" s="569">
        <f>+IF(OR($Q281=Parametres!$G$2,$Q281=Parametres!$G$3),J281,D281)</f>
        <v>34534.74</v>
      </c>
      <c r="P281" s="152">
        <f>+IF(OR($Q281=Parametres!$G$2,$Q281=Parametres!$G$3),K281,E281)</f>
        <v>126013.46</v>
      </c>
      <c r="Q281" s="151" t="str">
        <f t="shared" si="21"/>
        <v>6-Coût des ventes</v>
      </c>
      <c r="R281" s="150" t="str">
        <f t="shared" si="21"/>
        <v>4781</v>
      </c>
      <c r="S281" s="151">
        <f t="shared" si="21"/>
        <v>0</v>
      </c>
      <c r="T281" s="153">
        <f>+VLOOKUP($L281,Data_Validation!$A:$D,1,0)</f>
        <v>5781</v>
      </c>
      <c r="U281" s="153" t="str">
        <f>+VLOOKUP($L281,Data_Validation!$A:$D,3,0)</f>
        <v>Pièces</v>
      </c>
      <c r="V281" s="153" t="str">
        <f>+VLOOKUP($L281,Data_Validation!$A:$D,4,0)</f>
        <v>Ventes Pneus</v>
      </c>
      <c r="W281" s="153" t="str">
        <f>+VLOOKUP($L281,Data_Validation!$A:$E,5,0)</f>
        <v>$</v>
      </c>
      <c r="X281" s="153">
        <f>+VLOOKUP($L281,Data_Validation!$A:$F,6,0)</f>
        <v>0</v>
      </c>
    </row>
    <row r="282" spans="1:24" ht="15" customHeight="1">
      <c r="A282" s="1236" t="s">
        <v>2720</v>
      </c>
      <c r="B282" s="1237">
        <v>5785</v>
      </c>
      <c r="C282" s="1239">
        <v>403.34</v>
      </c>
      <c r="D282" s="1239">
        <v>0</v>
      </c>
      <c r="E282" s="1239">
        <v>403.34</v>
      </c>
      <c r="F282" s="1236" t="s">
        <v>421</v>
      </c>
      <c r="G282" s="1236" t="s">
        <v>2028</v>
      </c>
      <c r="H282" s="1243"/>
      <c r="I282" s="1243"/>
      <c r="J282" s="1243"/>
      <c r="K282" s="1243"/>
      <c r="L282" s="150">
        <f t="shared" si="18"/>
        <v>5785</v>
      </c>
      <c r="M282" s="151" t="str">
        <f t="shared" si="19"/>
        <v>C/V - VW PNEUS</v>
      </c>
      <c r="N282" s="152">
        <f>+IF(OR($Q282=Parametres!$G$2,$Q282=Parametres!$G$3),I282,C282)</f>
        <v>403.34</v>
      </c>
      <c r="O282" s="569">
        <f>+IF(OR($Q282=Parametres!$G$2,$Q282=Parametres!$G$3),J282,D282)</f>
        <v>0</v>
      </c>
      <c r="P282" s="152">
        <f>+IF(OR($Q282=Parametres!$G$2,$Q282=Parametres!$G$3),K282,E282)</f>
        <v>403.34</v>
      </c>
      <c r="Q282" s="151" t="str">
        <f t="shared" si="21"/>
        <v>6-Coût des ventes</v>
      </c>
      <c r="R282" s="150" t="str">
        <f t="shared" si="21"/>
        <v>4781</v>
      </c>
      <c r="S282" s="151">
        <f t="shared" si="21"/>
        <v>0</v>
      </c>
      <c r="T282" s="153">
        <f>+VLOOKUP($L282,Data_Validation!$A:$D,1,0)</f>
        <v>5785</v>
      </c>
      <c r="U282" s="153" t="str">
        <f>+VLOOKUP($L282,Data_Validation!$A:$D,3,0)</f>
        <v>Pièces</v>
      </c>
      <c r="V282" s="153" t="str">
        <f>+VLOOKUP($L282,Data_Validation!$A:$D,4,0)</f>
        <v>Ventes Pneus</v>
      </c>
      <c r="W282" s="153" t="str">
        <f>+VLOOKUP($L282,Data_Validation!$A:$E,5,0)</f>
        <v>$</v>
      </c>
      <c r="X282" s="153">
        <f>+VLOOKUP($L282,Data_Validation!$A:$F,6,0)</f>
        <v>0</v>
      </c>
    </row>
    <row r="283" spans="1:24" ht="15.75" customHeight="1">
      <c r="A283" s="1236" t="s">
        <v>2128</v>
      </c>
      <c r="B283" s="1237">
        <v>5796</v>
      </c>
      <c r="C283" s="1239">
        <v>-735.21</v>
      </c>
      <c r="D283" s="1239">
        <v>-1504.42</v>
      </c>
      <c r="E283" s="1239">
        <v>-2239.63</v>
      </c>
      <c r="F283" s="1236" t="s">
        <v>421</v>
      </c>
      <c r="G283" s="1236" t="s">
        <v>2130</v>
      </c>
      <c r="H283" s="1243"/>
      <c r="I283" s="1243"/>
      <c r="J283" s="1243"/>
      <c r="K283" s="1243"/>
      <c r="L283" s="150">
        <f t="shared" si="18"/>
        <v>5796</v>
      </c>
      <c r="M283" s="151" t="str">
        <f t="shared" si="19"/>
        <v>C/V - BONI / ESCPTE PI VW</v>
      </c>
      <c r="N283" s="152">
        <f>+IF(OR($Q283=Parametres!$G$2,$Q283=Parametres!$G$3),I283,C283)</f>
        <v>-735.21</v>
      </c>
      <c r="O283" s="569">
        <f>+IF(OR($Q283=Parametres!$G$2,$Q283=Parametres!$G$3),J283,D283)</f>
        <v>-1504.42</v>
      </c>
      <c r="P283" s="152">
        <f>+IF(OR($Q283=Parametres!$G$2,$Q283=Parametres!$G$3),K283,E283)</f>
        <v>-2239.63</v>
      </c>
      <c r="Q283" s="151" t="str">
        <f t="shared" si="21"/>
        <v>6-Coût des ventes</v>
      </c>
      <c r="R283" s="150" t="str">
        <f t="shared" si="21"/>
        <v>5792</v>
      </c>
      <c r="S283" s="151">
        <f t="shared" si="21"/>
        <v>0</v>
      </c>
      <c r="T283" s="153">
        <f>+VLOOKUP($L283,Data_Validation!$A:$D,1,0)</f>
        <v>5796</v>
      </c>
      <c r="U283" s="153" t="str">
        <f>+VLOOKUP($L283,Data_Validation!$A:$D,3,0)</f>
        <v>Pièces</v>
      </c>
      <c r="V283" s="153" t="str">
        <f>+VLOOKUP($L283,Data_Validation!$A:$D,4,0)</f>
        <v>Escomptes</v>
      </c>
      <c r="W283" s="153" t="str">
        <f>+VLOOKUP($L283,Data_Validation!$A:$E,5,0)</f>
        <v>$</v>
      </c>
      <c r="X283" s="153">
        <f>+VLOOKUP($L283,Data_Validation!$A:$F,6,0)</f>
        <v>0</v>
      </c>
    </row>
    <row r="284" spans="1:24" ht="15" customHeight="1">
      <c r="A284" s="1236" t="s">
        <v>1520</v>
      </c>
      <c r="B284" s="1237">
        <v>6101</v>
      </c>
      <c r="C284" s="1239">
        <v>131053.92</v>
      </c>
      <c r="D284" s="1239">
        <v>53186.03</v>
      </c>
      <c r="E284" s="1239">
        <v>184239.95</v>
      </c>
      <c r="F284" s="1236" t="s">
        <v>398</v>
      </c>
      <c r="G284" s="1236" t="s">
        <v>2772</v>
      </c>
      <c r="H284" s="1243"/>
      <c r="I284" s="1243"/>
      <c r="J284" s="1243"/>
      <c r="K284" s="1243"/>
      <c r="L284" s="150">
        <f t="shared" si="18"/>
        <v>6101</v>
      </c>
      <c r="M284" s="151" t="str">
        <f t="shared" si="19"/>
        <v>COMMISSION VENDEUR NEUFS</v>
      </c>
      <c r="N284" s="152">
        <f>+IF(OR($Q284=Parametres!$G$2,$Q284=Parametres!$G$3),I284,C284)</f>
        <v>131053.92</v>
      </c>
      <c r="O284" s="569">
        <f>+IF(OR($Q284=Parametres!$G$2,$Q284=Parametres!$G$3),J284,D284)</f>
        <v>53186.03</v>
      </c>
      <c r="P284" s="152">
        <f>+IF(OR($Q284=Parametres!$G$2,$Q284=Parametres!$G$3),K284,E284)</f>
        <v>184239.95</v>
      </c>
      <c r="Q284" s="151" t="str">
        <f t="shared" si="21"/>
        <v>7-Dépenses</v>
      </c>
      <c r="R284" s="150" t="str">
        <f t="shared" si="21"/>
        <v>6101</v>
      </c>
      <c r="S284" s="151">
        <f t="shared" si="21"/>
        <v>0</v>
      </c>
      <c r="T284" s="153">
        <f>+VLOOKUP($L284,Data_Validation!$A:$D,1,0)</f>
        <v>6101</v>
      </c>
      <c r="U284" s="153" t="str">
        <f>+VLOOKUP($L284,Data_Validation!$A:$D,3,0)</f>
        <v>Véhicules neufs</v>
      </c>
      <c r="V284" s="153" t="str">
        <f>+VLOOKUP($L284,Data_Validation!$A:$D,4,0)</f>
        <v>Comm. vendeurs</v>
      </c>
      <c r="W284" s="153" t="str">
        <f>+VLOOKUP($L284,Data_Validation!$A:$E,5,0)</f>
        <v>$</v>
      </c>
      <c r="X284" s="153">
        <f>+VLOOKUP($L284,Data_Validation!$A:$F,6,0)</f>
        <v>0</v>
      </c>
    </row>
    <row r="285" spans="1:24" ht="15" customHeight="1">
      <c r="A285" s="1236" t="s">
        <v>1439</v>
      </c>
      <c r="B285" s="1237">
        <v>6102</v>
      </c>
      <c r="C285" s="1239">
        <v>49155.46</v>
      </c>
      <c r="D285" s="1239">
        <v>20948.72</v>
      </c>
      <c r="E285" s="1239">
        <v>70104.179999999993</v>
      </c>
      <c r="F285" s="1236" t="s">
        <v>398</v>
      </c>
      <c r="G285" s="1236" t="s">
        <v>2761</v>
      </c>
      <c r="H285" s="1243"/>
      <c r="I285" s="1243"/>
      <c r="J285" s="1243"/>
      <c r="K285" s="1243"/>
      <c r="L285" s="150">
        <f t="shared" si="18"/>
        <v>6102</v>
      </c>
      <c r="M285" s="151" t="str">
        <f t="shared" si="19"/>
        <v>RENUMERATION F &amp; I</v>
      </c>
      <c r="N285" s="152">
        <f>+IF(OR($Q285=Parametres!$G$2,$Q285=Parametres!$G$3),I285,C285)</f>
        <v>49155.46</v>
      </c>
      <c r="O285" s="569">
        <f>+IF(OR($Q285=Parametres!$G$2,$Q285=Parametres!$G$3),J285,D285)</f>
        <v>20948.72</v>
      </c>
      <c r="P285" s="152">
        <f>+IF(OR($Q285=Parametres!$G$2,$Q285=Parametres!$G$3),K285,E285)</f>
        <v>70104.179999999993</v>
      </c>
      <c r="Q285" s="151" t="str">
        <f t="shared" si="21"/>
        <v>7-Dépenses</v>
      </c>
      <c r="R285" s="150" t="str">
        <f t="shared" si="21"/>
        <v>6102</v>
      </c>
      <c r="S285" s="151">
        <f t="shared" si="21"/>
        <v>0</v>
      </c>
      <c r="T285" s="153">
        <f>+VLOOKUP($L285,Data_Validation!$A:$D,1,0)</f>
        <v>6102</v>
      </c>
      <c r="U285" s="153" t="str">
        <f>+VLOOKUP($L285,Data_Validation!$A:$D,3,0)</f>
        <v>Véhicules neufs</v>
      </c>
      <c r="V285" s="153" t="str">
        <f>+VLOOKUP($L285,Data_Validation!$A:$D,4,0)</f>
        <v>Comm. F&amp;I</v>
      </c>
      <c r="W285" s="153" t="str">
        <f>+VLOOKUP($L285,Data_Validation!$A:$E,5,0)</f>
        <v>$</v>
      </c>
      <c r="X285" s="153">
        <f>+VLOOKUP($L285,Data_Validation!$A:$F,6,0)</f>
        <v>0</v>
      </c>
    </row>
    <row r="286" spans="1:24" ht="15" customHeight="1">
      <c r="A286" s="1236" t="s">
        <v>396</v>
      </c>
      <c r="B286" s="1237">
        <v>6103</v>
      </c>
      <c r="C286" s="1239">
        <v>1216.3900000000001</v>
      </c>
      <c r="D286" s="1239">
        <v>596.52</v>
      </c>
      <c r="E286" s="1239">
        <v>1812.91</v>
      </c>
      <c r="F286" s="1236" t="s">
        <v>398</v>
      </c>
      <c r="G286" s="1236" t="s">
        <v>2697</v>
      </c>
      <c r="H286" s="1243"/>
      <c r="I286" s="1243"/>
      <c r="J286" s="1243"/>
      <c r="K286" s="1243"/>
      <c r="L286" s="150">
        <f t="shared" si="18"/>
        <v>6103</v>
      </c>
      <c r="M286" s="151" t="str">
        <f t="shared" si="19"/>
        <v>RELAT. A LA CLIENTELE &amp; AJUST.</v>
      </c>
      <c r="N286" s="152">
        <f>+IF(OR($Q286=Parametres!$G$2,$Q286=Parametres!$G$3),I286,C286)</f>
        <v>1216.3900000000001</v>
      </c>
      <c r="O286" s="569">
        <f>+IF(OR($Q286=Parametres!$G$2,$Q286=Parametres!$G$3),J286,D286)</f>
        <v>596.52</v>
      </c>
      <c r="P286" s="152">
        <f>+IF(OR($Q286=Parametres!$G$2,$Q286=Parametres!$G$3),K286,E286)</f>
        <v>1812.91</v>
      </c>
      <c r="Q286" s="151" t="str">
        <f t="shared" si="21"/>
        <v>7-Dépenses</v>
      </c>
      <c r="R286" s="150" t="str">
        <f t="shared" si="21"/>
        <v>6103</v>
      </c>
      <c r="S286" s="151">
        <f t="shared" si="21"/>
        <v>0</v>
      </c>
      <c r="T286" s="153">
        <f>+VLOOKUP($L286,Data_Validation!$A:$D,1,0)</f>
        <v>6103</v>
      </c>
      <c r="U286" s="153" t="str">
        <f>+VLOOKUP($L286,Data_Validation!$A:$D,3,0)</f>
        <v>Véhicules neufs</v>
      </c>
      <c r="V286" s="153" t="str">
        <f>+VLOOKUP($L286,Data_Validation!$A:$D,4,0)</f>
        <v>Service gratuit 1</v>
      </c>
      <c r="W286" s="153" t="str">
        <f>+VLOOKUP($L286,Data_Validation!$A:$E,5,0)</f>
        <v>$</v>
      </c>
      <c r="X286" s="153">
        <f>+VLOOKUP($L286,Data_Validation!$A:$F,6,0)</f>
        <v>0</v>
      </c>
    </row>
    <row r="287" spans="1:24" ht="15.75" customHeight="1">
      <c r="A287" s="1236" t="s">
        <v>2748</v>
      </c>
      <c r="B287" s="1237">
        <v>6106</v>
      </c>
      <c r="C287" s="1239">
        <v>2219.63</v>
      </c>
      <c r="D287" s="1239">
        <v>1170</v>
      </c>
      <c r="E287" s="1239">
        <v>3389.63</v>
      </c>
      <c r="F287" s="1236" t="s">
        <v>398</v>
      </c>
      <c r="G287" s="1236" t="s">
        <v>2750</v>
      </c>
      <c r="H287" s="1243"/>
      <c r="I287" s="1243"/>
      <c r="J287" s="1243"/>
      <c r="K287" s="1243"/>
      <c r="L287" s="150">
        <f t="shared" si="18"/>
        <v>6106</v>
      </c>
      <c r="M287" s="151" t="str">
        <f t="shared" si="19"/>
        <v>ENTRETIEN DES STOCKS</v>
      </c>
      <c r="N287" s="152">
        <f>+IF(OR($Q287=Parametres!$G$2,$Q287=Parametres!$G$3),I287,C287)</f>
        <v>2219.63</v>
      </c>
      <c r="O287" s="569">
        <f>+IF(OR($Q287=Parametres!$G$2,$Q287=Parametres!$G$3),J287,D287)</f>
        <v>1170</v>
      </c>
      <c r="P287" s="152">
        <f>+IF(OR($Q287=Parametres!$G$2,$Q287=Parametres!$G$3),K287,E287)</f>
        <v>3389.63</v>
      </c>
      <c r="Q287" s="151" t="str">
        <f t="shared" si="21"/>
        <v>7-Dépenses</v>
      </c>
      <c r="R287" s="150" t="str">
        <f t="shared" si="21"/>
        <v>6106</v>
      </c>
      <c r="S287" s="151">
        <f t="shared" si="21"/>
        <v>0</v>
      </c>
      <c r="T287" s="153">
        <f>+VLOOKUP($L287,Data_Validation!$A:$D,1,0)</f>
        <v>6106</v>
      </c>
      <c r="U287" s="153" t="str">
        <f>+VLOOKUP($L287,Data_Validation!$A:$D,3,0)</f>
        <v>Véhicules neufs</v>
      </c>
      <c r="V287" s="153" t="str">
        <f>+VLOOKUP($L287,Data_Validation!$A:$D,4,0)</f>
        <v>Entretien stock</v>
      </c>
      <c r="W287" s="153" t="str">
        <f>+VLOOKUP($L287,Data_Validation!$A:$E,5,0)</f>
        <v>$</v>
      </c>
      <c r="X287" s="153">
        <f>+VLOOKUP($L287,Data_Validation!$A:$F,6,0)</f>
        <v>0</v>
      </c>
    </row>
    <row r="288" spans="1:24" ht="15" customHeight="1">
      <c r="A288" s="1236" t="s">
        <v>935</v>
      </c>
      <c r="B288" s="1237">
        <v>6107</v>
      </c>
      <c r="C288" s="1239">
        <v>52123.94</v>
      </c>
      <c r="D288" s="1239">
        <v>14012.64</v>
      </c>
      <c r="E288" s="1239">
        <v>66136.58</v>
      </c>
      <c r="F288" s="1236" t="s">
        <v>398</v>
      </c>
      <c r="G288" s="1236" t="s">
        <v>2603</v>
      </c>
      <c r="H288" s="1243"/>
      <c r="I288" s="1243"/>
      <c r="J288" s="1243"/>
      <c r="K288" s="1243"/>
      <c r="L288" s="150">
        <f t="shared" si="18"/>
        <v>6107</v>
      </c>
      <c r="M288" s="151" t="str">
        <f t="shared" si="19"/>
        <v>INTERET-PLAN DE FINANCEMENT</v>
      </c>
      <c r="N288" s="152">
        <f>+IF(OR($Q288=Parametres!$G$2,$Q288=Parametres!$G$3),I288,C288)</f>
        <v>52123.94</v>
      </c>
      <c r="O288" s="569">
        <f>+IF(OR($Q288=Parametres!$G$2,$Q288=Parametres!$G$3),J288,D288)</f>
        <v>14012.64</v>
      </c>
      <c r="P288" s="152">
        <f>+IF(OR($Q288=Parametres!$G$2,$Q288=Parametres!$G$3),K288,E288)</f>
        <v>66136.58</v>
      </c>
      <c r="Q288" s="151" t="str">
        <f t="shared" si="21"/>
        <v>7-Dépenses</v>
      </c>
      <c r="R288" s="150" t="str">
        <f t="shared" si="21"/>
        <v>6107</v>
      </c>
      <c r="S288" s="151">
        <f t="shared" si="21"/>
        <v>0</v>
      </c>
      <c r="T288" s="153">
        <f>+VLOOKUP($L288,Data_Validation!$A:$D,1,0)</f>
        <v>6107</v>
      </c>
      <c r="U288" s="153" t="str">
        <f>+VLOOKUP($L288,Data_Validation!$A:$D,3,0)</f>
        <v>Véhicules neufs</v>
      </c>
      <c r="V288" s="153" t="str">
        <f>+VLOOKUP($L288,Data_Validation!$A:$D,4,0)</f>
        <v>Intérêt de gros</v>
      </c>
      <c r="W288" s="153" t="str">
        <f>+VLOOKUP($L288,Data_Validation!$A:$E,5,0)</f>
        <v>$</v>
      </c>
      <c r="X288" s="153">
        <f>+VLOOKUP($L288,Data_Validation!$A:$F,6,0)</f>
        <v>0</v>
      </c>
    </row>
    <row r="289" spans="1:24" ht="15" customHeight="1">
      <c r="A289" s="1236" t="s">
        <v>1404</v>
      </c>
      <c r="B289" s="1237">
        <v>6108</v>
      </c>
      <c r="C289" s="1239">
        <v>34868.07</v>
      </c>
      <c r="D289" s="1239">
        <v>6503.31</v>
      </c>
      <c r="E289" s="1239">
        <v>41371.379999999997</v>
      </c>
      <c r="F289" s="1236" t="s">
        <v>398</v>
      </c>
      <c r="G289" s="1236" t="s">
        <v>2687</v>
      </c>
      <c r="H289" s="1241"/>
      <c r="I289" s="1242"/>
      <c r="J289" s="1242"/>
      <c r="K289" s="1242"/>
      <c r="L289" s="150">
        <f t="shared" si="18"/>
        <v>6108</v>
      </c>
      <c r="M289" s="151" t="str">
        <f t="shared" si="19"/>
        <v>FRAIS DE LIVRAISON</v>
      </c>
      <c r="N289" s="152">
        <f>+IF(OR($Q289=Parametres!$G$2,$Q289=Parametres!$G$3),I289,C289)</f>
        <v>34868.07</v>
      </c>
      <c r="O289" s="569">
        <f>+IF(OR($Q289=Parametres!$G$2,$Q289=Parametres!$G$3),J289,D289)</f>
        <v>6503.31</v>
      </c>
      <c r="P289" s="152">
        <f>+IF(OR($Q289=Parametres!$G$2,$Q289=Parametres!$G$3),K289,E289)</f>
        <v>41371.379999999997</v>
      </c>
      <c r="Q289" s="151" t="str">
        <f t="shared" si="21"/>
        <v>7-Dépenses</v>
      </c>
      <c r="R289" s="150" t="str">
        <f t="shared" si="21"/>
        <v>6108</v>
      </c>
      <c r="S289" s="151">
        <f t="shared" si="21"/>
        <v>0</v>
      </c>
      <c r="T289" s="153">
        <f>+VLOOKUP($L289,Data_Validation!$A:$D,1,0)</f>
        <v>6108</v>
      </c>
      <c r="U289" s="153" t="str">
        <f>+VLOOKUP($L289,Data_Validation!$A:$D,3,0)</f>
        <v>Véhicules neufs</v>
      </c>
      <c r="V289" s="153" t="str">
        <f>+VLOOKUP($L289,Data_Validation!$A:$D,4,0)</f>
        <v>Frais de livraison</v>
      </c>
      <c r="W289" s="153" t="str">
        <f>+VLOOKUP($L289,Data_Validation!$A:$E,5,0)</f>
        <v>$</v>
      </c>
      <c r="X289" s="153">
        <f>+VLOOKUP($L289,Data_Validation!$A:$F,6,0)</f>
        <v>0</v>
      </c>
    </row>
    <row r="290" spans="1:24" ht="15" customHeight="1">
      <c r="A290" s="1236" t="s">
        <v>1371</v>
      </c>
      <c r="B290" s="1237">
        <v>6114</v>
      </c>
      <c r="C290" s="1239">
        <v>57934.67</v>
      </c>
      <c r="D290" s="1239">
        <v>19134.86</v>
      </c>
      <c r="E290" s="1239">
        <v>77069.53</v>
      </c>
      <c r="F290" s="1236" t="s">
        <v>398</v>
      </c>
      <c r="G290" s="1236" t="s">
        <v>2106</v>
      </c>
      <c r="H290" s="1241"/>
      <c r="I290" s="1242"/>
      <c r="J290" s="1242"/>
      <c r="K290" s="1242"/>
      <c r="L290" s="150">
        <f t="shared" si="18"/>
        <v>6114</v>
      </c>
      <c r="M290" s="151" t="str">
        <f t="shared" si="19"/>
        <v>PUBLICITE</v>
      </c>
      <c r="N290" s="152">
        <f>+IF(OR($Q290=Parametres!$G$2,$Q290=Parametres!$G$3),I290,C290)</f>
        <v>57934.67</v>
      </c>
      <c r="O290" s="569">
        <f>+IF(OR($Q290=Parametres!$G$2,$Q290=Parametres!$G$3),J290,D290)</f>
        <v>19134.86</v>
      </c>
      <c r="P290" s="152">
        <f>+IF(OR($Q290=Parametres!$G$2,$Q290=Parametres!$G$3),K290,E290)</f>
        <v>77069.53</v>
      </c>
      <c r="Q290" s="151" t="str">
        <f t="shared" ref="Q290:S305" si="22">+F290</f>
        <v>7-Dépenses</v>
      </c>
      <c r="R290" s="150" t="str">
        <f t="shared" si="22"/>
        <v>6114</v>
      </c>
      <c r="S290" s="151">
        <f t="shared" si="22"/>
        <v>0</v>
      </c>
      <c r="T290" s="153">
        <f>+VLOOKUP($L290,Data_Validation!$A:$D,1,0)</f>
        <v>6114</v>
      </c>
      <c r="U290" s="153" t="str">
        <f>+VLOOKUP($L290,Data_Validation!$A:$D,3,0)</f>
        <v>Véhicules neufs</v>
      </c>
      <c r="V290" s="153" t="str">
        <f>+VLOOKUP($L290,Data_Validation!$A:$D,4,0)</f>
        <v>Publicité 1</v>
      </c>
      <c r="W290" s="153" t="str">
        <f>+VLOOKUP($L290,Data_Validation!$A:$E,5,0)</f>
        <v>$</v>
      </c>
      <c r="X290" s="153">
        <f>+VLOOKUP($L290,Data_Validation!$A:$F,6,0)</f>
        <v>0</v>
      </c>
    </row>
    <row r="291" spans="1:24" ht="15.75" customHeight="1">
      <c r="A291" s="1236" t="s">
        <v>2104</v>
      </c>
      <c r="B291" s="1237">
        <v>6115</v>
      </c>
      <c r="C291" s="1239">
        <v>-21700</v>
      </c>
      <c r="D291" s="1239">
        <v>-8700</v>
      </c>
      <c r="E291" s="1239">
        <v>-30400</v>
      </c>
      <c r="F291" s="1236" t="s">
        <v>398</v>
      </c>
      <c r="G291" s="1236" t="s">
        <v>2106</v>
      </c>
      <c r="H291" s="1241"/>
      <c r="I291" s="1242"/>
      <c r="J291" s="1242"/>
      <c r="K291" s="1242"/>
      <c r="L291" s="150">
        <f t="shared" si="18"/>
        <v>6115</v>
      </c>
      <c r="M291" s="151" t="str">
        <f t="shared" si="19"/>
        <v>CREDIT PUBLICITE NEUF</v>
      </c>
      <c r="N291" s="152">
        <f>+IF(OR($Q291=Parametres!$G$2,$Q291=Parametres!$G$3),I291,C291)</f>
        <v>-21700</v>
      </c>
      <c r="O291" s="569">
        <f>+IF(OR($Q291=Parametres!$G$2,$Q291=Parametres!$G$3),J291,D291)</f>
        <v>-8700</v>
      </c>
      <c r="P291" s="152">
        <f>+IF(OR($Q291=Parametres!$G$2,$Q291=Parametres!$G$3),K291,E291)</f>
        <v>-30400</v>
      </c>
      <c r="Q291" s="151" t="str">
        <f t="shared" si="22"/>
        <v>7-Dépenses</v>
      </c>
      <c r="R291" s="150" t="str">
        <f t="shared" si="22"/>
        <v>6114</v>
      </c>
      <c r="S291" s="151">
        <f t="shared" si="22"/>
        <v>0</v>
      </c>
      <c r="T291" s="153">
        <f>+VLOOKUP($L291,Data_Validation!$A:$D,1,0)</f>
        <v>6115</v>
      </c>
      <c r="U291" s="153" t="str">
        <f>+VLOOKUP($L291,Data_Validation!$A:$D,3,0)</f>
        <v>Véhicules neufs</v>
      </c>
      <c r="V291" s="153" t="str">
        <f>+VLOOKUP($L291,Data_Validation!$A:$D,4,0)</f>
        <v>Publicité 1</v>
      </c>
      <c r="W291" s="153" t="str">
        <f>+VLOOKUP($L291,Data_Validation!$A:$E,5,0)</f>
        <v>$</v>
      </c>
      <c r="X291" s="153">
        <f>+VLOOKUP($L291,Data_Validation!$A:$F,6,0)</f>
        <v>0</v>
      </c>
    </row>
    <row r="292" spans="1:24" ht="15" customHeight="1">
      <c r="A292" s="1236" t="s">
        <v>1256</v>
      </c>
      <c r="B292" s="1237">
        <v>6121</v>
      </c>
      <c r="C292" s="1239">
        <v>3733.32</v>
      </c>
      <c r="D292" s="1239">
        <v>747.6</v>
      </c>
      <c r="E292" s="1239">
        <v>4480.92</v>
      </c>
      <c r="F292" s="1236" t="s">
        <v>398</v>
      </c>
      <c r="G292" s="1236" t="s">
        <v>2639</v>
      </c>
      <c r="H292" s="1241"/>
      <c r="I292" s="1242"/>
      <c r="J292" s="1242"/>
      <c r="K292" s="1242"/>
      <c r="L292" s="150">
        <f t="shared" si="18"/>
        <v>6121</v>
      </c>
      <c r="M292" s="151" t="str">
        <f t="shared" si="19"/>
        <v>SALAIRES - PROPRIETAIRES</v>
      </c>
      <c r="N292" s="152">
        <f>+IF(OR($Q292=Parametres!$G$2,$Q292=Parametres!$G$3),I292,C292)</f>
        <v>3733.32</v>
      </c>
      <c r="O292" s="152">
        <f>+IF(OR($Q292=Parametres!$G$2,$Q292=Parametres!$G$3),J292,D292)</f>
        <v>747.6</v>
      </c>
      <c r="P292" s="152">
        <f>+IF(OR($Q292=Parametres!$G$2,$Q292=Parametres!$G$3),K292,E292)</f>
        <v>4480.92</v>
      </c>
      <c r="Q292" s="151" t="str">
        <f t="shared" si="22"/>
        <v>7-Dépenses</v>
      </c>
      <c r="R292" s="150" t="str">
        <f t="shared" si="22"/>
        <v>6121</v>
      </c>
      <c r="S292" s="151">
        <f t="shared" si="22"/>
        <v>0</v>
      </c>
      <c r="T292" s="153">
        <f>+VLOOKUP($L292,Data_Validation!$A:$D,1,0)</f>
        <v>6121</v>
      </c>
      <c r="U292" s="153" t="str">
        <f>+VLOOKUP($L292,Data_Validation!$A:$D,3,0)</f>
        <v>Véhicules neufs</v>
      </c>
      <c r="V292" s="153" t="str">
        <f>+VLOOKUP($L292,Data_Validation!$A:$D,4,0)</f>
        <v>Salaires propriétaire</v>
      </c>
      <c r="W292" s="153" t="str">
        <f>+VLOOKUP($L292,Data_Validation!$A:$E,5,0)</f>
        <v>$</v>
      </c>
      <c r="X292" s="153">
        <f>+VLOOKUP($L292,Data_Validation!$A:$F,6,0)</f>
        <v>0</v>
      </c>
    </row>
    <row r="293" spans="1:24" ht="15" customHeight="1">
      <c r="A293" s="1236" t="s">
        <v>2615</v>
      </c>
      <c r="B293" s="1237">
        <v>6122</v>
      </c>
      <c r="C293" s="1239">
        <v>84017.63</v>
      </c>
      <c r="D293" s="1239">
        <v>21334.91</v>
      </c>
      <c r="E293" s="1239">
        <v>105352.54</v>
      </c>
      <c r="F293" s="1236" t="s">
        <v>398</v>
      </c>
      <c r="G293" s="1236" t="s">
        <v>2617</v>
      </c>
      <c r="H293" s="1241"/>
      <c r="I293" s="1242"/>
      <c r="J293" s="1242"/>
      <c r="K293" s="1242"/>
      <c r="L293" s="150">
        <f t="shared" si="18"/>
        <v>6122</v>
      </c>
      <c r="M293" s="151" t="str">
        <f t="shared" si="19"/>
        <v>SAL SUPERVISION / GERANT</v>
      </c>
      <c r="N293" s="152">
        <f>+IF(OR($Q293=Parametres!$G$2,$Q293=Parametres!$G$3),I293,C293)</f>
        <v>84017.63</v>
      </c>
      <c r="O293" s="152">
        <f>+IF(OR($Q293=Parametres!$G$2,$Q293=Parametres!$G$3),J293,D293)</f>
        <v>21334.91</v>
      </c>
      <c r="P293" s="152">
        <f>+IF(OR($Q293=Parametres!$G$2,$Q293=Parametres!$G$3),K293,E293)</f>
        <v>105352.54</v>
      </c>
      <c r="Q293" s="151" t="str">
        <f t="shared" si="22"/>
        <v>7-Dépenses</v>
      </c>
      <c r="R293" s="150" t="str">
        <f t="shared" si="22"/>
        <v>6122</v>
      </c>
      <c r="S293" s="151">
        <f t="shared" si="22"/>
        <v>0</v>
      </c>
      <c r="T293" s="153">
        <f>+VLOOKUP($L293,Data_Validation!$A:$D,1,0)</f>
        <v>6122</v>
      </c>
      <c r="U293" s="153" t="str">
        <f>+VLOOKUP($L293,Data_Validation!$A:$D,3,0)</f>
        <v>Véhicules neufs</v>
      </c>
      <c r="V293" s="153" t="str">
        <f>+VLOOKUP($L293,Data_Validation!$A:$D,4,0)</f>
        <v>Salaires cadres</v>
      </c>
      <c r="W293" s="153" t="str">
        <f>+VLOOKUP($L293,Data_Validation!$A:$E,5,0)</f>
        <v>$</v>
      </c>
      <c r="X293" s="153">
        <f>+VLOOKUP($L293,Data_Validation!$A:$F,6,0)</f>
        <v>0</v>
      </c>
    </row>
    <row r="294" spans="1:24" ht="15" customHeight="1">
      <c r="A294" s="1236" t="s">
        <v>1339</v>
      </c>
      <c r="B294" s="1237">
        <v>6123</v>
      </c>
      <c r="C294" s="1239">
        <v>31543.85</v>
      </c>
      <c r="D294" s="1239">
        <v>9816.59</v>
      </c>
      <c r="E294" s="1239">
        <v>41360.44</v>
      </c>
      <c r="F294" s="1236" t="s">
        <v>398</v>
      </c>
      <c r="G294" s="1236" t="s">
        <v>2670</v>
      </c>
      <c r="H294" s="1241"/>
      <c r="I294" s="1242"/>
      <c r="J294" s="1242"/>
      <c r="K294" s="1242"/>
      <c r="L294" s="150">
        <f t="shared" si="18"/>
        <v>6123</v>
      </c>
      <c r="M294" s="151" t="str">
        <f t="shared" si="19"/>
        <v>SAL. &amp; RENUM. - CLERICAL</v>
      </c>
      <c r="N294" s="152">
        <f>+IF(OR($Q294=Parametres!$G$2,$Q294=Parametres!$G$3),I294,C294)</f>
        <v>31543.85</v>
      </c>
      <c r="O294" s="152">
        <f>+IF(OR($Q294=Parametres!$G$2,$Q294=Parametres!$G$3),J294,D294)</f>
        <v>9816.59</v>
      </c>
      <c r="P294" s="152">
        <f>+IF(OR($Q294=Parametres!$G$2,$Q294=Parametres!$G$3),K294,E294)</f>
        <v>41360.44</v>
      </c>
      <c r="Q294" s="151" t="str">
        <f t="shared" si="22"/>
        <v>7-Dépenses</v>
      </c>
      <c r="R294" s="150" t="str">
        <f t="shared" si="22"/>
        <v>6123</v>
      </c>
      <c r="S294" s="151">
        <f t="shared" si="22"/>
        <v>0</v>
      </c>
      <c r="T294" s="153">
        <f>+VLOOKUP($L294,Data_Validation!$A:$D,1,0)</f>
        <v>6123</v>
      </c>
      <c r="U294" s="153" t="str">
        <f>+VLOOKUP($L294,Data_Validation!$A:$D,3,0)</f>
        <v>Véhicules neufs</v>
      </c>
      <c r="V294" s="153" t="str">
        <f>+VLOOKUP($L294,Data_Validation!$A:$D,4,0)</f>
        <v>Salaires commis</v>
      </c>
      <c r="W294" s="153" t="str">
        <f>+VLOOKUP($L294,Data_Validation!$A:$E,5,0)</f>
        <v>$</v>
      </c>
      <c r="X294" s="153">
        <f>+VLOOKUP($L294,Data_Validation!$A:$F,6,0)</f>
        <v>0</v>
      </c>
    </row>
    <row r="295" spans="1:24" ht="15" customHeight="1">
      <c r="A295" s="1236" t="s">
        <v>1246</v>
      </c>
      <c r="B295" s="1237">
        <v>6124</v>
      </c>
      <c r="C295" s="1239">
        <v>28633.73</v>
      </c>
      <c r="D295" s="1239">
        <v>8653.41</v>
      </c>
      <c r="E295" s="1239">
        <v>37287.14</v>
      </c>
      <c r="F295" s="1236" t="s">
        <v>398</v>
      </c>
      <c r="G295" s="1236" t="s">
        <v>2726</v>
      </c>
      <c r="H295" s="1241"/>
      <c r="I295" s="1242"/>
      <c r="J295" s="1242"/>
      <c r="K295" s="1242"/>
      <c r="L295" s="150">
        <f t="shared" si="18"/>
        <v>6124</v>
      </c>
      <c r="M295" s="151" t="str">
        <f t="shared" si="19"/>
        <v>SALAIRES &amp; RENUM. - AUTRES</v>
      </c>
      <c r="N295" s="152">
        <f>+IF(OR($Q295=Parametres!$G$2,$Q295=Parametres!$G$3),I295,C295)</f>
        <v>28633.73</v>
      </c>
      <c r="O295" s="152">
        <f>+IF(OR($Q295=Parametres!$G$2,$Q295=Parametres!$G$3),J295,D295)</f>
        <v>8653.41</v>
      </c>
      <c r="P295" s="152">
        <f>+IF(OR($Q295=Parametres!$G$2,$Q295=Parametres!$G$3),K295,E295)</f>
        <v>37287.14</v>
      </c>
      <c r="Q295" s="151" t="str">
        <f t="shared" si="22"/>
        <v>7-Dépenses</v>
      </c>
      <c r="R295" s="150" t="str">
        <f t="shared" si="22"/>
        <v>6124</v>
      </c>
      <c r="S295" s="151">
        <f t="shared" si="22"/>
        <v>0</v>
      </c>
      <c r="T295" s="153">
        <f>+VLOOKUP($L295,Data_Validation!$A:$D,1,0)</f>
        <v>6124</v>
      </c>
      <c r="U295" s="153" t="str">
        <f>+VLOOKUP($L295,Data_Validation!$A:$D,3,0)</f>
        <v>Véhicules neufs</v>
      </c>
      <c r="V295" s="153" t="str">
        <f>+VLOOKUP($L295,Data_Validation!$A:$D,4,0)</f>
        <v>Salaires autres</v>
      </c>
      <c r="W295" s="153" t="str">
        <f>+VLOOKUP($L295,Data_Validation!$A:$E,5,0)</f>
        <v>$</v>
      </c>
      <c r="X295" s="153">
        <f>+VLOOKUP($L295,Data_Validation!$A:$F,6,0)</f>
        <v>0</v>
      </c>
    </row>
    <row r="296" spans="1:24" ht="15" customHeight="1">
      <c r="A296" s="1236" t="s">
        <v>1442</v>
      </c>
      <c r="B296" s="1237">
        <v>6129</v>
      </c>
      <c r="C296" s="1239">
        <v>41601.9</v>
      </c>
      <c r="D296" s="1239">
        <v>15115.93</v>
      </c>
      <c r="E296" s="1239">
        <v>56717.83</v>
      </c>
      <c r="F296" s="1236" t="s">
        <v>398</v>
      </c>
      <c r="G296" s="1236" t="s">
        <v>2632</v>
      </c>
      <c r="H296" s="1241"/>
      <c r="I296" s="1242"/>
      <c r="J296" s="1242"/>
      <c r="K296" s="1242"/>
      <c r="L296" s="150">
        <f t="shared" si="18"/>
        <v>6129</v>
      </c>
      <c r="M296" s="151" t="str">
        <f t="shared" si="19"/>
        <v>ABS., VACANCE &amp; SAL. JOURS FER</v>
      </c>
      <c r="N296" s="152">
        <f>+IF(OR($Q296=Parametres!$G$2,$Q296=Parametres!$G$3),I296,C296)</f>
        <v>41601.9</v>
      </c>
      <c r="O296" s="152">
        <f>+IF(OR($Q296=Parametres!$G$2,$Q296=Parametres!$G$3),J296,D296)</f>
        <v>15115.93</v>
      </c>
      <c r="P296" s="152">
        <f>+IF(OR($Q296=Parametres!$G$2,$Q296=Parametres!$G$3),K296,E296)</f>
        <v>56717.83</v>
      </c>
      <c r="Q296" s="151" t="str">
        <f t="shared" si="22"/>
        <v>7-Dépenses</v>
      </c>
      <c r="R296" s="150" t="str">
        <f t="shared" si="22"/>
        <v>6129</v>
      </c>
      <c r="S296" s="151">
        <f t="shared" si="22"/>
        <v>0</v>
      </c>
      <c r="T296" s="153">
        <f>+VLOOKUP($L296,Data_Validation!$A:$D,1,0)</f>
        <v>6129</v>
      </c>
      <c r="U296" s="153" t="str">
        <f>+VLOOKUP($L296,Data_Validation!$A:$D,3,0)</f>
        <v>Véhicules neufs</v>
      </c>
      <c r="V296" s="153" t="str">
        <f>+VLOOKUP($L296,Data_Validation!$A:$D,4,0)</f>
        <v>Salaires en absences</v>
      </c>
      <c r="W296" s="153" t="str">
        <f>+VLOOKUP($L296,Data_Validation!$A:$E,5,0)</f>
        <v>$</v>
      </c>
      <c r="X296" s="153">
        <f>+VLOOKUP($L296,Data_Validation!$A:$F,6,0)</f>
        <v>0</v>
      </c>
    </row>
    <row r="297" spans="1:24" ht="15.75" customHeight="1">
      <c r="A297" s="1236" t="s">
        <v>1249</v>
      </c>
      <c r="B297" s="1237">
        <v>6131</v>
      </c>
      <c r="C297" s="1239">
        <v>15339.81</v>
      </c>
      <c r="D297" s="1239">
        <v>2048.21</v>
      </c>
      <c r="E297" s="1239">
        <v>17388.02</v>
      </c>
      <c r="F297" s="1236" t="s">
        <v>398</v>
      </c>
      <c r="G297" s="1236" t="s">
        <v>2577</v>
      </c>
      <c r="H297" s="1241"/>
      <c r="I297" s="1242"/>
      <c r="J297" s="1242"/>
      <c r="K297" s="1242"/>
      <c r="L297" s="150">
        <f t="shared" si="18"/>
        <v>6131</v>
      </c>
      <c r="M297" s="151" t="str">
        <f t="shared" si="19"/>
        <v>CSST</v>
      </c>
      <c r="N297" s="152">
        <f>+IF(OR($Q297=Parametres!$G$2,$Q297=Parametres!$G$3),I297,C297)</f>
        <v>15339.81</v>
      </c>
      <c r="O297" s="152">
        <f>+IF(OR($Q297=Parametres!$G$2,$Q297=Parametres!$G$3),J297,D297)</f>
        <v>2048.21</v>
      </c>
      <c r="P297" s="152">
        <f>+IF(OR($Q297=Parametres!$G$2,$Q297=Parametres!$G$3),K297,E297)</f>
        <v>17388.02</v>
      </c>
      <c r="Q297" s="151" t="str">
        <f t="shared" si="22"/>
        <v>7-Dépenses</v>
      </c>
      <c r="R297" s="150" t="str">
        <f t="shared" si="22"/>
        <v>6131</v>
      </c>
      <c r="S297" s="151">
        <f t="shared" si="22"/>
        <v>0</v>
      </c>
      <c r="T297" s="153">
        <f>+VLOOKUP($L297,Data_Validation!$A:$D,1,0)</f>
        <v>6131</v>
      </c>
      <c r="U297" s="153" t="str">
        <f>+VLOOKUP($L297,Data_Validation!$A:$D,3,0)</f>
        <v>Véhicules neufs</v>
      </c>
      <c r="V297" s="153" t="str">
        <f>+VLOOKUP($L297,Data_Validation!$A:$D,4,0)</f>
        <v>Csst</v>
      </c>
      <c r="W297" s="153" t="str">
        <f>+VLOOKUP($L297,Data_Validation!$A:$E,5,0)</f>
        <v>$</v>
      </c>
      <c r="X297" s="153">
        <f>+VLOOKUP($L297,Data_Validation!$A:$F,6,0)</f>
        <v>0</v>
      </c>
    </row>
    <row r="298" spans="1:24" ht="15" customHeight="1">
      <c r="A298" s="1236" t="s">
        <v>1280</v>
      </c>
      <c r="B298" s="1237">
        <v>6132</v>
      </c>
      <c r="C298" s="1239">
        <v>38038.81</v>
      </c>
      <c r="D298" s="1239">
        <v>12289.25</v>
      </c>
      <c r="E298" s="1239">
        <v>50328.06</v>
      </c>
      <c r="F298" s="1236" t="s">
        <v>398</v>
      </c>
      <c r="G298" s="1236" t="s">
        <v>2676</v>
      </c>
      <c r="H298" s="1241"/>
      <c r="I298" s="1242"/>
      <c r="J298" s="1242"/>
      <c r="K298" s="1242"/>
      <c r="L298" s="150">
        <f t="shared" si="18"/>
        <v>6132</v>
      </c>
      <c r="M298" s="151" t="str">
        <f t="shared" si="19"/>
        <v>RRQ RAMQ AC</v>
      </c>
      <c r="N298" s="152">
        <f>+IF(OR($Q298=Parametres!$G$2,$Q298=Parametres!$G$3),I298,C298)</f>
        <v>38038.81</v>
      </c>
      <c r="O298" s="152">
        <f>+IF(OR($Q298=Parametres!$G$2,$Q298=Parametres!$G$3),J298,D298)</f>
        <v>12289.25</v>
      </c>
      <c r="P298" s="152">
        <f>+IF(OR($Q298=Parametres!$G$2,$Q298=Parametres!$G$3),K298,E298)</f>
        <v>50328.06</v>
      </c>
      <c r="Q298" s="151" t="str">
        <f t="shared" si="22"/>
        <v>7-Dépenses</v>
      </c>
      <c r="R298" s="150" t="str">
        <f t="shared" si="22"/>
        <v>6132</v>
      </c>
      <c r="S298" s="151">
        <f t="shared" si="22"/>
        <v>0</v>
      </c>
      <c r="T298" s="153">
        <f>+VLOOKUP($L298,Data_Validation!$A:$D,1,0)</f>
        <v>6132</v>
      </c>
      <c r="U298" s="153" t="str">
        <f>+VLOOKUP($L298,Data_Validation!$A:$D,3,0)</f>
        <v>Véhicules neufs</v>
      </c>
      <c r="V298" s="153" t="str">
        <f>+VLOOKUP($L298,Data_Validation!$A:$D,4,0)</f>
        <v>Déduction à la source</v>
      </c>
      <c r="W298" s="153" t="str">
        <f>+VLOOKUP($L298,Data_Validation!$A:$E,5,0)</f>
        <v>$</v>
      </c>
      <c r="X298" s="153">
        <f>+VLOOKUP($L298,Data_Validation!$A:$F,6,0)</f>
        <v>0</v>
      </c>
    </row>
    <row r="299" spans="1:24" ht="15" customHeight="1">
      <c r="A299" s="1236" t="s">
        <v>1411</v>
      </c>
      <c r="B299" s="1237">
        <v>6139</v>
      </c>
      <c r="C299" s="1239">
        <v>27261.14</v>
      </c>
      <c r="D299" s="1239">
        <v>8807.2900000000009</v>
      </c>
      <c r="E299" s="1239">
        <v>36068.43</v>
      </c>
      <c r="F299" s="1236" t="s">
        <v>398</v>
      </c>
      <c r="G299" s="1236" t="s">
        <v>2685</v>
      </c>
      <c r="H299" s="1241"/>
      <c r="I299" s="1242"/>
      <c r="J299" s="1242"/>
      <c r="K299" s="1242"/>
      <c r="L299" s="150">
        <f t="shared" si="18"/>
        <v>6139</v>
      </c>
      <c r="M299" s="151" t="str">
        <f t="shared" si="19"/>
        <v>ASSURANCE GROUPS</v>
      </c>
      <c r="N299" s="152">
        <f>+IF(OR($Q299=Parametres!$G$2,$Q299=Parametres!$G$3),I299,C299)</f>
        <v>27261.14</v>
      </c>
      <c r="O299" s="152">
        <f>+IF(OR($Q299=Parametres!$G$2,$Q299=Parametres!$G$3),J299,D299)</f>
        <v>8807.2900000000009</v>
      </c>
      <c r="P299" s="152">
        <f>+IF(OR($Q299=Parametres!$G$2,$Q299=Parametres!$G$3),K299,E299)</f>
        <v>36068.43</v>
      </c>
      <c r="Q299" s="151" t="str">
        <f t="shared" si="22"/>
        <v>7-Dépenses</v>
      </c>
      <c r="R299" s="150" t="str">
        <f t="shared" si="22"/>
        <v>6139</v>
      </c>
      <c r="S299" s="151">
        <f t="shared" si="22"/>
        <v>0</v>
      </c>
      <c r="T299" s="153">
        <f>+VLOOKUP($L299,Data_Validation!$A:$D,1,0)</f>
        <v>6139</v>
      </c>
      <c r="U299" s="153" t="str">
        <f>+VLOOKUP($L299,Data_Validation!$A:$D,3,0)</f>
        <v>Véhicules neufs</v>
      </c>
      <c r="V299" s="153" t="str">
        <f>+VLOOKUP($L299,Data_Validation!$A:$D,4,0)</f>
        <v>Bénéfices marginaux</v>
      </c>
      <c r="W299" s="153" t="str">
        <f>+VLOOKUP($L299,Data_Validation!$A:$E,5,0)</f>
        <v>$</v>
      </c>
      <c r="X299" s="153">
        <f>+VLOOKUP($L299,Data_Validation!$A:$F,6,0)</f>
        <v>0</v>
      </c>
    </row>
    <row r="300" spans="1:24" ht="15" customHeight="1">
      <c r="A300" s="1236" t="s">
        <v>1154</v>
      </c>
      <c r="B300" s="1237">
        <v>6142</v>
      </c>
      <c r="C300" s="1239">
        <v>477.01</v>
      </c>
      <c r="D300" s="1239">
        <v>74.930000000000007</v>
      </c>
      <c r="E300" s="1239">
        <v>551.94000000000005</v>
      </c>
      <c r="F300" s="1236" t="s">
        <v>398</v>
      </c>
      <c r="G300" s="1236" t="s">
        <v>2554</v>
      </c>
      <c r="H300" s="1241"/>
      <c r="I300" s="1242"/>
      <c r="J300" s="1242"/>
      <c r="K300" s="1242"/>
      <c r="L300" s="150">
        <f t="shared" si="18"/>
        <v>6142</v>
      </c>
      <c r="M300" s="151" t="str">
        <f t="shared" si="19"/>
        <v>FOURNITURES &amp; PETITS OUTILS</v>
      </c>
      <c r="N300" s="152">
        <f>+IF(OR($Q300=Parametres!$G$2,$Q300=Parametres!$G$3),I300,C300)</f>
        <v>477.01</v>
      </c>
      <c r="O300" s="152">
        <f>+IF(OR($Q300=Parametres!$G$2,$Q300=Parametres!$G$3),J300,D300)</f>
        <v>74.930000000000007</v>
      </c>
      <c r="P300" s="152">
        <f>+IF(OR($Q300=Parametres!$G$2,$Q300=Parametres!$G$3),K300,E300)</f>
        <v>551.94000000000005</v>
      </c>
      <c r="Q300" s="151" t="str">
        <f t="shared" si="22"/>
        <v>7-Dépenses</v>
      </c>
      <c r="R300" s="150" t="str">
        <f t="shared" si="22"/>
        <v>6142</v>
      </c>
      <c r="S300" s="151">
        <f t="shared" si="22"/>
        <v>0</v>
      </c>
      <c r="T300" s="153">
        <f>+VLOOKUP($L300,Data_Validation!$A:$D,1,0)</f>
        <v>6142</v>
      </c>
      <c r="U300" s="153" t="str">
        <f>+VLOOKUP($L300,Data_Validation!$A:$D,3,0)</f>
        <v>Véhicules neufs</v>
      </c>
      <c r="V300" s="153" t="str">
        <f>+VLOOKUP($L300,Data_Validation!$A:$D,4,0)</f>
        <v>Fournitures autres</v>
      </c>
      <c r="W300" s="153" t="str">
        <f>+VLOOKUP($L300,Data_Validation!$A:$E,5,0)</f>
        <v>$</v>
      </c>
      <c r="X300" s="153">
        <f>+VLOOKUP($L300,Data_Validation!$A:$F,6,0)</f>
        <v>0</v>
      </c>
    </row>
    <row r="301" spans="1:24" ht="15.75" customHeight="1">
      <c r="A301" s="1236" t="s">
        <v>931</v>
      </c>
      <c r="B301" s="1237">
        <v>6144</v>
      </c>
      <c r="C301" s="1239">
        <v>2093.3200000000002</v>
      </c>
      <c r="D301" s="1239">
        <v>843.33</v>
      </c>
      <c r="E301" s="1239">
        <v>2936.65</v>
      </c>
      <c r="F301" s="1236" t="s">
        <v>398</v>
      </c>
      <c r="G301" s="1236" t="s">
        <v>2552</v>
      </c>
      <c r="H301" s="1241"/>
      <c r="I301" s="1242"/>
      <c r="J301" s="1242"/>
      <c r="K301" s="1242"/>
      <c r="L301" s="150">
        <f t="shared" si="18"/>
        <v>6144</v>
      </c>
      <c r="M301" s="151" t="str">
        <f t="shared" si="19"/>
        <v>FORMATION</v>
      </c>
      <c r="N301" s="152">
        <f>+IF(OR($Q301=Parametres!$G$2,$Q301=Parametres!$G$3),I301,C301)</f>
        <v>2093.3200000000002</v>
      </c>
      <c r="O301" s="152">
        <f>+IF(OR($Q301=Parametres!$G$2,$Q301=Parametres!$G$3),J301,D301)</f>
        <v>843.33</v>
      </c>
      <c r="P301" s="152">
        <f>+IF(OR($Q301=Parametres!$G$2,$Q301=Parametres!$G$3),K301,E301)</f>
        <v>2936.65</v>
      </c>
      <c r="Q301" s="151" t="str">
        <f t="shared" si="22"/>
        <v>7-Dépenses</v>
      </c>
      <c r="R301" s="150" t="str">
        <f t="shared" si="22"/>
        <v>6144</v>
      </c>
      <c r="S301" s="151">
        <f t="shared" si="22"/>
        <v>0</v>
      </c>
      <c r="T301" s="153">
        <f>+VLOOKUP($L301,Data_Validation!$A:$D,1,0)</f>
        <v>6144</v>
      </c>
      <c r="U301" s="153" t="str">
        <f>+VLOOKUP($L301,Data_Validation!$A:$D,3,0)</f>
        <v>Véhicules neufs</v>
      </c>
      <c r="V301" s="153" t="str">
        <f>+VLOOKUP($L301,Data_Validation!$A:$D,4,0)</f>
        <v>Formation</v>
      </c>
      <c r="W301" s="153" t="str">
        <f>+VLOOKUP($L301,Data_Validation!$A:$E,5,0)</f>
        <v>$</v>
      </c>
      <c r="X301" s="153">
        <f>+VLOOKUP($L301,Data_Validation!$A:$F,6,0)</f>
        <v>0</v>
      </c>
    </row>
    <row r="302" spans="1:24" ht="15" customHeight="1">
      <c r="A302" s="1236" t="s">
        <v>1183</v>
      </c>
      <c r="B302" s="1237">
        <v>6145</v>
      </c>
      <c r="C302" s="1239">
        <v>21677.67</v>
      </c>
      <c r="D302" s="1239">
        <v>6376</v>
      </c>
      <c r="E302" s="1239">
        <v>28053.67</v>
      </c>
      <c r="F302" s="1236" t="s">
        <v>398</v>
      </c>
      <c r="G302" s="1236" t="s">
        <v>2623</v>
      </c>
      <c r="H302" s="1241"/>
      <c r="I302" s="1242"/>
      <c r="J302" s="1242"/>
      <c r="K302" s="1242"/>
      <c r="L302" s="150">
        <f t="shared" si="18"/>
        <v>6145</v>
      </c>
      <c r="M302" s="151" t="str">
        <f t="shared" si="19"/>
        <v>VEHICULE DE COMPAGNIE - DEPENS</v>
      </c>
      <c r="N302" s="152">
        <f>+IF(OR($Q302=Parametres!$G$2,$Q302=Parametres!$G$3),I302,C302)</f>
        <v>21677.67</v>
      </c>
      <c r="O302" s="152">
        <f>+IF(OR($Q302=Parametres!$G$2,$Q302=Parametres!$G$3),J302,D302)</f>
        <v>6376</v>
      </c>
      <c r="P302" s="152">
        <f>+IF(OR($Q302=Parametres!$G$2,$Q302=Parametres!$G$3),K302,E302)</f>
        <v>28053.67</v>
      </c>
      <c r="Q302" s="151" t="str">
        <f t="shared" si="22"/>
        <v>7-Dépenses</v>
      </c>
      <c r="R302" s="150" t="str">
        <f t="shared" si="22"/>
        <v>6145</v>
      </c>
      <c r="S302" s="151">
        <f t="shared" si="22"/>
        <v>0</v>
      </c>
      <c r="T302" s="153">
        <f>+VLOOKUP($L302,Data_Validation!$A:$D,1,0)</f>
        <v>6145</v>
      </c>
      <c r="U302" s="153" t="str">
        <f>+VLOOKUP($L302,Data_Validation!$A:$D,3,0)</f>
        <v>Véhicules neufs</v>
      </c>
      <c r="V302" s="153" t="str">
        <f>+VLOOKUP($L302,Data_Validation!$A:$D,4,0)</f>
        <v>Frais véhicules de cie</v>
      </c>
      <c r="W302" s="153" t="str">
        <f>+VLOOKUP($L302,Data_Validation!$A:$E,5,0)</f>
        <v>$</v>
      </c>
      <c r="X302" s="153">
        <f>+VLOOKUP($L302,Data_Validation!$A:$F,6,0)</f>
        <v>0</v>
      </c>
    </row>
    <row r="303" spans="1:24" ht="15" customHeight="1">
      <c r="A303" s="1236" t="s">
        <v>1177</v>
      </c>
      <c r="B303" s="1237">
        <v>6147</v>
      </c>
      <c r="C303" s="1239">
        <v>414.5</v>
      </c>
      <c r="D303" s="1239">
        <v>162.85</v>
      </c>
      <c r="E303" s="1239">
        <v>577.35</v>
      </c>
      <c r="F303" s="1236" t="s">
        <v>398</v>
      </c>
      <c r="G303" s="1236" t="s">
        <v>2572</v>
      </c>
      <c r="H303" s="1241"/>
      <c r="I303" s="1242"/>
      <c r="J303" s="1242"/>
      <c r="K303" s="1242"/>
      <c r="L303" s="150">
        <f t="shared" si="18"/>
        <v>6147</v>
      </c>
      <c r="M303" s="151" t="str">
        <f t="shared" si="19"/>
        <v>FRET/EXPRESS/TRANS. PAR CAMION</v>
      </c>
      <c r="N303" s="152">
        <f>+IF(OR($Q303=Parametres!$G$2,$Q303=Parametres!$G$3),I303,C303)</f>
        <v>414.5</v>
      </c>
      <c r="O303" s="152">
        <f>+IF(OR($Q303=Parametres!$G$2,$Q303=Parametres!$G$3),J303,D303)</f>
        <v>162.85</v>
      </c>
      <c r="P303" s="152">
        <f>+IF(OR($Q303=Parametres!$G$2,$Q303=Parametres!$G$3),K303,E303)</f>
        <v>577.35</v>
      </c>
      <c r="Q303" s="151" t="str">
        <f t="shared" si="22"/>
        <v>7-Dépenses</v>
      </c>
      <c r="R303" s="150" t="str">
        <f t="shared" si="22"/>
        <v>6147</v>
      </c>
      <c r="S303" s="151">
        <f t="shared" si="22"/>
        <v>0</v>
      </c>
      <c r="T303" s="153">
        <f>+VLOOKUP($L303,Data_Validation!$A:$D,1,0)</f>
        <v>6147</v>
      </c>
      <c r="U303" s="153" t="str">
        <f>+VLOOKUP($L303,Data_Validation!$A:$D,3,0)</f>
        <v>Véhicules neufs</v>
      </c>
      <c r="V303" s="153" t="str">
        <f>+VLOOKUP($L303,Data_Validation!$A:$D,4,0)</f>
        <v>Frais postaux</v>
      </c>
      <c r="W303" s="153" t="str">
        <f>+VLOOKUP($L303,Data_Validation!$A:$E,5,0)</f>
        <v>$</v>
      </c>
      <c r="X303" s="153">
        <f>+VLOOKUP($L303,Data_Validation!$A:$F,6,0)</f>
        <v>0</v>
      </c>
    </row>
    <row r="304" spans="1:24" ht="15" customHeight="1">
      <c r="A304" s="1236" t="s">
        <v>1283</v>
      </c>
      <c r="B304" s="1237">
        <v>6151</v>
      </c>
      <c r="C304" s="1239">
        <v>22050.69</v>
      </c>
      <c r="D304" s="1239">
        <v>6391.27</v>
      </c>
      <c r="E304" s="1239">
        <v>28441.96</v>
      </c>
      <c r="F304" s="1236" t="s">
        <v>398</v>
      </c>
      <c r="G304" s="1236" t="s">
        <v>2693</v>
      </c>
      <c r="H304" s="1241"/>
      <c r="I304" s="1242"/>
      <c r="J304" s="1242"/>
      <c r="K304" s="1242"/>
      <c r="L304" s="150">
        <f t="shared" si="18"/>
        <v>6151</v>
      </c>
      <c r="M304" s="151" t="str">
        <f t="shared" si="19"/>
        <v>DEP. DU TRAITEMENT DES DONNEES</v>
      </c>
      <c r="N304" s="152">
        <f>+IF(OR($Q304=Parametres!$G$2,$Q304=Parametres!$G$3),I304,C304)</f>
        <v>22050.69</v>
      </c>
      <c r="O304" s="152">
        <f>+IF(OR($Q304=Parametres!$G$2,$Q304=Parametres!$G$3),J304,D304)</f>
        <v>6391.27</v>
      </c>
      <c r="P304" s="152">
        <f>+IF(OR($Q304=Parametres!$G$2,$Q304=Parametres!$G$3),K304,E304)</f>
        <v>28441.96</v>
      </c>
      <c r="Q304" s="151" t="str">
        <f t="shared" si="22"/>
        <v>7-Dépenses</v>
      </c>
      <c r="R304" s="150" t="str">
        <f t="shared" si="22"/>
        <v>6151</v>
      </c>
      <c r="S304" s="151">
        <f t="shared" si="22"/>
        <v>0</v>
      </c>
      <c r="T304" s="153">
        <f>+VLOOKUP($L304,Data_Validation!$A:$D,1,0)</f>
        <v>6151</v>
      </c>
      <c r="U304" s="153" t="str">
        <f>+VLOOKUP($L304,Data_Validation!$A:$D,3,0)</f>
        <v>Véhicules neufs</v>
      </c>
      <c r="V304" s="153" t="str">
        <f>+VLOOKUP($L304,Data_Validation!$A:$D,4,0)</f>
        <v>Informatique</v>
      </c>
      <c r="W304" s="153" t="str">
        <f>+VLOOKUP($L304,Data_Validation!$A:$E,5,0)</f>
        <v>$</v>
      </c>
      <c r="X304" s="153">
        <f>+VLOOKUP($L304,Data_Validation!$A:$F,6,0)</f>
        <v>0</v>
      </c>
    </row>
    <row r="305" spans="1:24" ht="15.75" customHeight="1">
      <c r="A305" s="1236" t="s">
        <v>1203</v>
      </c>
      <c r="B305" s="1237">
        <v>6152</v>
      </c>
      <c r="C305" s="1239">
        <v>1973.18</v>
      </c>
      <c r="D305" s="1239">
        <v>755.68</v>
      </c>
      <c r="E305" s="1239">
        <v>2728.86</v>
      </c>
      <c r="F305" s="1236" t="s">
        <v>398</v>
      </c>
      <c r="G305" s="1236" t="s">
        <v>2579</v>
      </c>
      <c r="H305" s="1241"/>
      <c r="I305" s="1242"/>
      <c r="J305" s="1242"/>
      <c r="K305" s="1242"/>
      <c r="L305" s="150">
        <f t="shared" si="18"/>
        <v>6152</v>
      </c>
      <c r="M305" s="151" t="str">
        <f t="shared" si="19"/>
        <v>PAPETERIE</v>
      </c>
      <c r="N305" s="152">
        <f>+IF(OR($Q305=Parametres!$G$2,$Q305=Parametres!$G$3),I305,C305)</f>
        <v>1973.18</v>
      </c>
      <c r="O305" s="152">
        <f>+IF(OR($Q305=Parametres!$G$2,$Q305=Parametres!$G$3),J305,D305)</f>
        <v>755.68</v>
      </c>
      <c r="P305" s="152">
        <f>+IF(OR($Q305=Parametres!$G$2,$Q305=Parametres!$G$3),K305,E305)</f>
        <v>2728.86</v>
      </c>
      <c r="Q305" s="151" t="str">
        <f t="shared" si="22"/>
        <v>7-Dépenses</v>
      </c>
      <c r="R305" s="150" t="str">
        <f t="shared" si="22"/>
        <v>6152</v>
      </c>
      <c r="S305" s="151">
        <f t="shared" si="22"/>
        <v>0</v>
      </c>
      <c r="T305" s="153">
        <f>+VLOOKUP($L305,Data_Validation!$A:$D,1,0)</f>
        <v>6152</v>
      </c>
      <c r="U305" s="153" t="str">
        <f>+VLOOKUP($L305,Data_Validation!$A:$D,3,0)</f>
        <v>Véhicules neufs</v>
      </c>
      <c r="V305" s="153" t="str">
        <f>+VLOOKUP($L305,Data_Validation!$A:$D,4,0)</f>
        <v>Papeterie</v>
      </c>
      <c r="W305" s="153" t="str">
        <f>+VLOOKUP($L305,Data_Validation!$A:$E,5,0)</f>
        <v>$</v>
      </c>
      <c r="X305" s="153">
        <f>+VLOOKUP($L305,Data_Validation!$A:$F,6,0)</f>
        <v>0</v>
      </c>
    </row>
    <row r="306" spans="1:24" ht="15" customHeight="1">
      <c r="A306" s="1236" t="s">
        <v>1151</v>
      </c>
      <c r="B306" s="1237">
        <v>6153</v>
      </c>
      <c r="C306" s="1239">
        <v>1287.21</v>
      </c>
      <c r="D306" s="1239">
        <v>257.26</v>
      </c>
      <c r="E306" s="1239">
        <v>1544.47</v>
      </c>
      <c r="F306" s="1236" t="s">
        <v>398</v>
      </c>
      <c r="G306" s="1236" t="s">
        <v>2583</v>
      </c>
      <c r="H306" s="1241"/>
      <c r="I306" s="1242"/>
      <c r="J306" s="1242"/>
      <c r="K306" s="1242"/>
      <c r="L306" s="150">
        <f t="shared" si="18"/>
        <v>6153</v>
      </c>
      <c r="M306" s="151" t="str">
        <f t="shared" si="19"/>
        <v>TELEPHONE ET TELEX</v>
      </c>
      <c r="N306" s="152">
        <f>+IF(OR($Q306=Parametres!$G$2,$Q306=Parametres!$G$3),I306,C306)</f>
        <v>1287.21</v>
      </c>
      <c r="O306" s="152">
        <f>+IF(OR($Q306=Parametres!$G$2,$Q306=Parametres!$G$3),J306,D306)</f>
        <v>257.26</v>
      </c>
      <c r="P306" s="152">
        <f>+IF(OR($Q306=Parametres!$G$2,$Q306=Parametres!$G$3),K306,E306)</f>
        <v>1544.47</v>
      </c>
      <c r="Q306" s="151" t="str">
        <f t="shared" ref="Q306:S321" si="23">+F306</f>
        <v>7-Dépenses</v>
      </c>
      <c r="R306" s="150" t="str">
        <f t="shared" si="23"/>
        <v>6153</v>
      </c>
      <c r="S306" s="151">
        <f t="shared" si="23"/>
        <v>0</v>
      </c>
      <c r="T306" s="153">
        <f>+VLOOKUP($L306,Data_Validation!$A:$D,1,0)</f>
        <v>6153</v>
      </c>
      <c r="U306" s="153" t="str">
        <f>+VLOOKUP($L306,Data_Validation!$A:$D,3,0)</f>
        <v>Véhicules neufs</v>
      </c>
      <c r="V306" s="153" t="str">
        <f>+VLOOKUP($L306,Data_Validation!$A:$D,4,0)</f>
        <v>Téléphone</v>
      </c>
      <c r="W306" s="153" t="str">
        <f>+VLOOKUP($L306,Data_Validation!$A:$E,5,0)</f>
        <v>$</v>
      </c>
      <c r="X306" s="153">
        <f>+VLOOKUP($L306,Data_Validation!$A:$F,6,0)</f>
        <v>0</v>
      </c>
    </row>
    <row r="307" spans="1:24" ht="15" customHeight="1">
      <c r="A307" s="1236" t="s">
        <v>1234</v>
      </c>
      <c r="B307" s="1237">
        <v>6155</v>
      </c>
      <c r="C307" s="1239">
        <v>4343.8999999999996</v>
      </c>
      <c r="D307" s="1239">
        <v>1198.42</v>
      </c>
      <c r="E307" s="1239">
        <v>5542.32</v>
      </c>
      <c r="F307" s="1236" t="s">
        <v>398</v>
      </c>
      <c r="G307" s="1236" t="s">
        <v>2628</v>
      </c>
      <c r="H307" s="1241"/>
      <c r="I307" s="1242"/>
      <c r="J307" s="1242"/>
      <c r="K307" s="1242"/>
      <c r="L307" s="150">
        <f t="shared" si="18"/>
        <v>6155</v>
      </c>
      <c r="M307" s="151" t="str">
        <f t="shared" si="19"/>
        <v>DEPENSES DIVERS</v>
      </c>
      <c r="N307" s="152">
        <f>+IF(OR($Q307=Parametres!$G$2,$Q307=Parametres!$G$3),I307,C307)</f>
        <v>4343.8999999999996</v>
      </c>
      <c r="O307" s="152">
        <f>+IF(OR($Q307=Parametres!$G$2,$Q307=Parametres!$G$3),J307,D307)</f>
        <v>1198.42</v>
      </c>
      <c r="P307" s="152">
        <f>+IF(OR($Q307=Parametres!$G$2,$Q307=Parametres!$G$3),K307,E307)</f>
        <v>5542.32</v>
      </c>
      <c r="Q307" s="151" t="str">
        <f t="shared" si="23"/>
        <v>7-Dépenses</v>
      </c>
      <c r="R307" s="150" t="str">
        <f t="shared" si="23"/>
        <v>6155</v>
      </c>
      <c r="S307" s="151">
        <f t="shared" si="23"/>
        <v>0</v>
      </c>
      <c r="T307" s="153">
        <f>+VLOOKUP($L307,Data_Validation!$A:$D,1,0)</f>
        <v>6155</v>
      </c>
      <c r="U307" s="153" t="str">
        <f>+VLOOKUP($L307,Data_Validation!$A:$D,3,0)</f>
        <v>Véhicules neufs</v>
      </c>
      <c r="V307" s="153" t="str">
        <f>+VLOOKUP($L307,Data_Validation!$A:$D,4,0)</f>
        <v>Divers</v>
      </c>
      <c r="W307" s="153" t="str">
        <f>+VLOOKUP($L307,Data_Validation!$A:$E,5,0)</f>
        <v>$</v>
      </c>
      <c r="X307" s="153">
        <f>+VLOOKUP($L307,Data_Validation!$A:$F,6,0)</f>
        <v>0</v>
      </c>
    </row>
    <row r="308" spans="1:24" ht="15" customHeight="1">
      <c r="A308" s="1236" t="s">
        <v>1312</v>
      </c>
      <c r="B308" s="1237">
        <v>6156</v>
      </c>
      <c r="C308" s="1239">
        <v>968.23</v>
      </c>
      <c r="D308" s="1239">
        <v>612.46</v>
      </c>
      <c r="E308" s="1239">
        <v>1580.69</v>
      </c>
      <c r="F308" s="1236" t="s">
        <v>398</v>
      </c>
      <c r="G308" s="1236" t="s">
        <v>2461</v>
      </c>
      <c r="H308" s="1241"/>
      <c r="I308" s="1242"/>
      <c r="J308" s="1242"/>
      <c r="K308" s="1242"/>
      <c r="L308" s="150">
        <f t="shared" si="18"/>
        <v>6156</v>
      </c>
      <c r="M308" s="151" t="str">
        <f t="shared" si="19"/>
        <v>FRAIS REPRESENTATION - NEUF</v>
      </c>
      <c r="N308" s="152">
        <f>+IF(OR($Q308=Parametres!$G$2,$Q308=Parametres!$G$3),I308,C308)</f>
        <v>968.23</v>
      </c>
      <c r="O308" s="152">
        <f>+IF(OR($Q308=Parametres!$G$2,$Q308=Parametres!$G$3),J308,D308)</f>
        <v>612.46</v>
      </c>
      <c r="P308" s="152">
        <f>+IF(OR($Q308=Parametres!$G$2,$Q308=Parametres!$G$3),K308,E308)</f>
        <v>1580.69</v>
      </c>
      <c r="Q308" s="151" t="str">
        <f t="shared" si="23"/>
        <v>7-Dépenses</v>
      </c>
      <c r="R308" s="150" t="str">
        <f t="shared" si="23"/>
        <v>6156</v>
      </c>
      <c r="S308" s="151">
        <f t="shared" si="23"/>
        <v>0</v>
      </c>
      <c r="T308" s="153">
        <f>+VLOOKUP($L308,Data_Validation!$A:$D,1,0)</f>
        <v>6156</v>
      </c>
      <c r="U308" s="153" t="str">
        <f>+VLOOKUP($L308,Data_Validation!$A:$D,3,0)</f>
        <v>Véhicules neufs</v>
      </c>
      <c r="V308" s="153" t="str">
        <f>+VLOOKUP($L308,Data_Validation!$A:$D,4,0)</f>
        <v>Frais de déplacement</v>
      </c>
      <c r="W308" s="153" t="str">
        <f>+VLOOKUP($L308,Data_Validation!$A:$E,5,0)</f>
        <v>$</v>
      </c>
      <c r="X308" s="153">
        <f>+VLOOKUP($L308,Data_Validation!$A:$F,6,0)</f>
        <v>0</v>
      </c>
    </row>
    <row r="309" spans="1:24" ht="15.75" customHeight="1">
      <c r="A309" s="1236" t="s">
        <v>1305</v>
      </c>
      <c r="B309" s="1237">
        <v>6159</v>
      </c>
      <c r="C309" s="1239">
        <v>30020.83</v>
      </c>
      <c r="D309" s="1239">
        <v>7206.23</v>
      </c>
      <c r="E309" s="1239">
        <v>37227.06</v>
      </c>
      <c r="F309" s="1236" t="s">
        <v>398</v>
      </c>
      <c r="G309" s="1236" t="s">
        <v>2653</v>
      </c>
      <c r="H309" s="1241"/>
      <c r="I309" s="1242"/>
      <c r="J309" s="1242"/>
      <c r="K309" s="1242"/>
      <c r="L309" s="150">
        <f t="shared" si="18"/>
        <v>6159</v>
      </c>
      <c r="M309" s="151" t="str">
        <f t="shared" si="19"/>
        <v>SERVICE EXTERIEUR</v>
      </c>
      <c r="N309" s="152">
        <f>+IF(OR($Q309=Parametres!$G$2,$Q309=Parametres!$G$3),I309,C309)</f>
        <v>30020.83</v>
      </c>
      <c r="O309" s="152">
        <f>+IF(OR($Q309=Parametres!$G$2,$Q309=Parametres!$G$3),J309,D309)</f>
        <v>7206.23</v>
      </c>
      <c r="P309" s="152">
        <f>+IF(OR($Q309=Parametres!$G$2,$Q309=Parametres!$G$3),K309,E309)</f>
        <v>37227.06</v>
      </c>
      <c r="Q309" s="151" t="str">
        <f t="shared" si="23"/>
        <v>7-Dépenses</v>
      </c>
      <c r="R309" s="150" t="str">
        <f t="shared" si="23"/>
        <v>6159</v>
      </c>
      <c r="S309" s="151">
        <f t="shared" si="23"/>
        <v>0</v>
      </c>
      <c r="T309" s="153">
        <f>+VLOOKUP($L309,Data_Validation!$A:$D,1,0)</f>
        <v>6159</v>
      </c>
      <c r="U309" s="153" t="str">
        <f>+VLOOKUP($L309,Data_Validation!$A:$D,3,0)</f>
        <v>Véhicules neufs</v>
      </c>
      <c r="V309" s="153" t="str">
        <f>+VLOOKUP($L309,Data_Validation!$A:$D,4,0)</f>
        <v>Services extérieurs</v>
      </c>
      <c r="W309" s="153" t="str">
        <f>+VLOOKUP($L309,Data_Validation!$A:$E,5,0)</f>
        <v>$</v>
      </c>
      <c r="X309" s="153">
        <f>+VLOOKUP($L309,Data_Validation!$A:$F,6,0)</f>
        <v>0</v>
      </c>
    </row>
    <row r="310" spans="1:24" ht="15" customHeight="1">
      <c r="A310" s="1236" t="s">
        <v>1330</v>
      </c>
      <c r="B310" s="1237">
        <v>6161</v>
      </c>
      <c r="C310" s="1239">
        <v>11733.76</v>
      </c>
      <c r="D310" s="1239">
        <v>-4576.32</v>
      </c>
      <c r="E310" s="1239">
        <v>7157.44</v>
      </c>
      <c r="F310" s="1236" t="s">
        <v>398</v>
      </c>
      <c r="G310" s="1236" t="s">
        <v>2644</v>
      </c>
      <c r="H310" s="1241"/>
      <c r="I310" s="1242"/>
      <c r="J310" s="1242"/>
      <c r="K310" s="1242"/>
      <c r="L310" s="150">
        <f t="shared" si="18"/>
        <v>6161</v>
      </c>
      <c r="M310" s="151" t="str">
        <f t="shared" si="19"/>
        <v>DEPRECIATION EQUIP. &amp; FIXTURES</v>
      </c>
      <c r="N310" s="152">
        <f>+IF(OR($Q310=Parametres!$G$2,$Q310=Parametres!$G$3),I310,C310)</f>
        <v>11733.76</v>
      </c>
      <c r="O310" s="152">
        <f>+IF(OR($Q310=Parametres!$G$2,$Q310=Parametres!$G$3),J310,D310)</f>
        <v>-4576.32</v>
      </c>
      <c r="P310" s="152">
        <f>+IF(OR($Q310=Parametres!$G$2,$Q310=Parametres!$G$3),K310,E310)</f>
        <v>7157.44</v>
      </c>
      <c r="Q310" s="151" t="str">
        <f t="shared" si="23"/>
        <v>7-Dépenses</v>
      </c>
      <c r="R310" s="150" t="str">
        <f t="shared" si="23"/>
        <v>6161</v>
      </c>
      <c r="S310" s="151">
        <f t="shared" si="23"/>
        <v>0</v>
      </c>
      <c r="T310" s="153">
        <f>+VLOOKUP($L310,Data_Validation!$A:$D,1,0)</f>
        <v>6161</v>
      </c>
      <c r="U310" s="153" t="str">
        <f>+VLOOKUP($L310,Data_Validation!$A:$D,3,0)</f>
        <v>Véhicules neufs</v>
      </c>
      <c r="V310" s="153" t="str">
        <f>+VLOOKUP($L310,Data_Validation!$A:$D,4,0)</f>
        <v>Amortissement</v>
      </c>
      <c r="W310" s="153" t="str">
        <f>+VLOOKUP($L310,Data_Validation!$A:$E,5,0)</f>
        <v>$</v>
      </c>
      <c r="X310" s="153">
        <f>+VLOOKUP($L310,Data_Validation!$A:$F,6,0)</f>
        <v>0</v>
      </c>
    </row>
    <row r="311" spans="1:24" ht="15" customHeight="1">
      <c r="A311" s="1236" t="s">
        <v>1329</v>
      </c>
      <c r="B311" s="1237">
        <v>6181</v>
      </c>
      <c r="C311" s="1239">
        <v>3211.86</v>
      </c>
      <c r="D311" s="1239">
        <v>1091.54</v>
      </c>
      <c r="E311" s="1239">
        <v>4303.3999999999996</v>
      </c>
      <c r="F311" s="1236" t="s">
        <v>398</v>
      </c>
      <c r="G311" s="1236" t="s">
        <v>2595</v>
      </c>
      <c r="H311" s="1241"/>
      <c r="I311" s="1242"/>
      <c r="J311" s="1242"/>
      <c r="K311" s="1242"/>
      <c r="L311" s="150">
        <f t="shared" si="18"/>
        <v>6181</v>
      </c>
      <c r="M311" s="151" t="str">
        <f t="shared" si="19"/>
        <v>ELECTRICITE CHAUFFAGE</v>
      </c>
      <c r="N311" s="152">
        <f>+IF(OR($Q311=Parametres!$G$2,$Q311=Parametres!$G$3),I311,C311)</f>
        <v>3211.86</v>
      </c>
      <c r="O311" s="152">
        <f>+IF(OR($Q311=Parametres!$G$2,$Q311=Parametres!$G$3),J311,D311)</f>
        <v>1091.54</v>
      </c>
      <c r="P311" s="152">
        <f>+IF(OR($Q311=Parametres!$G$2,$Q311=Parametres!$G$3),K311,E311)</f>
        <v>4303.3999999999996</v>
      </c>
      <c r="Q311" s="151" t="str">
        <f t="shared" si="23"/>
        <v>7-Dépenses</v>
      </c>
      <c r="R311" s="150" t="str">
        <f t="shared" si="23"/>
        <v>6181</v>
      </c>
      <c r="S311" s="151">
        <f t="shared" si="23"/>
        <v>0</v>
      </c>
      <c r="T311" s="153">
        <f>+VLOOKUP($L311,Data_Validation!$A:$D,1,0)</f>
        <v>6181</v>
      </c>
      <c r="U311" s="153" t="str">
        <f>+VLOOKUP($L311,Data_Validation!$A:$D,3,0)</f>
        <v>Véhicules neufs</v>
      </c>
      <c r="V311" s="153" t="str">
        <f>+VLOOKUP($L311,Data_Validation!$A:$D,4,0)</f>
        <v>Chauffage, éclairage</v>
      </c>
      <c r="W311" s="153" t="str">
        <f>+VLOOKUP($L311,Data_Validation!$A:$E,5,0)</f>
        <v>$</v>
      </c>
      <c r="X311" s="153">
        <f>+VLOOKUP($L311,Data_Validation!$A:$F,6,0)</f>
        <v>0</v>
      </c>
    </row>
    <row r="312" spans="1:24" ht="15" customHeight="1">
      <c r="A312" s="1236" t="s">
        <v>1466</v>
      </c>
      <c r="B312" s="1237">
        <v>6182</v>
      </c>
      <c r="C312" s="1239">
        <v>33280</v>
      </c>
      <c r="D312" s="1239">
        <v>8320</v>
      </c>
      <c r="E312" s="1239">
        <v>41600</v>
      </c>
      <c r="F312" s="1236" t="s">
        <v>398</v>
      </c>
      <c r="G312" s="1236" t="s">
        <v>2700</v>
      </c>
      <c r="H312" s="1241"/>
      <c r="I312" s="1242"/>
      <c r="J312" s="1242"/>
      <c r="K312" s="1242"/>
      <c r="L312" s="150">
        <f t="shared" si="18"/>
        <v>6182</v>
      </c>
      <c r="M312" s="151" t="str">
        <f t="shared" si="19"/>
        <v>LOYER NEUFS</v>
      </c>
      <c r="N312" s="152">
        <f>+IF(OR($Q312=Parametres!$G$2,$Q312=Parametres!$G$3),I312,C312)</f>
        <v>33280</v>
      </c>
      <c r="O312" s="152">
        <f>+IF(OR($Q312=Parametres!$G$2,$Q312=Parametres!$G$3),J312,D312)</f>
        <v>8320</v>
      </c>
      <c r="P312" s="152">
        <f>+IF(OR($Q312=Parametres!$G$2,$Q312=Parametres!$G$3),K312,E312)</f>
        <v>41600</v>
      </c>
      <c r="Q312" s="151" t="str">
        <f t="shared" si="23"/>
        <v>7-Dépenses</v>
      </c>
      <c r="R312" s="150" t="str">
        <f t="shared" si="23"/>
        <v>6182</v>
      </c>
      <c r="S312" s="151">
        <f t="shared" si="23"/>
        <v>0</v>
      </c>
      <c r="T312" s="153">
        <f>+VLOOKUP($L312,Data_Validation!$A:$D,1,0)</f>
        <v>6182</v>
      </c>
      <c r="U312" s="153" t="str">
        <f>+VLOOKUP($L312,Data_Validation!$A:$D,3,0)</f>
        <v>Véhicules neufs</v>
      </c>
      <c r="V312" s="153" t="str">
        <f>+VLOOKUP($L312,Data_Validation!$A:$D,4,0)</f>
        <v>Loyer</v>
      </c>
      <c r="W312" s="153" t="str">
        <f>+VLOOKUP($L312,Data_Validation!$A:$E,5,0)</f>
        <v>$</v>
      </c>
      <c r="X312" s="153">
        <f>+VLOOKUP($L312,Data_Validation!$A:$F,6,0)</f>
        <v>0</v>
      </c>
    </row>
    <row r="313" spans="1:24" ht="15" customHeight="1">
      <c r="A313" s="1236" t="s">
        <v>1363</v>
      </c>
      <c r="B313" s="1237">
        <v>6186</v>
      </c>
      <c r="C313" s="1239">
        <v>4746.3999999999996</v>
      </c>
      <c r="D313" s="1239">
        <v>1186.5999999999999</v>
      </c>
      <c r="E313" s="1239">
        <v>5933</v>
      </c>
      <c r="F313" s="1236" t="s">
        <v>398</v>
      </c>
      <c r="G313" s="1236" t="s">
        <v>2585</v>
      </c>
      <c r="H313" s="1241"/>
      <c r="I313" s="1242"/>
      <c r="J313" s="1242"/>
      <c r="K313" s="1242"/>
      <c r="L313" s="150">
        <f t="shared" si="18"/>
        <v>6186</v>
      </c>
      <c r="M313" s="151" t="str">
        <f t="shared" si="19"/>
        <v>ASSURANCE BATIMENT</v>
      </c>
      <c r="N313" s="152">
        <f>+IF(OR($Q313=Parametres!$G$2,$Q313=Parametres!$G$3),I313,C313)</f>
        <v>4746.3999999999996</v>
      </c>
      <c r="O313" s="152">
        <f>+IF(OR($Q313=Parametres!$G$2,$Q313=Parametres!$G$3),J313,D313)</f>
        <v>1186.5999999999999</v>
      </c>
      <c r="P313" s="152">
        <f>+IF(OR($Q313=Parametres!$G$2,$Q313=Parametres!$G$3),K313,E313)</f>
        <v>5933</v>
      </c>
      <c r="Q313" s="151" t="str">
        <f t="shared" si="23"/>
        <v>7-Dépenses</v>
      </c>
      <c r="R313" s="150" t="str">
        <f t="shared" si="23"/>
        <v>6186</v>
      </c>
      <c r="S313" s="151">
        <f t="shared" si="23"/>
        <v>0</v>
      </c>
      <c r="T313" s="153">
        <f>+VLOOKUP($L313,Data_Validation!$A:$D,1,0)</f>
        <v>6186</v>
      </c>
      <c r="U313" s="153" t="str">
        <f>+VLOOKUP($L313,Data_Validation!$A:$D,3,0)</f>
        <v>Véhicules neufs</v>
      </c>
      <c r="V313" s="153" t="str">
        <f>+VLOOKUP($L313,Data_Validation!$A:$D,4,0)</f>
        <v>Assurances</v>
      </c>
      <c r="W313" s="153" t="str">
        <f>+VLOOKUP($L313,Data_Validation!$A:$E,5,0)</f>
        <v>$</v>
      </c>
      <c r="X313" s="153">
        <f>+VLOOKUP($L313,Data_Validation!$A:$F,6,0)</f>
        <v>0</v>
      </c>
    </row>
    <row r="314" spans="1:24" ht="15" customHeight="1">
      <c r="A314" s="1236" t="s">
        <v>1359</v>
      </c>
      <c r="B314" s="1237">
        <v>6187</v>
      </c>
      <c r="C314" s="1239">
        <v>6156.8</v>
      </c>
      <c r="D314" s="1239">
        <v>1539.2</v>
      </c>
      <c r="E314" s="1239">
        <v>7696</v>
      </c>
      <c r="F314" s="1236" t="s">
        <v>398</v>
      </c>
      <c r="G314" s="1236" t="s">
        <v>2605</v>
      </c>
      <c r="H314" s="1241"/>
      <c r="I314" s="1242"/>
      <c r="J314" s="1242"/>
      <c r="K314" s="1242"/>
      <c r="L314" s="150">
        <f t="shared" si="18"/>
        <v>6187</v>
      </c>
      <c r="M314" s="151" t="str">
        <f t="shared" si="19"/>
        <v>TAXE SUR PROPRIETE</v>
      </c>
      <c r="N314" s="152">
        <f>+IF(OR($Q314=Parametres!$G$2,$Q314=Parametres!$G$3),I314,C314)</f>
        <v>6156.8</v>
      </c>
      <c r="O314" s="152">
        <f>+IF(OR($Q314=Parametres!$G$2,$Q314=Parametres!$G$3),J314,D314)</f>
        <v>1539.2</v>
      </c>
      <c r="P314" s="152">
        <f>+IF(OR($Q314=Parametres!$G$2,$Q314=Parametres!$G$3),K314,E314)</f>
        <v>7696</v>
      </c>
      <c r="Q314" s="151" t="str">
        <f t="shared" si="23"/>
        <v>7-Dépenses</v>
      </c>
      <c r="R314" s="150" t="str">
        <f t="shared" si="23"/>
        <v>6187</v>
      </c>
      <c r="S314" s="151">
        <f t="shared" si="23"/>
        <v>0</v>
      </c>
      <c r="T314" s="153">
        <f>+VLOOKUP($L314,Data_Validation!$A:$D,1,0)</f>
        <v>6187</v>
      </c>
      <c r="U314" s="153" t="str">
        <f>+VLOOKUP($L314,Data_Validation!$A:$D,3,0)</f>
        <v>Véhicules neufs</v>
      </c>
      <c r="V314" s="153" t="str">
        <f>+VLOOKUP($L314,Data_Validation!$A:$D,4,0)</f>
        <v>Taxes foncières</v>
      </c>
      <c r="W314" s="153" t="str">
        <f>+VLOOKUP($L314,Data_Validation!$A:$E,5,0)</f>
        <v>$</v>
      </c>
      <c r="X314" s="153">
        <f>+VLOOKUP($L314,Data_Validation!$A:$F,6,0)</f>
        <v>0</v>
      </c>
    </row>
    <row r="315" spans="1:24" ht="15" customHeight="1">
      <c r="A315" s="1236" t="s">
        <v>1293</v>
      </c>
      <c r="B315" s="1237">
        <v>6193</v>
      </c>
      <c r="C315" s="1239">
        <v>4096</v>
      </c>
      <c r="D315" s="1239">
        <v>1024</v>
      </c>
      <c r="E315" s="1239">
        <v>5120</v>
      </c>
      <c r="F315" s="1236" t="s">
        <v>398</v>
      </c>
      <c r="G315" s="1236" t="s">
        <v>2588</v>
      </c>
      <c r="H315" s="1241"/>
      <c r="I315" s="1242"/>
      <c r="J315" s="1242"/>
      <c r="K315" s="1242"/>
      <c r="L315" s="150">
        <f t="shared" si="18"/>
        <v>6193</v>
      </c>
      <c r="M315" s="151" t="str">
        <f t="shared" si="19"/>
        <v>TAXES AUTRES PERMIS LICENCE</v>
      </c>
      <c r="N315" s="152">
        <f>+IF(OR($Q315=Parametres!$G$2,$Q315=Parametres!$G$3),I315,C315)</f>
        <v>4096</v>
      </c>
      <c r="O315" s="152">
        <f>+IF(OR($Q315=Parametres!$G$2,$Q315=Parametres!$G$3),J315,D315)</f>
        <v>1024</v>
      </c>
      <c r="P315" s="152">
        <f>+IF(OR($Q315=Parametres!$G$2,$Q315=Parametres!$G$3),K315,E315)</f>
        <v>5120</v>
      </c>
      <c r="Q315" s="151" t="str">
        <f t="shared" si="23"/>
        <v>7-Dépenses</v>
      </c>
      <c r="R315" s="150" t="str">
        <f t="shared" si="23"/>
        <v>6193</v>
      </c>
      <c r="S315" s="151">
        <f t="shared" si="23"/>
        <v>0</v>
      </c>
      <c r="T315" s="153">
        <f>+VLOOKUP($L315,Data_Validation!$A:$D,1,0)</f>
        <v>6193</v>
      </c>
      <c r="U315" s="153" t="str">
        <f>+VLOOKUP($L315,Data_Validation!$A:$D,3,0)</f>
        <v>Véhicules neufs</v>
      </c>
      <c r="V315" s="153" t="str">
        <f>+VLOOKUP($L315,Data_Validation!$A:$D,4,0)</f>
        <v>Taxes d`affaires</v>
      </c>
      <c r="W315" s="153" t="str">
        <f>+VLOOKUP($L315,Data_Validation!$A:$E,5,0)</f>
        <v>$</v>
      </c>
      <c r="X315" s="153">
        <f>+VLOOKUP($L315,Data_Validation!$A:$F,6,0)</f>
        <v>0</v>
      </c>
    </row>
    <row r="316" spans="1:24" ht="15" customHeight="1">
      <c r="A316" s="1236" t="s">
        <v>1392</v>
      </c>
      <c r="B316" s="1237">
        <v>6194</v>
      </c>
      <c r="C316" s="1239">
        <v>8236.6299999999992</v>
      </c>
      <c r="D316" s="1239">
        <v>2283.58</v>
      </c>
      <c r="E316" s="1239">
        <v>10520.21</v>
      </c>
      <c r="F316" s="1236" t="s">
        <v>398</v>
      </c>
      <c r="G316" s="1236" t="s">
        <v>2626</v>
      </c>
      <c r="H316" s="1241"/>
      <c r="I316" s="1242"/>
      <c r="J316" s="1242"/>
      <c r="K316" s="1242"/>
      <c r="L316" s="150">
        <f t="shared" si="18"/>
        <v>6194</v>
      </c>
      <c r="M316" s="151" t="str">
        <f t="shared" si="19"/>
        <v>HONORAIRES PROFESSIONNELS</v>
      </c>
      <c r="N316" s="152">
        <f>+IF(OR($Q316=Parametres!$G$2,$Q316=Parametres!$G$3),I316,C316)</f>
        <v>8236.6299999999992</v>
      </c>
      <c r="O316" s="152">
        <f>+IF(OR($Q316=Parametres!$G$2,$Q316=Parametres!$G$3),J316,D316)</f>
        <v>2283.58</v>
      </c>
      <c r="P316" s="152">
        <f>+IF(OR($Q316=Parametres!$G$2,$Q316=Parametres!$G$3),K316,E316)</f>
        <v>10520.21</v>
      </c>
      <c r="Q316" s="151" t="str">
        <f t="shared" si="23"/>
        <v>7-Dépenses</v>
      </c>
      <c r="R316" s="150" t="str">
        <f t="shared" si="23"/>
        <v>6194</v>
      </c>
      <c r="S316" s="151">
        <f t="shared" si="23"/>
        <v>0</v>
      </c>
      <c r="T316" s="153">
        <f>+VLOOKUP($L316,Data_Validation!$A:$D,1,0)</f>
        <v>6194</v>
      </c>
      <c r="U316" s="153" t="str">
        <f>+VLOOKUP($L316,Data_Validation!$A:$D,3,0)</f>
        <v>Véhicules neufs</v>
      </c>
      <c r="V316" s="153" t="str">
        <f>+VLOOKUP($L316,Data_Validation!$A:$D,4,0)</f>
        <v>Honoraires</v>
      </c>
      <c r="W316" s="153" t="str">
        <f>+VLOOKUP($L316,Data_Validation!$A:$E,5,0)</f>
        <v>$</v>
      </c>
      <c r="X316" s="153">
        <f>+VLOOKUP($L316,Data_Validation!$A:$F,6,0)</f>
        <v>0</v>
      </c>
    </row>
    <row r="317" spans="1:24" ht="15" customHeight="1">
      <c r="A317" s="1236" t="s">
        <v>1480</v>
      </c>
      <c r="B317" s="1237">
        <v>6201</v>
      </c>
      <c r="C317" s="1239">
        <v>56638.86</v>
      </c>
      <c r="D317" s="1239">
        <v>18860.02</v>
      </c>
      <c r="E317" s="1239">
        <v>75498.880000000005</v>
      </c>
      <c r="F317" s="1236" t="s">
        <v>398</v>
      </c>
      <c r="G317" s="1236" t="s">
        <v>2772</v>
      </c>
      <c r="H317" s="1241"/>
      <c r="I317" s="1242"/>
      <c r="J317" s="1242"/>
      <c r="K317" s="1242"/>
      <c r="L317" s="150">
        <f t="shared" si="18"/>
        <v>6201</v>
      </c>
      <c r="M317" s="151" t="str">
        <f t="shared" si="19"/>
        <v>COMMISSION USAGES</v>
      </c>
      <c r="N317" s="152">
        <f>+IF(OR($Q317=Parametres!$G$2,$Q317=Parametres!$G$3),I317,C317)</f>
        <v>56638.86</v>
      </c>
      <c r="O317" s="152">
        <f>+IF(OR($Q317=Parametres!$G$2,$Q317=Parametres!$G$3),J317,D317)</f>
        <v>18860.02</v>
      </c>
      <c r="P317" s="152">
        <f>+IF(OR($Q317=Parametres!$G$2,$Q317=Parametres!$G$3),K317,E317)</f>
        <v>75498.880000000005</v>
      </c>
      <c r="Q317" s="151" t="str">
        <f t="shared" si="23"/>
        <v>7-Dépenses</v>
      </c>
      <c r="R317" s="150" t="str">
        <f t="shared" si="23"/>
        <v>6101</v>
      </c>
      <c r="S317" s="151">
        <f t="shared" si="23"/>
        <v>0</v>
      </c>
      <c r="T317" s="153">
        <f>+VLOOKUP($L317,Data_Validation!$A:$D,1,0)</f>
        <v>6201</v>
      </c>
      <c r="U317" s="153" t="str">
        <f>+VLOOKUP($L317,Data_Validation!$A:$D,3,0)</f>
        <v>Véhicules usagés</v>
      </c>
      <c r="V317" s="153" t="str">
        <f>+VLOOKUP($L317,Data_Validation!$A:$D,4,0)</f>
        <v>Comm. vendeurs</v>
      </c>
      <c r="W317" s="153" t="str">
        <f>+VLOOKUP($L317,Data_Validation!$A:$E,5,0)</f>
        <v>$</v>
      </c>
      <c r="X317" s="153">
        <f>+VLOOKUP($L317,Data_Validation!$A:$F,6,0)</f>
        <v>0</v>
      </c>
    </row>
    <row r="318" spans="1:24" ht="15.75" customHeight="1">
      <c r="A318" s="1236" t="s">
        <v>1439</v>
      </c>
      <c r="B318" s="1237">
        <v>6202</v>
      </c>
      <c r="C318" s="1239">
        <v>63731.31</v>
      </c>
      <c r="D318" s="1239">
        <v>24245.08</v>
      </c>
      <c r="E318" s="1239">
        <v>87976.39</v>
      </c>
      <c r="F318" s="1236" t="s">
        <v>398</v>
      </c>
      <c r="G318" s="1236" t="s">
        <v>2761</v>
      </c>
      <c r="H318" s="1241"/>
      <c r="I318" s="1242"/>
      <c r="J318" s="1242"/>
      <c r="K318" s="1242"/>
      <c r="L318" s="150">
        <f t="shared" si="18"/>
        <v>6202</v>
      </c>
      <c r="M318" s="151" t="str">
        <f t="shared" si="19"/>
        <v>RENUMERATION F &amp; I</v>
      </c>
      <c r="N318" s="152">
        <f>+IF(OR($Q318=Parametres!$G$2,$Q318=Parametres!$G$3),I318,C318)</f>
        <v>63731.31</v>
      </c>
      <c r="O318" s="152">
        <f>+IF(OR($Q318=Parametres!$G$2,$Q318=Parametres!$G$3),J318,D318)</f>
        <v>24245.08</v>
      </c>
      <c r="P318" s="152">
        <f>+IF(OR($Q318=Parametres!$G$2,$Q318=Parametres!$G$3),K318,E318)</f>
        <v>87976.39</v>
      </c>
      <c r="Q318" s="151" t="str">
        <f t="shared" si="23"/>
        <v>7-Dépenses</v>
      </c>
      <c r="R318" s="150" t="str">
        <f t="shared" si="23"/>
        <v>6102</v>
      </c>
      <c r="S318" s="151">
        <f t="shared" si="23"/>
        <v>0</v>
      </c>
      <c r="T318" s="153">
        <f>+VLOOKUP($L318,Data_Validation!$A:$D,1,0)</f>
        <v>6202</v>
      </c>
      <c r="U318" s="153" t="str">
        <f>+VLOOKUP($L318,Data_Validation!$A:$D,3,0)</f>
        <v>Véhicules usagés</v>
      </c>
      <c r="V318" s="153" t="str">
        <f>+VLOOKUP($L318,Data_Validation!$A:$D,4,0)</f>
        <v>Comm. F&amp;I</v>
      </c>
      <c r="W318" s="153" t="str">
        <f>+VLOOKUP($L318,Data_Validation!$A:$E,5,0)</f>
        <v>$</v>
      </c>
      <c r="X318" s="153">
        <f>+VLOOKUP($L318,Data_Validation!$A:$F,6,0)</f>
        <v>0</v>
      </c>
    </row>
    <row r="319" spans="1:24" ht="15" customHeight="1">
      <c r="A319" s="1236" t="s">
        <v>1227</v>
      </c>
      <c r="B319" s="1237">
        <v>6203</v>
      </c>
      <c r="C319" s="1239">
        <v>1275.54</v>
      </c>
      <c r="D319" s="1239">
        <v>121.19</v>
      </c>
      <c r="E319" s="1239">
        <v>1396.73</v>
      </c>
      <c r="F319" s="1236" t="s">
        <v>398</v>
      </c>
      <c r="G319" s="1236" t="s">
        <v>2697</v>
      </c>
      <c r="H319" s="1241"/>
      <c r="I319" s="1242"/>
      <c r="J319" s="1242"/>
      <c r="K319" s="1242"/>
      <c r="L319" s="150">
        <f t="shared" si="18"/>
        <v>6203</v>
      </c>
      <c r="M319" s="151" t="str">
        <f t="shared" si="19"/>
        <v>RELAT. A LA CLIENTELLE &amp; AJUST</v>
      </c>
      <c r="N319" s="152">
        <f>+IF(OR($Q319=Parametres!$G$2,$Q319=Parametres!$G$3),I319,C319)</f>
        <v>1275.54</v>
      </c>
      <c r="O319" s="152">
        <f>+IF(OR($Q319=Parametres!$G$2,$Q319=Parametres!$G$3),J319,D319)</f>
        <v>121.19</v>
      </c>
      <c r="P319" s="152">
        <f>+IF(OR($Q319=Parametres!$G$2,$Q319=Parametres!$G$3),K319,E319)</f>
        <v>1396.73</v>
      </c>
      <c r="Q319" s="151" t="str">
        <f t="shared" si="23"/>
        <v>7-Dépenses</v>
      </c>
      <c r="R319" s="150" t="str">
        <f t="shared" si="23"/>
        <v>6103</v>
      </c>
      <c r="S319" s="151">
        <f t="shared" si="23"/>
        <v>0</v>
      </c>
      <c r="T319" s="153">
        <f>+VLOOKUP($L319,Data_Validation!$A:$D,1,0)</f>
        <v>6203</v>
      </c>
      <c r="U319" s="153" t="str">
        <f>+VLOOKUP($L319,Data_Validation!$A:$D,3,0)</f>
        <v>Véhicules usagés</v>
      </c>
      <c r="V319" s="153" t="str">
        <f>+VLOOKUP($L319,Data_Validation!$A:$D,4,0)</f>
        <v>Service gratuit 1</v>
      </c>
      <c r="W319" s="153" t="str">
        <f>+VLOOKUP($L319,Data_Validation!$A:$E,5,0)</f>
        <v>$</v>
      </c>
      <c r="X319" s="153">
        <f>+VLOOKUP($L319,Data_Validation!$A:$F,6,0)</f>
        <v>0</v>
      </c>
    </row>
    <row r="320" spans="1:24" ht="15" customHeight="1">
      <c r="A320" s="1236" t="s">
        <v>2748</v>
      </c>
      <c r="B320" s="1237">
        <v>6206</v>
      </c>
      <c r="C320" s="1239">
        <v>13214.54</v>
      </c>
      <c r="D320" s="1239">
        <v>4451.63</v>
      </c>
      <c r="E320" s="1239">
        <v>17666.169999999998</v>
      </c>
      <c r="F320" s="1236" t="s">
        <v>398</v>
      </c>
      <c r="G320" s="1236" t="s">
        <v>2750</v>
      </c>
      <c r="H320" s="1241"/>
      <c r="I320" s="1242"/>
      <c r="J320" s="1242"/>
      <c r="K320" s="1242"/>
      <c r="L320" s="150">
        <f t="shared" si="18"/>
        <v>6206</v>
      </c>
      <c r="M320" s="151" t="str">
        <f t="shared" si="19"/>
        <v>ENTRETIEN DES STOCKS</v>
      </c>
      <c r="N320" s="152">
        <f>+IF(OR($Q320=Parametres!$G$2,$Q320=Parametres!$G$3),I320,C320)</f>
        <v>13214.54</v>
      </c>
      <c r="O320" s="152">
        <f>+IF(OR($Q320=Parametres!$G$2,$Q320=Parametres!$G$3),J320,D320)</f>
        <v>4451.63</v>
      </c>
      <c r="P320" s="152">
        <f>+IF(OR($Q320=Parametres!$G$2,$Q320=Parametres!$G$3),K320,E320)</f>
        <v>17666.169999999998</v>
      </c>
      <c r="Q320" s="151" t="str">
        <f t="shared" si="23"/>
        <v>7-Dépenses</v>
      </c>
      <c r="R320" s="150" t="str">
        <f t="shared" si="23"/>
        <v>6106</v>
      </c>
      <c r="S320" s="151">
        <f t="shared" si="23"/>
        <v>0</v>
      </c>
      <c r="T320" s="153">
        <f>+VLOOKUP($L320,Data_Validation!$A:$D,1,0)</f>
        <v>6206</v>
      </c>
      <c r="U320" s="153" t="str">
        <f>+VLOOKUP($L320,Data_Validation!$A:$D,3,0)</f>
        <v>Véhicules usagés</v>
      </c>
      <c r="V320" s="153" t="str">
        <f>+VLOOKUP($L320,Data_Validation!$A:$D,4,0)</f>
        <v>Entretien stock</v>
      </c>
      <c r="W320" s="153" t="str">
        <f>+VLOOKUP($L320,Data_Validation!$A:$E,5,0)</f>
        <v>$</v>
      </c>
      <c r="X320" s="153">
        <f>+VLOOKUP($L320,Data_Validation!$A:$F,6,0)</f>
        <v>0</v>
      </c>
    </row>
    <row r="321" spans="1:24" ht="15" customHeight="1">
      <c r="A321" s="1236" t="s">
        <v>935</v>
      </c>
      <c r="B321" s="1237">
        <v>6207</v>
      </c>
      <c r="C321" s="1239">
        <v>2360.1</v>
      </c>
      <c r="D321" s="1239">
        <v>558.25</v>
      </c>
      <c r="E321" s="1239">
        <v>2918.35</v>
      </c>
      <c r="F321" s="1236" t="s">
        <v>398</v>
      </c>
      <c r="G321" s="1236" t="s">
        <v>2603</v>
      </c>
      <c r="H321" s="1241"/>
      <c r="I321" s="1242"/>
      <c r="J321" s="1242"/>
      <c r="K321" s="1242"/>
      <c r="L321" s="150">
        <f t="shared" si="18"/>
        <v>6207</v>
      </c>
      <c r="M321" s="151" t="str">
        <f t="shared" si="19"/>
        <v>INTERET-PLAN DE FINANCEMENT</v>
      </c>
      <c r="N321" s="152">
        <f>+IF(OR($Q321=Parametres!$G$2,$Q321=Parametres!$G$3),I321,C321)</f>
        <v>2360.1</v>
      </c>
      <c r="O321" s="152">
        <f>+IF(OR($Q321=Parametres!$G$2,$Q321=Parametres!$G$3),J321,D321)</f>
        <v>558.25</v>
      </c>
      <c r="P321" s="152">
        <f>+IF(OR($Q321=Parametres!$G$2,$Q321=Parametres!$G$3),K321,E321)</f>
        <v>2918.35</v>
      </c>
      <c r="Q321" s="151" t="str">
        <f t="shared" si="23"/>
        <v>7-Dépenses</v>
      </c>
      <c r="R321" s="150" t="str">
        <f t="shared" si="23"/>
        <v>6107</v>
      </c>
      <c r="S321" s="151">
        <f t="shared" si="23"/>
        <v>0</v>
      </c>
      <c r="T321" s="153">
        <f>+VLOOKUP($L321,Data_Validation!$A:$D,1,0)</f>
        <v>6207</v>
      </c>
      <c r="U321" s="153" t="str">
        <f>+VLOOKUP($L321,Data_Validation!$A:$D,3,0)</f>
        <v>Véhicules usagés</v>
      </c>
      <c r="V321" s="153" t="str">
        <f>+VLOOKUP($L321,Data_Validation!$A:$D,4,0)</f>
        <v>Intérêt de gros</v>
      </c>
      <c r="W321" s="153" t="str">
        <f>+VLOOKUP($L321,Data_Validation!$A:$E,5,0)</f>
        <v>$</v>
      </c>
      <c r="X321" s="153">
        <f>+VLOOKUP($L321,Data_Validation!$A:$F,6,0)</f>
        <v>0</v>
      </c>
    </row>
    <row r="322" spans="1:24" ht="15.75" customHeight="1">
      <c r="A322" s="1236" t="s">
        <v>1404</v>
      </c>
      <c r="B322" s="1237">
        <v>6208</v>
      </c>
      <c r="C322" s="1239">
        <v>8705.09</v>
      </c>
      <c r="D322" s="1239">
        <v>2458.7199999999998</v>
      </c>
      <c r="E322" s="1239">
        <v>11163.81</v>
      </c>
      <c r="F322" s="1236" t="s">
        <v>398</v>
      </c>
      <c r="G322" s="1236" t="s">
        <v>2687</v>
      </c>
      <c r="H322" s="1241"/>
      <c r="I322" s="1242"/>
      <c r="J322" s="1242"/>
      <c r="K322" s="1242"/>
      <c r="L322" s="150">
        <f t="shared" si="18"/>
        <v>6208</v>
      </c>
      <c r="M322" s="151" t="str">
        <f t="shared" si="19"/>
        <v>FRAIS DE LIVRAISON</v>
      </c>
      <c r="N322" s="152">
        <f>+IF(OR($Q322=Parametres!$G$2,$Q322=Parametres!$G$3),I322,C322)</f>
        <v>8705.09</v>
      </c>
      <c r="O322" s="152">
        <f>+IF(OR($Q322=Parametres!$G$2,$Q322=Parametres!$G$3),J322,D322)</f>
        <v>2458.7199999999998</v>
      </c>
      <c r="P322" s="152">
        <f>+IF(OR($Q322=Parametres!$G$2,$Q322=Parametres!$G$3),K322,E322)</f>
        <v>11163.81</v>
      </c>
      <c r="Q322" s="151" t="str">
        <f t="shared" ref="Q322:S337" si="24">+F322</f>
        <v>7-Dépenses</v>
      </c>
      <c r="R322" s="150" t="str">
        <f t="shared" si="24"/>
        <v>6108</v>
      </c>
      <c r="S322" s="151">
        <f t="shared" si="24"/>
        <v>0</v>
      </c>
      <c r="T322" s="153">
        <f>+VLOOKUP($L322,Data_Validation!$A:$D,1,0)</f>
        <v>6208</v>
      </c>
      <c r="U322" s="153" t="str">
        <f>+VLOOKUP($L322,Data_Validation!$A:$D,3,0)</f>
        <v>Véhicules usagés</v>
      </c>
      <c r="V322" s="153" t="str">
        <f>+VLOOKUP($L322,Data_Validation!$A:$D,4,0)</f>
        <v>Frais de livraison</v>
      </c>
      <c r="W322" s="153" t="str">
        <f>+VLOOKUP($L322,Data_Validation!$A:$E,5,0)</f>
        <v>$</v>
      </c>
      <c r="X322" s="153">
        <f>+VLOOKUP($L322,Data_Validation!$A:$F,6,0)</f>
        <v>0</v>
      </c>
    </row>
    <row r="323" spans="1:24" ht="15" customHeight="1">
      <c r="A323" s="1236" t="s">
        <v>1371</v>
      </c>
      <c r="B323" s="1237">
        <v>6214</v>
      </c>
      <c r="C323" s="1239">
        <v>31144.75</v>
      </c>
      <c r="D323" s="1239">
        <v>4593.08</v>
      </c>
      <c r="E323" s="1239">
        <v>35737.83</v>
      </c>
      <c r="F323" s="1236" t="s">
        <v>398</v>
      </c>
      <c r="G323" s="1236" t="s">
        <v>2106</v>
      </c>
      <c r="H323" s="1241"/>
      <c r="I323" s="1242"/>
      <c r="J323" s="1242"/>
      <c r="K323" s="1242"/>
      <c r="L323" s="150">
        <f t="shared" si="18"/>
        <v>6214</v>
      </c>
      <c r="M323" s="151" t="str">
        <f t="shared" si="19"/>
        <v>PUBLICITE</v>
      </c>
      <c r="N323" s="152">
        <f>+IF(OR($Q323=Parametres!$G$2,$Q323=Parametres!$G$3),I323,C323)</f>
        <v>31144.75</v>
      </c>
      <c r="O323" s="152">
        <f>+IF(OR($Q323=Parametres!$G$2,$Q323=Parametres!$G$3),J323,D323)</f>
        <v>4593.08</v>
      </c>
      <c r="P323" s="152">
        <f>+IF(OR($Q323=Parametres!$G$2,$Q323=Parametres!$G$3),K323,E323)</f>
        <v>35737.83</v>
      </c>
      <c r="Q323" s="151" t="str">
        <f t="shared" si="24"/>
        <v>7-Dépenses</v>
      </c>
      <c r="R323" s="150" t="str">
        <f t="shared" si="24"/>
        <v>6114</v>
      </c>
      <c r="S323" s="151">
        <f t="shared" si="24"/>
        <v>0</v>
      </c>
      <c r="T323" s="153">
        <f>+VLOOKUP($L323,Data_Validation!$A:$D,1,0)</f>
        <v>6214</v>
      </c>
      <c r="U323" s="153" t="str">
        <f>+VLOOKUP($L323,Data_Validation!$A:$D,3,0)</f>
        <v>Véhicules usagés</v>
      </c>
      <c r="V323" s="153" t="str">
        <f>+VLOOKUP($L323,Data_Validation!$A:$D,4,0)</f>
        <v>Publicité 1</v>
      </c>
      <c r="W323" s="153" t="str">
        <f>+VLOOKUP($L323,Data_Validation!$A:$E,5,0)</f>
        <v>$</v>
      </c>
      <c r="X323" s="153">
        <f>+VLOOKUP($L323,Data_Validation!$A:$F,6,0)</f>
        <v>0</v>
      </c>
    </row>
    <row r="324" spans="1:24" ht="15" customHeight="1">
      <c r="A324" s="1236" t="s">
        <v>2141</v>
      </c>
      <c r="B324" s="1237">
        <v>6215</v>
      </c>
      <c r="C324" s="1239">
        <v>-12600</v>
      </c>
      <c r="D324" s="1239">
        <v>-3900</v>
      </c>
      <c r="E324" s="1239">
        <v>-16500</v>
      </c>
      <c r="F324" s="1236" t="s">
        <v>398</v>
      </c>
      <c r="G324" s="1236" t="s">
        <v>2106</v>
      </c>
      <c r="H324" s="1241"/>
      <c r="I324" s="1242"/>
      <c r="J324" s="1242"/>
      <c r="K324" s="1242"/>
      <c r="L324" s="150">
        <f t="shared" si="18"/>
        <v>6215</v>
      </c>
      <c r="M324" s="151" t="str">
        <f t="shared" si="19"/>
        <v>CREDIT PUBLICITE USAGES</v>
      </c>
      <c r="N324" s="152">
        <f>+IF(OR($Q324=Parametres!$G$2,$Q324=Parametres!$G$3),I324,C324)</f>
        <v>-12600</v>
      </c>
      <c r="O324" s="152">
        <f>+IF(OR($Q324=Parametres!$G$2,$Q324=Parametres!$G$3),J324,D324)</f>
        <v>-3900</v>
      </c>
      <c r="P324" s="152">
        <f>+IF(OR($Q324=Parametres!$G$2,$Q324=Parametres!$G$3),K324,E324)</f>
        <v>-16500</v>
      </c>
      <c r="Q324" s="151" t="str">
        <f t="shared" si="24"/>
        <v>7-Dépenses</v>
      </c>
      <c r="R324" s="150" t="str">
        <f t="shared" si="24"/>
        <v>6114</v>
      </c>
      <c r="S324" s="151">
        <f t="shared" si="24"/>
        <v>0</v>
      </c>
      <c r="T324" s="153">
        <f>+VLOOKUP($L324,Data_Validation!$A:$D,1,0)</f>
        <v>6215</v>
      </c>
      <c r="U324" s="153" t="str">
        <f>+VLOOKUP($L324,Data_Validation!$A:$D,3,0)</f>
        <v>Véhicules usagés</v>
      </c>
      <c r="V324" s="153" t="str">
        <f>+VLOOKUP($L324,Data_Validation!$A:$D,4,0)</f>
        <v>Publicité 1</v>
      </c>
      <c r="W324" s="153" t="str">
        <f>+VLOOKUP($L324,Data_Validation!$A:$E,5,0)</f>
        <v>$</v>
      </c>
      <c r="X324" s="153">
        <f>+VLOOKUP($L324,Data_Validation!$A:$F,6,0)</f>
        <v>0</v>
      </c>
    </row>
    <row r="325" spans="1:24" ht="15" customHeight="1">
      <c r="A325" s="1236" t="s">
        <v>1256</v>
      </c>
      <c r="B325" s="1237">
        <v>6221</v>
      </c>
      <c r="C325" s="1239">
        <v>1400</v>
      </c>
      <c r="D325" s="1239">
        <v>280.35000000000002</v>
      </c>
      <c r="E325" s="1239">
        <v>1680.35</v>
      </c>
      <c r="F325" s="1236" t="s">
        <v>398</v>
      </c>
      <c r="G325" s="1236" t="s">
        <v>2639</v>
      </c>
      <c r="H325" s="1241"/>
      <c r="I325" s="1242"/>
      <c r="J325" s="1242"/>
      <c r="K325" s="1242"/>
      <c r="L325" s="150">
        <f t="shared" si="18"/>
        <v>6221</v>
      </c>
      <c r="M325" s="151" t="str">
        <f t="shared" si="19"/>
        <v>SALAIRES - PROPRIETAIRES</v>
      </c>
      <c r="N325" s="152">
        <f>+IF(OR($Q325=Parametres!$G$2,$Q325=Parametres!$G$3),I325,C325)</f>
        <v>1400</v>
      </c>
      <c r="O325" s="152">
        <f>+IF(OR($Q325=Parametres!$G$2,$Q325=Parametres!$G$3),J325,D325)</f>
        <v>280.35000000000002</v>
      </c>
      <c r="P325" s="152">
        <f>+IF(OR($Q325=Parametres!$G$2,$Q325=Parametres!$G$3),K325,E325)</f>
        <v>1680.35</v>
      </c>
      <c r="Q325" s="151" t="str">
        <f t="shared" si="24"/>
        <v>7-Dépenses</v>
      </c>
      <c r="R325" s="150" t="str">
        <f t="shared" si="24"/>
        <v>6121</v>
      </c>
      <c r="S325" s="151">
        <f t="shared" si="24"/>
        <v>0</v>
      </c>
      <c r="T325" s="153">
        <f>+VLOOKUP($L325,Data_Validation!$A:$D,1,0)</f>
        <v>6221</v>
      </c>
      <c r="U325" s="153" t="str">
        <f>+VLOOKUP($L325,Data_Validation!$A:$D,3,0)</f>
        <v>Véhicules usagés</v>
      </c>
      <c r="V325" s="153" t="str">
        <f>+VLOOKUP($L325,Data_Validation!$A:$D,4,0)</f>
        <v>Salaires propriétaire</v>
      </c>
      <c r="W325" s="153" t="str">
        <f>+VLOOKUP($L325,Data_Validation!$A:$E,5,0)</f>
        <v>$</v>
      </c>
      <c r="X325" s="153">
        <f>+VLOOKUP($L325,Data_Validation!$A:$F,6,0)</f>
        <v>0</v>
      </c>
    </row>
    <row r="326" spans="1:24" ht="15" customHeight="1">
      <c r="A326" s="1236" t="s">
        <v>2615</v>
      </c>
      <c r="B326" s="1237">
        <v>6222</v>
      </c>
      <c r="C326" s="1239">
        <v>42302.93</v>
      </c>
      <c r="D326" s="1239">
        <v>7917.04</v>
      </c>
      <c r="E326" s="1239">
        <v>50219.97</v>
      </c>
      <c r="F326" s="1236" t="s">
        <v>398</v>
      </c>
      <c r="G326" s="1236" t="s">
        <v>2617</v>
      </c>
      <c r="H326" s="1241"/>
      <c r="I326" s="1242"/>
      <c r="J326" s="1242"/>
      <c r="K326" s="1242"/>
      <c r="L326" s="150">
        <f t="shared" si="18"/>
        <v>6222</v>
      </c>
      <c r="M326" s="151" t="str">
        <f t="shared" si="19"/>
        <v>SAL SUPERVISION / GERANT</v>
      </c>
      <c r="N326" s="152">
        <f>+IF(OR($Q326=Parametres!$G$2,$Q326=Parametres!$G$3),I326,C326)</f>
        <v>42302.93</v>
      </c>
      <c r="O326" s="152">
        <f>+IF(OR($Q326=Parametres!$G$2,$Q326=Parametres!$G$3),J326,D326)</f>
        <v>7917.04</v>
      </c>
      <c r="P326" s="152">
        <f>+IF(OR($Q326=Parametres!$G$2,$Q326=Parametres!$G$3),K326,E326)</f>
        <v>50219.97</v>
      </c>
      <c r="Q326" s="151" t="str">
        <f t="shared" si="24"/>
        <v>7-Dépenses</v>
      </c>
      <c r="R326" s="150" t="str">
        <f t="shared" si="24"/>
        <v>6122</v>
      </c>
      <c r="S326" s="151">
        <f t="shared" si="24"/>
        <v>0</v>
      </c>
      <c r="T326" s="153">
        <f>+VLOOKUP($L326,Data_Validation!$A:$D,1,0)</f>
        <v>6222</v>
      </c>
      <c r="U326" s="153" t="str">
        <f>+VLOOKUP($L326,Data_Validation!$A:$D,3,0)</f>
        <v>Véhicules usagés</v>
      </c>
      <c r="V326" s="153" t="str">
        <f>+VLOOKUP($L326,Data_Validation!$A:$D,4,0)</f>
        <v>Salaires cadres</v>
      </c>
      <c r="W326" s="153" t="str">
        <f>+VLOOKUP($L326,Data_Validation!$A:$E,5,0)</f>
        <v>$</v>
      </c>
      <c r="X326" s="153">
        <f>+VLOOKUP($L326,Data_Validation!$A:$F,6,0)</f>
        <v>0</v>
      </c>
    </row>
    <row r="327" spans="1:24" ht="15.75" customHeight="1">
      <c r="A327" s="1236" t="s">
        <v>1339</v>
      </c>
      <c r="B327" s="1237">
        <v>6223</v>
      </c>
      <c r="C327" s="1239">
        <v>7863.71</v>
      </c>
      <c r="D327" s="1239">
        <v>2181.4699999999998</v>
      </c>
      <c r="E327" s="1239">
        <v>10045.18</v>
      </c>
      <c r="F327" s="1236" t="s">
        <v>398</v>
      </c>
      <c r="G327" s="1236" t="s">
        <v>2670</v>
      </c>
      <c r="H327" s="1241"/>
      <c r="I327" s="1242"/>
      <c r="J327" s="1242"/>
      <c r="K327" s="1242"/>
      <c r="L327" s="150">
        <f t="shared" si="18"/>
        <v>6223</v>
      </c>
      <c r="M327" s="151" t="str">
        <f t="shared" si="19"/>
        <v>SAL. &amp; RENUM. - CLERICAL</v>
      </c>
      <c r="N327" s="152">
        <f>+IF(OR($Q327=Parametres!$G$2,$Q327=Parametres!$G$3),I327,C327)</f>
        <v>7863.71</v>
      </c>
      <c r="O327" s="152">
        <f>+IF(OR($Q327=Parametres!$G$2,$Q327=Parametres!$G$3),J327,D327)</f>
        <v>2181.4699999999998</v>
      </c>
      <c r="P327" s="152">
        <f>+IF(OR($Q327=Parametres!$G$2,$Q327=Parametres!$G$3),K327,E327)</f>
        <v>10045.18</v>
      </c>
      <c r="Q327" s="151" t="str">
        <f t="shared" si="24"/>
        <v>7-Dépenses</v>
      </c>
      <c r="R327" s="150" t="str">
        <f t="shared" si="24"/>
        <v>6123</v>
      </c>
      <c r="S327" s="151">
        <f t="shared" si="24"/>
        <v>0</v>
      </c>
      <c r="T327" s="153">
        <f>+VLOOKUP($L327,Data_Validation!$A:$D,1,0)</f>
        <v>6223</v>
      </c>
      <c r="U327" s="153" t="str">
        <f>+VLOOKUP($L327,Data_Validation!$A:$D,3,0)</f>
        <v>Véhicules usagés</v>
      </c>
      <c r="V327" s="153" t="str">
        <f>+VLOOKUP($L327,Data_Validation!$A:$D,4,0)</f>
        <v>Salaires commis</v>
      </c>
      <c r="W327" s="153" t="str">
        <f>+VLOOKUP($L327,Data_Validation!$A:$E,5,0)</f>
        <v>$</v>
      </c>
      <c r="X327" s="153">
        <f>+VLOOKUP($L327,Data_Validation!$A:$F,6,0)</f>
        <v>0</v>
      </c>
    </row>
    <row r="328" spans="1:24" ht="15" customHeight="1">
      <c r="A328" s="1236" t="s">
        <v>1409</v>
      </c>
      <c r="B328" s="1237">
        <v>6224</v>
      </c>
      <c r="C328" s="1239">
        <v>26139.5</v>
      </c>
      <c r="D328" s="1239">
        <v>7209.56</v>
      </c>
      <c r="E328" s="1239">
        <v>33349.06</v>
      </c>
      <c r="F328" s="1236" t="s">
        <v>398</v>
      </c>
      <c r="G328" s="1236" t="s">
        <v>2726</v>
      </c>
      <c r="H328" s="1241"/>
      <c r="I328" s="1242"/>
      <c r="J328" s="1242"/>
      <c r="K328" s="1242"/>
      <c r="L328" s="150">
        <f t="shared" si="18"/>
        <v>6224</v>
      </c>
      <c r="M328" s="151" t="str">
        <f t="shared" si="19"/>
        <v>SALAIRE &amp; RENUM. - AUTRES</v>
      </c>
      <c r="N328" s="152">
        <f>+IF(OR($Q328=Parametres!$G$2,$Q328=Parametres!$G$3),I328,C328)</f>
        <v>26139.5</v>
      </c>
      <c r="O328" s="152">
        <f>+IF(OR($Q328=Parametres!$G$2,$Q328=Parametres!$G$3),J328,D328)</f>
        <v>7209.56</v>
      </c>
      <c r="P328" s="152">
        <f>+IF(OR($Q328=Parametres!$G$2,$Q328=Parametres!$G$3),K328,E328)</f>
        <v>33349.06</v>
      </c>
      <c r="Q328" s="151" t="str">
        <f t="shared" si="24"/>
        <v>7-Dépenses</v>
      </c>
      <c r="R328" s="150" t="str">
        <f t="shared" si="24"/>
        <v>6124</v>
      </c>
      <c r="S328" s="151">
        <f t="shared" si="24"/>
        <v>0</v>
      </c>
      <c r="T328" s="153">
        <f>+VLOOKUP($L328,Data_Validation!$A:$D,1,0)</f>
        <v>6224</v>
      </c>
      <c r="U328" s="153" t="str">
        <f>+VLOOKUP($L328,Data_Validation!$A:$D,3,0)</f>
        <v>Véhicules usagés</v>
      </c>
      <c r="V328" s="153" t="str">
        <f>+VLOOKUP($L328,Data_Validation!$A:$D,4,0)</f>
        <v>Salaires autres</v>
      </c>
      <c r="W328" s="153" t="str">
        <f>+VLOOKUP($L328,Data_Validation!$A:$E,5,0)</f>
        <v>$</v>
      </c>
      <c r="X328" s="153">
        <f>+VLOOKUP($L328,Data_Validation!$A:$F,6,0)</f>
        <v>0</v>
      </c>
    </row>
    <row r="329" spans="1:24" ht="15" customHeight="1">
      <c r="A329" s="1236" t="s">
        <v>1208</v>
      </c>
      <c r="B329" s="1237">
        <v>6229</v>
      </c>
      <c r="C329" s="1239">
        <v>12607.68</v>
      </c>
      <c r="D329" s="1239">
        <v>3223.57</v>
      </c>
      <c r="E329" s="1239">
        <v>15831.25</v>
      </c>
      <c r="F329" s="1236" t="s">
        <v>398</v>
      </c>
      <c r="G329" s="1236" t="s">
        <v>2632</v>
      </c>
      <c r="H329" s="1241"/>
      <c r="I329" s="1242"/>
      <c r="J329" s="1242"/>
      <c r="K329" s="1242"/>
      <c r="L329" s="150">
        <f t="shared" si="18"/>
        <v>6229</v>
      </c>
      <c r="M329" s="151" t="str">
        <f t="shared" si="19"/>
        <v>ABS.,VACANCES &amp; SAL. JOURS FER</v>
      </c>
      <c r="N329" s="152">
        <f>+IF(OR($Q329=Parametres!$G$2,$Q329=Parametres!$G$3),I329,C329)</f>
        <v>12607.68</v>
      </c>
      <c r="O329" s="152">
        <f>+IF(OR($Q329=Parametres!$G$2,$Q329=Parametres!$G$3),J329,D329)</f>
        <v>3223.57</v>
      </c>
      <c r="P329" s="152">
        <f>+IF(OR($Q329=Parametres!$G$2,$Q329=Parametres!$G$3),K329,E329)</f>
        <v>15831.25</v>
      </c>
      <c r="Q329" s="151" t="str">
        <f t="shared" si="24"/>
        <v>7-Dépenses</v>
      </c>
      <c r="R329" s="150" t="str">
        <f t="shared" si="24"/>
        <v>6129</v>
      </c>
      <c r="S329" s="151">
        <f t="shared" si="24"/>
        <v>0</v>
      </c>
      <c r="T329" s="153">
        <f>+VLOOKUP($L329,Data_Validation!$A:$D,1,0)</f>
        <v>6229</v>
      </c>
      <c r="U329" s="153" t="str">
        <f>+VLOOKUP($L329,Data_Validation!$A:$D,3,0)</f>
        <v>Véhicules usagés</v>
      </c>
      <c r="V329" s="153" t="str">
        <f>+VLOOKUP($L329,Data_Validation!$A:$D,4,0)</f>
        <v>Salaires en absences</v>
      </c>
      <c r="W329" s="153" t="str">
        <f>+VLOOKUP($L329,Data_Validation!$A:$E,5,0)</f>
        <v>$</v>
      </c>
      <c r="X329" s="153">
        <f>+VLOOKUP($L329,Data_Validation!$A:$F,6,0)</f>
        <v>0</v>
      </c>
    </row>
    <row r="330" spans="1:24" ht="15" customHeight="1">
      <c r="A330" s="1236" t="s">
        <v>1249</v>
      </c>
      <c r="B330" s="1237">
        <v>6231</v>
      </c>
      <c r="C330" s="1239">
        <v>2910.52</v>
      </c>
      <c r="D330" s="1239">
        <v>1117.46</v>
      </c>
      <c r="E330" s="1239">
        <v>4027.98</v>
      </c>
      <c r="F330" s="1236" t="s">
        <v>398</v>
      </c>
      <c r="G330" s="1236" t="s">
        <v>2577</v>
      </c>
      <c r="H330" s="1241"/>
      <c r="I330" s="1242"/>
      <c r="J330" s="1242"/>
      <c r="K330" s="1242"/>
      <c r="L330" s="150">
        <f t="shared" si="18"/>
        <v>6231</v>
      </c>
      <c r="M330" s="151" t="str">
        <f t="shared" si="19"/>
        <v>CSST</v>
      </c>
      <c r="N330" s="152">
        <f>+IF(OR($Q330=Parametres!$G$2,$Q330=Parametres!$G$3),I330,C330)</f>
        <v>2910.52</v>
      </c>
      <c r="O330" s="152">
        <f>+IF(OR($Q330=Parametres!$G$2,$Q330=Parametres!$G$3),J330,D330)</f>
        <v>1117.46</v>
      </c>
      <c r="P330" s="152">
        <f>+IF(OR($Q330=Parametres!$G$2,$Q330=Parametres!$G$3),K330,E330)</f>
        <v>4027.98</v>
      </c>
      <c r="Q330" s="151" t="str">
        <f t="shared" si="24"/>
        <v>7-Dépenses</v>
      </c>
      <c r="R330" s="150" t="str">
        <f t="shared" si="24"/>
        <v>6131</v>
      </c>
      <c r="S330" s="151">
        <f t="shared" si="24"/>
        <v>0</v>
      </c>
      <c r="T330" s="153">
        <f>+VLOOKUP($L330,Data_Validation!$A:$D,1,0)</f>
        <v>6231</v>
      </c>
      <c r="U330" s="153" t="str">
        <f>+VLOOKUP($L330,Data_Validation!$A:$D,3,0)</f>
        <v>Véhicules usagés</v>
      </c>
      <c r="V330" s="153" t="str">
        <f>+VLOOKUP($L330,Data_Validation!$A:$D,4,0)</f>
        <v>Csst</v>
      </c>
      <c r="W330" s="153" t="str">
        <f>+VLOOKUP($L330,Data_Validation!$A:$E,5,0)</f>
        <v>$</v>
      </c>
      <c r="X330" s="153">
        <f>+VLOOKUP($L330,Data_Validation!$A:$F,6,0)</f>
        <v>0</v>
      </c>
    </row>
    <row r="331" spans="1:24" ht="15" customHeight="1">
      <c r="A331" s="1236" t="s">
        <v>1280</v>
      </c>
      <c r="B331" s="1237">
        <v>6232</v>
      </c>
      <c r="C331" s="1239">
        <v>17463.14</v>
      </c>
      <c r="D331" s="1239">
        <v>6704.76</v>
      </c>
      <c r="E331" s="1239">
        <v>24167.9</v>
      </c>
      <c r="F331" s="1236" t="s">
        <v>398</v>
      </c>
      <c r="G331" s="1236" t="s">
        <v>2676</v>
      </c>
      <c r="H331" s="1241"/>
      <c r="I331" s="1242"/>
      <c r="J331" s="1242"/>
      <c r="K331" s="1242"/>
      <c r="L331" s="150">
        <f t="shared" si="18"/>
        <v>6232</v>
      </c>
      <c r="M331" s="151" t="str">
        <f t="shared" si="19"/>
        <v>RRQ RAMQ AC</v>
      </c>
      <c r="N331" s="152">
        <f>+IF(OR($Q331=Parametres!$G$2,$Q331=Parametres!$G$3),I331,C331)</f>
        <v>17463.14</v>
      </c>
      <c r="O331" s="152">
        <f>+IF(OR($Q331=Parametres!$G$2,$Q331=Parametres!$G$3),J331,D331)</f>
        <v>6704.76</v>
      </c>
      <c r="P331" s="152">
        <f>+IF(OR($Q331=Parametres!$G$2,$Q331=Parametres!$G$3),K331,E331)</f>
        <v>24167.9</v>
      </c>
      <c r="Q331" s="151" t="str">
        <f t="shared" si="24"/>
        <v>7-Dépenses</v>
      </c>
      <c r="R331" s="150" t="str">
        <f t="shared" si="24"/>
        <v>6132</v>
      </c>
      <c r="S331" s="151">
        <f t="shared" si="24"/>
        <v>0</v>
      </c>
      <c r="T331" s="153">
        <f>+VLOOKUP($L331,Data_Validation!$A:$D,1,0)</f>
        <v>6232</v>
      </c>
      <c r="U331" s="153" t="str">
        <f>+VLOOKUP($L331,Data_Validation!$A:$D,3,0)</f>
        <v>Véhicules usagés</v>
      </c>
      <c r="V331" s="153" t="str">
        <f>+VLOOKUP($L331,Data_Validation!$A:$D,4,0)</f>
        <v>Déduction à la source</v>
      </c>
      <c r="W331" s="153" t="str">
        <f>+VLOOKUP($L331,Data_Validation!$A:$E,5,0)</f>
        <v>$</v>
      </c>
      <c r="X331" s="153">
        <f>+VLOOKUP($L331,Data_Validation!$A:$F,6,0)</f>
        <v>0</v>
      </c>
    </row>
    <row r="332" spans="1:24" ht="15" customHeight="1">
      <c r="A332" s="1236" t="s">
        <v>1302</v>
      </c>
      <c r="B332" s="1237">
        <v>6239</v>
      </c>
      <c r="C332" s="1239">
        <v>12515.25</v>
      </c>
      <c r="D332" s="1239">
        <v>4805.08</v>
      </c>
      <c r="E332" s="1239">
        <v>17320.330000000002</v>
      </c>
      <c r="F332" s="1236" t="s">
        <v>398</v>
      </c>
      <c r="G332" s="1236" t="s">
        <v>2685</v>
      </c>
      <c r="H332" s="1241"/>
      <c r="I332" s="1242"/>
      <c r="J332" s="1242"/>
      <c r="K332" s="1242"/>
      <c r="L332" s="150">
        <f t="shared" si="18"/>
        <v>6239</v>
      </c>
      <c r="M332" s="151" t="str">
        <f t="shared" si="19"/>
        <v>ASSURANCE GROUPE</v>
      </c>
      <c r="N332" s="152">
        <f>+IF(OR($Q332=Parametres!$G$2,$Q332=Parametres!$G$3),I332,C332)</f>
        <v>12515.25</v>
      </c>
      <c r="O332" s="152">
        <f>+IF(OR($Q332=Parametres!$G$2,$Q332=Parametres!$G$3),J332,D332)</f>
        <v>4805.08</v>
      </c>
      <c r="P332" s="152">
        <f>+IF(OR($Q332=Parametres!$G$2,$Q332=Parametres!$G$3),K332,E332)</f>
        <v>17320.330000000002</v>
      </c>
      <c r="Q332" s="151" t="str">
        <f t="shared" si="24"/>
        <v>7-Dépenses</v>
      </c>
      <c r="R332" s="150" t="str">
        <f t="shared" si="24"/>
        <v>6139</v>
      </c>
      <c r="S332" s="151">
        <f t="shared" si="24"/>
        <v>0</v>
      </c>
      <c r="T332" s="153">
        <f>+VLOOKUP($L332,Data_Validation!$A:$D,1,0)</f>
        <v>6239</v>
      </c>
      <c r="U332" s="153" t="str">
        <f>+VLOOKUP($L332,Data_Validation!$A:$D,3,0)</f>
        <v>Véhicules usagés</v>
      </c>
      <c r="V332" s="153" t="str">
        <f>+VLOOKUP($L332,Data_Validation!$A:$D,4,0)</f>
        <v>Bénéfices marginaux</v>
      </c>
      <c r="W332" s="153" t="str">
        <f>+VLOOKUP($L332,Data_Validation!$A:$E,5,0)</f>
        <v>$</v>
      </c>
      <c r="X332" s="153">
        <f>+VLOOKUP($L332,Data_Validation!$A:$F,6,0)</f>
        <v>0</v>
      </c>
    </row>
    <row r="333" spans="1:24" ht="15.75" customHeight="1">
      <c r="A333" s="1236" t="s">
        <v>1154</v>
      </c>
      <c r="B333" s="1237">
        <v>6242</v>
      </c>
      <c r="C333" s="1239">
        <v>413.76</v>
      </c>
      <c r="D333" s="1239">
        <v>28.09</v>
      </c>
      <c r="E333" s="1239">
        <v>441.85</v>
      </c>
      <c r="F333" s="1236" t="s">
        <v>398</v>
      </c>
      <c r="G333" s="1236" t="s">
        <v>2554</v>
      </c>
      <c r="H333" s="1241"/>
      <c r="I333" s="1242"/>
      <c r="J333" s="1242"/>
      <c r="K333" s="1242"/>
      <c r="L333" s="150">
        <f t="shared" si="18"/>
        <v>6242</v>
      </c>
      <c r="M333" s="151" t="str">
        <f t="shared" si="19"/>
        <v>FOURNITURES &amp; PETITS OUTILS</v>
      </c>
      <c r="N333" s="152">
        <f>+IF(OR($Q333=Parametres!$G$2,$Q333=Parametres!$G$3),I333,C333)</f>
        <v>413.76</v>
      </c>
      <c r="O333" s="152">
        <f>+IF(OR($Q333=Parametres!$G$2,$Q333=Parametres!$G$3),J333,D333)</f>
        <v>28.09</v>
      </c>
      <c r="P333" s="152">
        <f>+IF(OR($Q333=Parametres!$G$2,$Q333=Parametres!$G$3),K333,E333)</f>
        <v>441.85</v>
      </c>
      <c r="Q333" s="151" t="str">
        <f t="shared" si="24"/>
        <v>7-Dépenses</v>
      </c>
      <c r="R333" s="150" t="str">
        <f t="shared" si="24"/>
        <v>6142</v>
      </c>
      <c r="S333" s="151">
        <f t="shared" si="24"/>
        <v>0</v>
      </c>
      <c r="T333" s="153">
        <f>+VLOOKUP($L333,Data_Validation!$A:$D,1,0)</f>
        <v>6242</v>
      </c>
      <c r="U333" s="153" t="str">
        <f>+VLOOKUP($L333,Data_Validation!$A:$D,3,0)</f>
        <v>Véhicules usagés</v>
      </c>
      <c r="V333" s="153" t="str">
        <f>+VLOOKUP($L333,Data_Validation!$A:$D,4,0)</f>
        <v>Fournitures autres</v>
      </c>
      <c r="W333" s="153" t="str">
        <f>+VLOOKUP($L333,Data_Validation!$A:$E,5,0)</f>
        <v>$</v>
      </c>
      <c r="X333" s="153">
        <f>+VLOOKUP($L333,Data_Validation!$A:$F,6,0)</f>
        <v>0</v>
      </c>
    </row>
    <row r="334" spans="1:24" ht="15.75" customHeight="1">
      <c r="A334" s="1236" t="s">
        <v>931</v>
      </c>
      <c r="B334" s="1237">
        <v>6244</v>
      </c>
      <c r="C334" s="1239">
        <v>42.48</v>
      </c>
      <c r="D334" s="1239">
        <v>130.62</v>
      </c>
      <c r="E334" s="1239">
        <v>173.1</v>
      </c>
      <c r="F334" s="1236" t="s">
        <v>398</v>
      </c>
      <c r="G334" s="1236" t="s">
        <v>2552</v>
      </c>
      <c r="H334" s="1241"/>
      <c r="I334" s="1242"/>
      <c r="J334" s="1242"/>
      <c r="K334" s="1242"/>
      <c r="L334" s="150">
        <f t="shared" si="18"/>
        <v>6244</v>
      </c>
      <c r="M334" s="151" t="str">
        <f t="shared" si="19"/>
        <v>FORMATION</v>
      </c>
      <c r="N334" s="152">
        <f>+IF(OR($Q334=Parametres!$G$2,$Q334=Parametres!$G$3),I334,C334)</f>
        <v>42.48</v>
      </c>
      <c r="O334" s="152">
        <f>+IF(OR($Q334=Parametres!$G$2,$Q334=Parametres!$G$3),J334,D334)</f>
        <v>130.62</v>
      </c>
      <c r="P334" s="152">
        <f>+IF(OR($Q334=Parametres!$G$2,$Q334=Parametres!$G$3),K334,E334)</f>
        <v>173.1</v>
      </c>
      <c r="Q334" s="151" t="str">
        <f t="shared" si="24"/>
        <v>7-Dépenses</v>
      </c>
      <c r="R334" s="150" t="str">
        <f t="shared" si="24"/>
        <v>6144</v>
      </c>
      <c r="S334" s="151">
        <f t="shared" si="24"/>
        <v>0</v>
      </c>
      <c r="T334" s="153">
        <f>+VLOOKUP($L334,Data_Validation!$A:$D,1,0)</f>
        <v>6244</v>
      </c>
      <c r="U334" s="153" t="str">
        <f>+VLOOKUP($L334,Data_Validation!$A:$D,3,0)</f>
        <v>Véhicules usagés</v>
      </c>
      <c r="V334" s="153" t="str">
        <f>+VLOOKUP($L334,Data_Validation!$A:$D,4,0)</f>
        <v>Formation</v>
      </c>
      <c r="W334" s="153" t="str">
        <f>+VLOOKUP($L334,Data_Validation!$A:$E,5,0)</f>
        <v>$</v>
      </c>
      <c r="X334" s="153">
        <f>+VLOOKUP($L334,Data_Validation!$A:$F,6,0)</f>
        <v>0</v>
      </c>
    </row>
    <row r="335" spans="1:24" ht="15" customHeight="1">
      <c r="A335" s="1236" t="s">
        <v>1183</v>
      </c>
      <c r="B335" s="1237">
        <v>6245</v>
      </c>
      <c r="C335" s="1239">
        <v>-1502.35</v>
      </c>
      <c r="D335" s="1239">
        <v>-351.13</v>
      </c>
      <c r="E335" s="1239">
        <v>-1853.48</v>
      </c>
      <c r="F335" s="1236" t="s">
        <v>398</v>
      </c>
      <c r="G335" s="1236" t="s">
        <v>2623</v>
      </c>
      <c r="H335" s="1241"/>
      <c r="I335" s="1242"/>
      <c r="J335" s="1242"/>
      <c r="K335" s="1242"/>
      <c r="L335" s="150">
        <f t="shared" si="18"/>
        <v>6245</v>
      </c>
      <c r="M335" s="151" t="str">
        <f t="shared" si="19"/>
        <v>VEHICULE DE COMPAGNIE - DEPENS</v>
      </c>
      <c r="N335" s="152">
        <f>+IF(OR($Q335=Parametres!$G$2,$Q335=Parametres!$G$3),I335,C335)</f>
        <v>-1502.35</v>
      </c>
      <c r="O335" s="152">
        <f>+IF(OR($Q335=Parametres!$G$2,$Q335=Parametres!$G$3),J335,D335)</f>
        <v>-351.13</v>
      </c>
      <c r="P335" s="152">
        <f>+IF(OR($Q335=Parametres!$G$2,$Q335=Parametres!$G$3),K335,E335)</f>
        <v>-1853.48</v>
      </c>
      <c r="Q335" s="151" t="str">
        <f t="shared" si="24"/>
        <v>7-Dépenses</v>
      </c>
      <c r="R335" s="150" t="str">
        <f t="shared" si="24"/>
        <v>6145</v>
      </c>
      <c r="S335" s="151">
        <f t="shared" si="24"/>
        <v>0</v>
      </c>
      <c r="T335" s="153">
        <f>+VLOOKUP($L335,Data_Validation!$A:$D,1,0)</f>
        <v>6245</v>
      </c>
      <c r="U335" s="153" t="str">
        <f>+VLOOKUP($L335,Data_Validation!$A:$D,3,0)</f>
        <v>Véhicules usagés</v>
      </c>
      <c r="V335" s="153" t="str">
        <f>+VLOOKUP($L335,Data_Validation!$A:$D,4,0)</f>
        <v>Frais véhicules de cie</v>
      </c>
      <c r="W335" s="153" t="str">
        <f>+VLOOKUP($L335,Data_Validation!$A:$E,5,0)</f>
        <v>$</v>
      </c>
      <c r="X335" s="153">
        <f>+VLOOKUP($L335,Data_Validation!$A:$F,6,0)</f>
        <v>0</v>
      </c>
    </row>
    <row r="336" spans="1:24" ht="15" customHeight="1">
      <c r="A336" s="1236" t="s">
        <v>1177</v>
      </c>
      <c r="B336" s="1237">
        <v>6247</v>
      </c>
      <c r="C336" s="1239">
        <v>237.47</v>
      </c>
      <c r="D336" s="1239">
        <v>57.32</v>
      </c>
      <c r="E336" s="1239">
        <v>294.79000000000002</v>
      </c>
      <c r="F336" s="1236" t="s">
        <v>398</v>
      </c>
      <c r="G336" s="1236" t="s">
        <v>2572</v>
      </c>
      <c r="H336" s="1241"/>
      <c r="I336" s="1242"/>
      <c r="J336" s="1242"/>
      <c r="K336" s="1242"/>
      <c r="L336" s="150">
        <f t="shared" si="18"/>
        <v>6247</v>
      </c>
      <c r="M336" s="151" t="str">
        <f t="shared" si="19"/>
        <v>FRET/EXPRESS/TRANS. PAR CAMION</v>
      </c>
      <c r="N336" s="152">
        <f>+IF(OR($Q336=Parametres!$G$2,$Q336=Parametres!$G$3),I336,C336)</f>
        <v>237.47</v>
      </c>
      <c r="O336" s="152">
        <f>+IF(OR($Q336=Parametres!$G$2,$Q336=Parametres!$G$3),J336,D336)</f>
        <v>57.32</v>
      </c>
      <c r="P336" s="152">
        <f>+IF(OR($Q336=Parametres!$G$2,$Q336=Parametres!$G$3),K336,E336)</f>
        <v>294.79000000000002</v>
      </c>
      <c r="Q336" s="151" t="str">
        <f t="shared" si="24"/>
        <v>7-Dépenses</v>
      </c>
      <c r="R336" s="150" t="str">
        <f t="shared" si="24"/>
        <v>6147</v>
      </c>
      <c r="S336" s="151">
        <f t="shared" si="24"/>
        <v>0</v>
      </c>
      <c r="T336" s="153">
        <f>+VLOOKUP($L336,Data_Validation!$A:$D,1,0)</f>
        <v>6247</v>
      </c>
      <c r="U336" s="153" t="str">
        <f>+VLOOKUP($L336,Data_Validation!$A:$D,3,0)</f>
        <v>Véhicules usagés</v>
      </c>
      <c r="V336" s="153" t="str">
        <f>+VLOOKUP($L336,Data_Validation!$A:$D,4,0)</f>
        <v>Frais postaux</v>
      </c>
      <c r="W336" s="153" t="str">
        <f>+VLOOKUP($L336,Data_Validation!$A:$E,5,0)</f>
        <v>$</v>
      </c>
      <c r="X336" s="153">
        <f>+VLOOKUP($L336,Data_Validation!$A:$F,6,0)</f>
        <v>0</v>
      </c>
    </row>
    <row r="337" spans="1:24" ht="15" customHeight="1">
      <c r="A337" s="1236" t="s">
        <v>1283</v>
      </c>
      <c r="B337" s="1237">
        <v>6251</v>
      </c>
      <c r="C337" s="1239">
        <v>7586.1</v>
      </c>
      <c r="D337" s="1239">
        <v>1770.17</v>
      </c>
      <c r="E337" s="1239">
        <v>9356.27</v>
      </c>
      <c r="F337" s="1236" t="s">
        <v>398</v>
      </c>
      <c r="G337" s="1236" t="s">
        <v>2693</v>
      </c>
      <c r="H337" s="1241"/>
      <c r="I337" s="1248"/>
      <c r="J337" s="1248"/>
      <c r="K337" s="1248"/>
      <c r="L337" s="150">
        <f t="shared" si="18"/>
        <v>6251</v>
      </c>
      <c r="M337" s="151" t="str">
        <f t="shared" si="19"/>
        <v>DEP. DU TRAITEMENT DES DONNEES</v>
      </c>
      <c r="N337" s="152">
        <f>+IF(OR($Q337=Parametres!$G$2,$Q337=Parametres!$G$3),I337,C337)</f>
        <v>7586.1</v>
      </c>
      <c r="O337" s="152">
        <f>+IF(OR($Q337=Parametres!$G$2,$Q337=Parametres!$G$3),J337,D337)</f>
        <v>1770.17</v>
      </c>
      <c r="P337" s="152">
        <f>+IF(OR($Q337=Parametres!$G$2,$Q337=Parametres!$G$3),K337,E337)</f>
        <v>9356.27</v>
      </c>
      <c r="Q337" s="151" t="str">
        <f t="shared" si="24"/>
        <v>7-Dépenses</v>
      </c>
      <c r="R337" s="150" t="str">
        <f t="shared" si="24"/>
        <v>6151</v>
      </c>
      <c r="S337" s="151">
        <f t="shared" si="24"/>
        <v>0</v>
      </c>
      <c r="T337" s="153">
        <f>+VLOOKUP($L337,Data_Validation!$A:$D,1,0)</f>
        <v>6251</v>
      </c>
      <c r="U337" s="153" t="str">
        <f>+VLOOKUP($L337,Data_Validation!$A:$D,3,0)</f>
        <v>Véhicules usagés</v>
      </c>
      <c r="V337" s="153" t="str">
        <f>+VLOOKUP($L337,Data_Validation!$A:$D,4,0)</f>
        <v>Informatique</v>
      </c>
      <c r="W337" s="153" t="str">
        <f>+VLOOKUP($L337,Data_Validation!$A:$E,5,0)</f>
        <v>$</v>
      </c>
      <c r="X337" s="153">
        <f>+VLOOKUP($L337,Data_Validation!$A:$F,6,0)</f>
        <v>0</v>
      </c>
    </row>
    <row r="338" spans="1:24" ht="15.75" customHeight="1">
      <c r="A338" s="1236" t="s">
        <v>1203</v>
      </c>
      <c r="B338" s="1237">
        <v>6252</v>
      </c>
      <c r="C338" s="1239">
        <v>1026.08</v>
      </c>
      <c r="D338" s="1239">
        <v>239.58</v>
      </c>
      <c r="E338" s="1239">
        <v>1265.6600000000001</v>
      </c>
      <c r="F338" s="1236" t="s">
        <v>398</v>
      </c>
      <c r="G338" s="1236" t="s">
        <v>2579</v>
      </c>
      <c r="H338" s="1241"/>
      <c r="I338" s="1248"/>
      <c r="J338" s="1248"/>
      <c r="K338" s="1248"/>
      <c r="L338" s="150">
        <f t="shared" si="18"/>
        <v>6252</v>
      </c>
      <c r="M338" s="151" t="str">
        <f t="shared" si="19"/>
        <v>PAPETERIE</v>
      </c>
      <c r="N338" s="152">
        <f>+IF(OR($Q338=Parametres!$G$2,$Q338=Parametres!$G$3),I338,C338)</f>
        <v>1026.08</v>
      </c>
      <c r="O338" s="152">
        <f>+IF(OR($Q338=Parametres!$G$2,$Q338=Parametres!$G$3),J338,D338)</f>
        <v>239.58</v>
      </c>
      <c r="P338" s="152">
        <f>+IF(OR($Q338=Parametres!$G$2,$Q338=Parametres!$G$3),K338,E338)</f>
        <v>1265.6600000000001</v>
      </c>
      <c r="Q338" s="151" t="str">
        <f t="shared" ref="Q338:S353" si="25">+F338</f>
        <v>7-Dépenses</v>
      </c>
      <c r="R338" s="150" t="str">
        <f t="shared" si="25"/>
        <v>6152</v>
      </c>
      <c r="S338" s="151">
        <f t="shared" si="25"/>
        <v>0</v>
      </c>
      <c r="T338" s="153">
        <f>+VLOOKUP($L338,Data_Validation!$A:$D,1,0)</f>
        <v>6252</v>
      </c>
      <c r="U338" s="153" t="str">
        <f>+VLOOKUP($L338,Data_Validation!$A:$D,3,0)</f>
        <v>Véhicules usagés</v>
      </c>
      <c r="V338" s="153" t="str">
        <f>+VLOOKUP($L338,Data_Validation!$A:$D,4,0)</f>
        <v>Papeterie</v>
      </c>
      <c r="W338" s="153" t="str">
        <f>+VLOOKUP($L338,Data_Validation!$A:$E,5,0)</f>
        <v>$</v>
      </c>
      <c r="X338" s="153">
        <f>+VLOOKUP($L338,Data_Validation!$A:$F,6,0)</f>
        <v>0</v>
      </c>
    </row>
    <row r="339" spans="1:24" ht="15" customHeight="1">
      <c r="A339" s="1236" t="s">
        <v>1151</v>
      </c>
      <c r="B339" s="1237">
        <v>6253</v>
      </c>
      <c r="C339" s="1239">
        <v>386.84</v>
      </c>
      <c r="D339" s="1239">
        <v>48.54</v>
      </c>
      <c r="E339" s="1239">
        <v>435.38</v>
      </c>
      <c r="F339" s="1236" t="s">
        <v>398</v>
      </c>
      <c r="G339" s="1236" t="s">
        <v>2583</v>
      </c>
      <c r="H339" s="1241"/>
      <c r="I339" s="1248"/>
      <c r="J339" s="1248"/>
      <c r="K339" s="1248"/>
      <c r="L339" s="150">
        <f t="shared" si="18"/>
        <v>6253</v>
      </c>
      <c r="M339" s="151" t="str">
        <f t="shared" si="19"/>
        <v>TELEPHONE ET TELEX</v>
      </c>
      <c r="N339" s="152">
        <f>+IF(OR($Q339=Parametres!$G$2,$Q339=Parametres!$G$3),I339,C339)</f>
        <v>386.84</v>
      </c>
      <c r="O339" s="152">
        <f>+IF(OR($Q339=Parametres!$G$2,$Q339=Parametres!$G$3),J339,D339)</f>
        <v>48.54</v>
      </c>
      <c r="P339" s="152">
        <f>+IF(OR($Q339=Parametres!$G$2,$Q339=Parametres!$G$3),K339,E339)</f>
        <v>435.38</v>
      </c>
      <c r="Q339" s="151" t="str">
        <f t="shared" si="25"/>
        <v>7-Dépenses</v>
      </c>
      <c r="R339" s="150" t="str">
        <f t="shared" si="25"/>
        <v>6153</v>
      </c>
      <c r="S339" s="151">
        <f t="shared" si="25"/>
        <v>0</v>
      </c>
      <c r="T339" s="153">
        <f>+VLOOKUP($L339,Data_Validation!$A:$D,1,0)</f>
        <v>6253</v>
      </c>
      <c r="U339" s="153" t="str">
        <f>+VLOOKUP($L339,Data_Validation!$A:$D,3,0)</f>
        <v>Véhicules usagés</v>
      </c>
      <c r="V339" s="153" t="str">
        <f>+VLOOKUP($L339,Data_Validation!$A:$D,4,0)</f>
        <v>Téléphone</v>
      </c>
      <c r="W339" s="153" t="str">
        <f>+VLOOKUP($L339,Data_Validation!$A:$E,5,0)</f>
        <v>$</v>
      </c>
      <c r="X339" s="153">
        <f>+VLOOKUP($L339,Data_Validation!$A:$F,6,0)</f>
        <v>0</v>
      </c>
    </row>
    <row r="340" spans="1:24" ht="15" customHeight="1">
      <c r="A340" s="1236" t="s">
        <v>1234</v>
      </c>
      <c r="B340" s="1237">
        <v>6255</v>
      </c>
      <c r="C340" s="1239">
        <v>1052.8900000000001</v>
      </c>
      <c r="D340" s="1239">
        <v>449.41</v>
      </c>
      <c r="E340" s="1239">
        <v>1502.3</v>
      </c>
      <c r="F340" s="1236" t="s">
        <v>398</v>
      </c>
      <c r="G340" s="1236" t="s">
        <v>2628</v>
      </c>
      <c r="H340" s="1241"/>
      <c r="I340" s="1248"/>
      <c r="J340" s="1248"/>
      <c r="K340" s="1248"/>
      <c r="L340" s="150">
        <f t="shared" si="18"/>
        <v>6255</v>
      </c>
      <c r="M340" s="151" t="str">
        <f t="shared" si="19"/>
        <v>DEPENSES DIVERS</v>
      </c>
      <c r="N340" s="152">
        <f>+IF(OR($Q340=Parametres!$G$2,$Q340=Parametres!$G$3),I340,C340)</f>
        <v>1052.8900000000001</v>
      </c>
      <c r="O340" s="152">
        <f>+IF(OR($Q340=Parametres!$G$2,$Q340=Parametres!$G$3),J340,D340)</f>
        <v>449.41</v>
      </c>
      <c r="P340" s="152">
        <f>+IF(OR($Q340=Parametres!$G$2,$Q340=Parametres!$G$3),K340,E340)</f>
        <v>1502.3</v>
      </c>
      <c r="Q340" s="151" t="str">
        <f t="shared" si="25"/>
        <v>7-Dépenses</v>
      </c>
      <c r="R340" s="150" t="str">
        <f t="shared" si="25"/>
        <v>6155</v>
      </c>
      <c r="S340" s="151">
        <f t="shared" si="25"/>
        <v>0</v>
      </c>
      <c r="T340" s="153">
        <f>+VLOOKUP($L340,Data_Validation!$A:$D,1,0)</f>
        <v>6255</v>
      </c>
      <c r="U340" s="153" t="str">
        <f>+VLOOKUP($L340,Data_Validation!$A:$D,3,0)</f>
        <v>Véhicules usagés</v>
      </c>
      <c r="V340" s="153" t="str">
        <f>+VLOOKUP($L340,Data_Validation!$A:$D,4,0)</f>
        <v>Divers</v>
      </c>
      <c r="W340" s="153" t="str">
        <f>+VLOOKUP($L340,Data_Validation!$A:$E,5,0)</f>
        <v>$</v>
      </c>
      <c r="X340" s="153">
        <f>+VLOOKUP($L340,Data_Validation!$A:$F,6,0)</f>
        <v>0</v>
      </c>
    </row>
    <row r="341" spans="1:24" ht="15" customHeight="1">
      <c r="A341" s="1236" t="s">
        <v>1244</v>
      </c>
      <c r="B341" s="1237">
        <v>6256</v>
      </c>
      <c r="C341" s="1239">
        <v>349.5</v>
      </c>
      <c r="D341" s="1239">
        <v>229.67</v>
      </c>
      <c r="E341" s="1239">
        <v>579.16999999999996</v>
      </c>
      <c r="F341" s="1236" t="s">
        <v>398</v>
      </c>
      <c r="G341" s="1236" t="s">
        <v>2461</v>
      </c>
      <c r="H341" s="1241"/>
      <c r="I341" s="1249"/>
      <c r="J341" s="1249"/>
      <c r="K341" s="1249"/>
      <c r="L341" s="150">
        <f t="shared" si="18"/>
        <v>6256</v>
      </c>
      <c r="M341" s="151" t="str">
        <f t="shared" si="19"/>
        <v>FRAIS REPRESENTATION - USAGE</v>
      </c>
      <c r="N341" s="152">
        <f>+IF(OR($Q341=Parametres!$G$2,$Q341=Parametres!$G$3),I341,C341)</f>
        <v>349.5</v>
      </c>
      <c r="O341" s="152">
        <f>+IF(OR($Q341=Parametres!$G$2,$Q341=Parametres!$G$3),J341,D341)</f>
        <v>229.67</v>
      </c>
      <c r="P341" s="152">
        <f>+IF(OR($Q341=Parametres!$G$2,$Q341=Parametres!$G$3),K341,E341)</f>
        <v>579.16999999999996</v>
      </c>
      <c r="Q341" s="151" t="str">
        <f t="shared" si="25"/>
        <v>7-Dépenses</v>
      </c>
      <c r="R341" s="150" t="str">
        <f t="shared" si="25"/>
        <v>6156</v>
      </c>
      <c r="S341" s="151">
        <f t="shared" si="25"/>
        <v>0</v>
      </c>
      <c r="T341" s="153">
        <f>+VLOOKUP($L341,Data_Validation!$A:$D,1,0)</f>
        <v>6256</v>
      </c>
      <c r="U341" s="153" t="str">
        <f>+VLOOKUP($L341,Data_Validation!$A:$D,3,0)</f>
        <v>Véhicules usagés</v>
      </c>
      <c r="V341" s="153" t="str">
        <f>+VLOOKUP($L341,Data_Validation!$A:$D,4,0)</f>
        <v>Frais de déplacement</v>
      </c>
      <c r="W341" s="153" t="str">
        <f>+VLOOKUP($L341,Data_Validation!$A:$E,5,0)</f>
        <v>$</v>
      </c>
      <c r="X341" s="153">
        <f>+VLOOKUP($L341,Data_Validation!$A:$F,6,0)</f>
        <v>0</v>
      </c>
    </row>
    <row r="342" spans="1:24" ht="15" customHeight="1">
      <c r="A342" s="1236" t="s">
        <v>1305</v>
      </c>
      <c r="B342" s="1237">
        <v>6259</v>
      </c>
      <c r="C342" s="1239">
        <v>4229.78</v>
      </c>
      <c r="D342" s="1239">
        <v>1235.5</v>
      </c>
      <c r="E342" s="1239">
        <v>5465.28</v>
      </c>
      <c r="F342" s="1236" t="s">
        <v>398</v>
      </c>
      <c r="G342" s="1236" t="s">
        <v>2653</v>
      </c>
      <c r="H342" s="1241"/>
      <c r="I342" s="1249"/>
      <c r="J342" s="1249"/>
      <c r="K342" s="1249"/>
      <c r="L342" s="150">
        <f t="shared" si="18"/>
        <v>6259</v>
      </c>
      <c r="M342" s="151" t="str">
        <f t="shared" si="19"/>
        <v>SERVICE EXTERIEUR</v>
      </c>
      <c r="N342" s="152">
        <f>+IF(OR($Q342=Parametres!$G$2,$Q342=Parametres!$G$3),I342,C342)</f>
        <v>4229.78</v>
      </c>
      <c r="O342" s="152">
        <f>+IF(OR($Q342=Parametres!$G$2,$Q342=Parametres!$G$3),J342,D342)</f>
        <v>1235.5</v>
      </c>
      <c r="P342" s="152">
        <f>+IF(OR($Q342=Parametres!$G$2,$Q342=Parametres!$G$3),K342,E342)</f>
        <v>5465.28</v>
      </c>
      <c r="Q342" s="151" t="str">
        <f t="shared" si="25"/>
        <v>7-Dépenses</v>
      </c>
      <c r="R342" s="150" t="str">
        <f t="shared" si="25"/>
        <v>6159</v>
      </c>
      <c r="S342" s="151">
        <f t="shared" si="25"/>
        <v>0</v>
      </c>
      <c r="T342" s="153">
        <f>+VLOOKUP($L342,Data_Validation!$A:$D,1,0)</f>
        <v>6259</v>
      </c>
      <c r="U342" s="153" t="str">
        <f>+VLOOKUP($L342,Data_Validation!$A:$D,3,0)</f>
        <v>Véhicules usagés</v>
      </c>
      <c r="V342" s="153" t="str">
        <f>+VLOOKUP($L342,Data_Validation!$A:$D,4,0)</f>
        <v>Services extérieurs</v>
      </c>
      <c r="W342" s="153" t="str">
        <f>+VLOOKUP($L342,Data_Validation!$A:$E,5,0)</f>
        <v>$</v>
      </c>
      <c r="X342" s="153">
        <f>+VLOOKUP($L342,Data_Validation!$A:$F,6,0)</f>
        <v>0</v>
      </c>
    </row>
    <row r="343" spans="1:24" ht="15.75" customHeight="1">
      <c r="A343" s="1236" t="s">
        <v>1330</v>
      </c>
      <c r="B343" s="1237">
        <v>6261</v>
      </c>
      <c r="C343" s="1239">
        <v>4400.16</v>
      </c>
      <c r="D343" s="1239">
        <v>-1716.12</v>
      </c>
      <c r="E343" s="1239">
        <v>2684.04</v>
      </c>
      <c r="F343" s="1236" t="s">
        <v>398</v>
      </c>
      <c r="G343" s="1236" t="s">
        <v>2644</v>
      </c>
      <c r="H343" s="1241"/>
      <c r="I343" s="1249"/>
      <c r="J343" s="1249"/>
      <c r="K343" s="1249"/>
      <c r="L343" s="150">
        <f t="shared" si="18"/>
        <v>6261</v>
      </c>
      <c r="M343" s="151" t="str">
        <f t="shared" si="19"/>
        <v>DEPRECIATION EQUIP. &amp; FIXTURES</v>
      </c>
      <c r="N343" s="152">
        <f>+IF(OR($Q343=Parametres!$G$2,$Q343=Parametres!$G$3),I343,C343)</f>
        <v>4400.16</v>
      </c>
      <c r="O343" s="152">
        <f>+IF(OR($Q343=Parametres!$G$2,$Q343=Parametres!$G$3),J343,D343)</f>
        <v>-1716.12</v>
      </c>
      <c r="P343" s="152">
        <f>+IF(OR($Q343=Parametres!$G$2,$Q343=Parametres!$G$3),K343,E343)</f>
        <v>2684.04</v>
      </c>
      <c r="Q343" s="151" t="str">
        <f t="shared" si="25"/>
        <v>7-Dépenses</v>
      </c>
      <c r="R343" s="150" t="str">
        <f t="shared" si="25"/>
        <v>6161</v>
      </c>
      <c r="S343" s="151">
        <f t="shared" si="25"/>
        <v>0</v>
      </c>
      <c r="T343" s="153">
        <f>+VLOOKUP($L343,Data_Validation!$A:$D,1,0)</f>
        <v>6261</v>
      </c>
      <c r="U343" s="153" t="str">
        <f>+VLOOKUP($L343,Data_Validation!$A:$D,3,0)</f>
        <v>Véhicules usagés</v>
      </c>
      <c r="V343" s="153" t="str">
        <f>+VLOOKUP($L343,Data_Validation!$A:$D,4,0)</f>
        <v>Amortissement</v>
      </c>
      <c r="W343" s="153" t="str">
        <f>+VLOOKUP($L343,Data_Validation!$A:$E,5,0)</f>
        <v>$</v>
      </c>
      <c r="X343" s="153">
        <f>+VLOOKUP($L343,Data_Validation!$A:$F,6,0)</f>
        <v>0</v>
      </c>
    </row>
    <row r="344" spans="1:24" ht="15" customHeight="1">
      <c r="A344" s="1236" t="s">
        <v>1377</v>
      </c>
      <c r="B344" s="1237">
        <v>6281</v>
      </c>
      <c r="C344" s="1239">
        <v>1204.46</v>
      </c>
      <c r="D344" s="1239">
        <v>409.33</v>
      </c>
      <c r="E344" s="1239">
        <v>1613.79</v>
      </c>
      <c r="F344" s="1236" t="s">
        <v>398</v>
      </c>
      <c r="G344" s="1236" t="s">
        <v>2595</v>
      </c>
      <c r="H344" s="1241"/>
      <c r="I344" s="1249"/>
      <c r="J344" s="1249"/>
      <c r="K344" s="1249"/>
      <c r="L344" s="150">
        <f t="shared" si="18"/>
        <v>6281</v>
      </c>
      <c r="M344" s="151" t="str">
        <f t="shared" si="19"/>
        <v>CHAUFFAGE,ELECTRICITE,EAU-USAGE</v>
      </c>
      <c r="N344" s="152">
        <f>+IF(OR($Q344=Parametres!$G$2,$Q344=Parametres!$G$3),I344,C344)</f>
        <v>1204.46</v>
      </c>
      <c r="O344" s="152">
        <f>+IF(OR($Q344=Parametres!$G$2,$Q344=Parametres!$G$3),J344,D344)</f>
        <v>409.33</v>
      </c>
      <c r="P344" s="152">
        <f>+IF(OR($Q344=Parametres!$G$2,$Q344=Parametres!$G$3),K344,E344)</f>
        <v>1613.79</v>
      </c>
      <c r="Q344" s="151" t="str">
        <f t="shared" si="25"/>
        <v>7-Dépenses</v>
      </c>
      <c r="R344" s="150" t="str">
        <f t="shared" si="25"/>
        <v>6181</v>
      </c>
      <c r="S344" s="151">
        <f t="shared" si="25"/>
        <v>0</v>
      </c>
      <c r="T344" s="153">
        <f>+VLOOKUP($L344,Data_Validation!$A:$D,1,0)</f>
        <v>6281</v>
      </c>
      <c r="U344" s="153" t="str">
        <f>+VLOOKUP($L344,Data_Validation!$A:$D,3,0)</f>
        <v>Véhicules usagés</v>
      </c>
      <c r="V344" s="153" t="str">
        <f>+VLOOKUP($L344,Data_Validation!$A:$D,4,0)</f>
        <v>Chauffage, éclairage</v>
      </c>
      <c r="W344" s="153" t="str">
        <f>+VLOOKUP($L344,Data_Validation!$A:$E,5,0)</f>
        <v>$</v>
      </c>
      <c r="X344" s="153">
        <f>+VLOOKUP($L344,Data_Validation!$A:$F,6,0)</f>
        <v>0</v>
      </c>
    </row>
    <row r="345" spans="1:24" ht="15" customHeight="1">
      <c r="A345" s="1236" t="s">
        <v>1459</v>
      </c>
      <c r="B345" s="1237">
        <v>6282</v>
      </c>
      <c r="C345" s="1239">
        <v>12480</v>
      </c>
      <c r="D345" s="1239">
        <v>3120</v>
      </c>
      <c r="E345" s="1239">
        <v>15600</v>
      </c>
      <c r="F345" s="1236" t="s">
        <v>398</v>
      </c>
      <c r="G345" s="1236" t="s">
        <v>2700</v>
      </c>
      <c r="H345" s="1241"/>
      <c r="I345" s="1249"/>
      <c r="J345" s="1249"/>
      <c r="K345" s="1249"/>
      <c r="L345" s="150">
        <f t="shared" si="18"/>
        <v>6282</v>
      </c>
      <c r="M345" s="151" t="str">
        <f t="shared" si="19"/>
        <v>LOYER - USAGE</v>
      </c>
      <c r="N345" s="152">
        <f>+IF(OR($Q345=Parametres!$G$2,$Q345=Parametres!$G$3),I345,C345)</f>
        <v>12480</v>
      </c>
      <c r="O345" s="152">
        <f>+IF(OR($Q345=Parametres!$G$2,$Q345=Parametres!$G$3),J345,D345)</f>
        <v>3120</v>
      </c>
      <c r="P345" s="152">
        <f>+IF(OR($Q345=Parametres!$G$2,$Q345=Parametres!$G$3),K345,E345)</f>
        <v>15600</v>
      </c>
      <c r="Q345" s="151" t="str">
        <f t="shared" si="25"/>
        <v>7-Dépenses</v>
      </c>
      <c r="R345" s="150" t="str">
        <f t="shared" si="25"/>
        <v>6182</v>
      </c>
      <c r="S345" s="151">
        <f t="shared" si="25"/>
        <v>0</v>
      </c>
      <c r="T345" s="153">
        <f>+VLOOKUP($L345,Data_Validation!$A:$D,1,0)</f>
        <v>6282</v>
      </c>
      <c r="U345" s="153" t="str">
        <f>+VLOOKUP($L345,Data_Validation!$A:$D,3,0)</f>
        <v>Véhicules usagés</v>
      </c>
      <c r="V345" s="153" t="str">
        <f>+VLOOKUP($L345,Data_Validation!$A:$D,4,0)</f>
        <v>Loyer</v>
      </c>
      <c r="W345" s="153" t="str">
        <f>+VLOOKUP($L345,Data_Validation!$A:$E,5,0)</f>
        <v>$</v>
      </c>
      <c r="X345" s="153">
        <f>+VLOOKUP($L345,Data_Validation!$A:$F,6,0)</f>
        <v>0</v>
      </c>
    </row>
    <row r="346" spans="1:24" ht="15" customHeight="1">
      <c r="A346" s="1236" t="s">
        <v>1287</v>
      </c>
      <c r="B346" s="1237">
        <v>6286</v>
      </c>
      <c r="C346" s="1239">
        <v>1779.88</v>
      </c>
      <c r="D346" s="1239">
        <v>444.97</v>
      </c>
      <c r="E346" s="1239">
        <v>2224.85</v>
      </c>
      <c r="F346" s="1236" t="s">
        <v>398</v>
      </c>
      <c r="G346" s="1236" t="s">
        <v>2585</v>
      </c>
      <c r="H346" s="1241"/>
      <c r="I346" s="1249"/>
      <c r="J346" s="1249"/>
      <c r="K346" s="1249"/>
      <c r="L346" s="150">
        <f t="shared" si="18"/>
        <v>6286</v>
      </c>
      <c r="M346" s="151" t="str">
        <f t="shared" si="19"/>
        <v>ASSURANCE BATISSE &amp; AMEL.-USAGE</v>
      </c>
      <c r="N346" s="152">
        <f>+IF(OR($Q346=Parametres!$G$2,$Q346=Parametres!$G$3),I346,C346)</f>
        <v>1779.88</v>
      </c>
      <c r="O346" s="152">
        <f>+IF(OR($Q346=Parametres!$G$2,$Q346=Parametres!$G$3),J346,D346)</f>
        <v>444.97</v>
      </c>
      <c r="P346" s="152">
        <f>+IF(OR($Q346=Parametres!$G$2,$Q346=Parametres!$G$3),K346,E346)</f>
        <v>2224.85</v>
      </c>
      <c r="Q346" s="151" t="str">
        <f t="shared" si="25"/>
        <v>7-Dépenses</v>
      </c>
      <c r="R346" s="150" t="str">
        <f t="shared" si="25"/>
        <v>6186</v>
      </c>
      <c r="S346" s="151">
        <f t="shared" si="25"/>
        <v>0</v>
      </c>
      <c r="T346" s="153">
        <f>+VLOOKUP($L346,Data_Validation!$A:$D,1,0)</f>
        <v>6286</v>
      </c>
      <c r="U346" s="153" t="str">
        <f>+VLOOKUP($L346,Data_Validation!$A:$D,3,0)</f>
        <v>Véhicules usagés</v>
      </c>
      <c r="V346" s="153" t="str">
        <f>+VLOOKUP($L346,Data_Validation!$A:$D,4,0)</f>
        <v>Assurances</v>
      </c>
      <c r="W346" s="153" t="str">
        <f>+VLOOKUP($L346,Data_Validation!$A:$E,5,0)</f>
        <v>$</v>
      </c>
      <c r="X346" s="153">
        <f>+VLOOKUP($L346,Data_Validation!$A:$F,6,0)</f>
        <v>0</v>
      </c>
    </row>
    <row r="347" spans="1:24" ht="15.75" customHeight="1">
      <c r="A347" s="1236" t="s">
        <v>1200</v>
      </c>
      <c r="B347" s="1237">
        <v>6287</v>
      </c>
      <c r="C347" s="1239">
        <v>2308.8000000000002</v>
      </c>
      <c r="D347" s="1239">
        <v>577.20000000000005</v>
      </c>
      <c r="E347" s="1239">
        <v>2886</v>
      </c>
      <c r="F347" s="1236" t="s">
        <v>398</v>
      </c>
      <c r="G347" s="1236" t="s">
        <v>2605</v>
      </c>
      <c r="H347" s="1241"/>
      <c r="I347" s="1249"/>
      <c r="J347" s="1249"/>
      <c r="K347" s="1249"/>
      <c r="L347" s="150">
        <f t="shared" si="18"/>
        <v>6287</v>
      </c>
      <c r="M347" s="151" t="str">
        <f t="shared" si="19"/>
        <v>TAXES FONCIERES - USAGE</v>
      </c>
      <c r="N347" s="152">
        <f>+IF(OR($Q347=Parametres!$G$2,$Q347=Parametres!$G$3),I347,C347)</f>
        <v>2308.8000000000002</v>
      </c>
      <c r="O347" s="152">
        <f>+IF(OR($Q347=Parametres!$G$2,$Q347=Parametres!$G$3),J347,D347)</f>
        <v>577.20000000000005</v>
      </c>
      <c r="P347" s="152">
        <f>+IF(OR($Q347=Parametres!$G$2,$Q347=Parametres!$G$3),K347,E347)</f>
        <v>2886</v>
      </c>
      <c r="Q347" s="151" t="str">
        <f t="shared" si="25"/>
        <v>7-Dépenses</v>
      </c>
      <c r="R347" s="150" t="str">
        <f t="shared" si="25"/>
        <v>6187</v>
      </c>
      <c r="S347" s="151">
        <f t="shared" si="25"/>
        <v>0</v>
      </c>
      <c r="T347" s="153">
        <f>+VLOOKUP($L347,Data_Validation!$A:$D,1,0)</f>
        <v>6287</v>
      </c>
      <c r="U347" s="153" t="str">
        <f>+VLOOKUP($L347,Data_Validation!$A:$D,3,0)</f>
        <v>Véhicules usagés</v>
      </c>
      <c r="V347" s="153" t="str">
        <f>+VLOOKUP($L347,Data_Validation!$A:$D,4,0)</f>
        <v>Taxes foncières</v>
      </c>
      <c r="W347" s="153" t="str">
        <f>+VLOOKUP($L347,Data_Validation!$A:$E,5,0)</f>
        <v>$</v>
      </c>
      <c r="X347" s="153">
        <f>+VLOOKUP($L347,Data_Validation!$A:$F,6,0)</f>
        <v>0</v>
      </c>
    </row>
    <row r="348" spans="1:24" ht="15" customHeight="1">
      <c r="A348" s="1236" t="s">
        <v>1390</v>
      </c>
      <c r="B348" s="1237">
        <v>6293</v>
      </c>
      <c r="C348" s="1239">
        <v>1536</v>
      </c>
      <c r="D348" s="1239">
        <v>384</v>
      </c>
      <c r="E348" s="1239">
        <v>1920</v>
      </c>
      <c r="F348" s="1236" t="s">
        <v>398</v>
      </c>
      <c r="G348" s="1236" t="s">
        <v>2588</v>
      </c>
      <c r="H348" s="1241"/>
      <c r="I348" s="1249"/>
      <c r="J348" s="1249"/>
      <c r="K348" s="1249"/>
      <c r="L348" s="150">
        <f t="shared" si="18"/>
        <v>6293</v>
      </c>
      <c r="M348" s="151" t="str">
        <f t="shared" si="19"/>
        <v>AUTRE TAXES - USAGES</v>
      </c>
      <c r="N348" s="152">
        <f>+IF(OR($Q348=Parametres!$G$2,$Q348=Parametres!$G$3),I348,C348)</f>
        <v>1536</v>
      </c>
      <c r="O348" s="152">
        <f>+IF(OR($Q348=Parametres!$G$2,$Q348=Parametres!$G$3),J348,D348)</f>
        <v>384</v>
      </c>
      <c r="P348" s="152">
        <f>+IF(OR($Q348=Parametres!$G$2,$Q348=Parametres!$G$3),K348,E348)</f>
        <v>1920</v>
      </c>
      <c r="Q348" s="151" t="str">
        <f t="shared" si="25"/>
        <v>7-Dépenses</v>
      </c>
      <c r="R348" s="150" t="str">
        <f t="shared" si="25"/>
        <v>6193</v>
      </c>
      <c r="S348" s="151">
        <f t="shared" si="25"/>
        <v>0</v>
      </c>
      <c r="T348" s="153">
        <f>+VLOOKUP($L348,Data_Validation!$A:$D,1,0)</f>
        <v>6293</v>
      </c>
      <c r="U348" s="153" t="str">
        <f>+VLOOKUP($L348,Data_Validation!$A:$D,3,0)</f>
        <v>Véhicules usagés</v>
      </c>
      <c r="V348" s="153" t="str">
        <f>+VLOOKUP($L348,Data_Validation!$A:$D,4,0)</f>
        <v>Taxes d`affaires</v>
      </c>
      <c r="W348" s="153" t="str">
        <f>+VLOOKUP($L348,Data_Validation!$A:$E,5,0)</f>
        <v>$</v>
      </c>
      <c r="X348" s="153">
        <f>+VLOOKUP($L348,Data_Validation!$A:$F,6,0)</f>
        <v>0</v>
      </c>
    </row>
    <row r="349" spans="1:24" ht="15" customHeight="1">
      <c r="A349" s="1236" t="s">
        <v>1315</v>
      </c>
      <c r="B349" s="1237">
        <v>6294</v>
      </c>
      <c r="C349" s="1239">
        <v>3088.77</v>
      </c>
      <c r="D349" s="1239">
        <v>856.35</v>
      </c>
      <c r="E349" s="1239">
        <v>3945.12</v>
      </c>
      <c r="F349" s="1236" t="s">
        <v>398</v>
      </c>
      <c r="G349" s="1236" t="s">
        <v>2626</v>
      </c>
      <c r="H349" s="1241"/>
      <c r="I349" s="1249"/>
      <c r="J349" s="1249"/>
      <c r="K349" s="1249"/>
      <c r="L349" s="150">
        <f t="shared" si="18"/>
        <v>6294</v>
      </c>
      <c r="M349" s="151" t="str">
        <f t="shared" si="19"/>
        <v>FRAIS PROFESSIONNEL-USAGE</v>
      </c>
      <c r="N349" s="152">
        <f>+IF(OR($Q349=Parametres!$G$2,$Q349=Parametres!$G$3),I349,C349)</f>
        <v>3088.77</v>
      </c>
      <c r="O349" s="152">
        <f>+IF(OR($Q349=Parametres!$G$2,$Q349=Parametres!$G$3),J349,D349)</f>
        <v>856.35</v>
      </c>
      <c r="P349" s="152">
        <f>+IF(OR($Q349=Parametres!$G$2,$Q349=Parametres!$G$3),K349,E349)</f>
        <v>3945.12</v>
      </c>
      <c r="Q349" s="151" t="str">
        <f t="shared" si="25"/>
        <v>7-Dépenses</v>
      </c>
      <c r="R349" s="150" t="str">
        <f t="shared" si="25"/>
        <v>6194</v>
      </c>
      <c r="S349" s="151">
        <f t="shared" si="25"/>
        <v>0</v>
      </c>
      <c r="T349" s="153">
        <f>+VLOOKUP($L349,Data_Validation!$A:$D,1,0)</f>
        <v>6294</v>
      </c>
      <c r="U349" s="153" t="str">
        <f>+VLOOKUP($L349,Data_Validation!$A:$D,3,0)</f>
        <v>Véhicules usagés</v>
      </c>
      <c r="V349" s="153" t="str">
        <f>+VLOOKUP($L349,Data_Validation!$A:$D,4,0)</f>
        <v>Honoraires</v>
      </c>
      <c r="W349" s="153" t="str">
        <f>+VLOOKUP($L349,Data_Validation!$A:$E,5,0)</f>
        <v>$</v>
      </c>
      <c r="X349" s="153">
        <f>+VLOOKUP($L349,Data_Validation!$A:$F,6,0)</f>
        <v>0</v>
      </c>
    </row>
    <row r="350" spans="1:24" ht="15" customHeight="1">
      <c r="A350" s="1236" t="s">
        <v>1400</v>
      </c>
      <c r="B350" s="1237">
        <v>6403</v>
      </c>
      <c r="C350" s="1239">
        <v>9752.09</v>
      </c>
      <c r="D350" s="1239">
        <v>4146.0600000000004</v>
      </c>
      <c r="E350" s="1239">
        <v>13898.15</v>
      </c>
      <c r="F350" s="1236" t="s">
        <v>398</v>
      </c>
      <c r="G350" s="1236" t="s">
        <v>2458</v>
      </c>
      <c r="H350" s="1241"/>
      <c r="I350" s="1249"/>
      <c r="J350" s="1249"/>
      <c r="K350" s="1249"/>
      <c r="L350" s="150">
        <f t="shared" si="18"/>
        <v>6403</v>
      </c>
      <c r="M350" s="151" t="str">
        <f t="shared" si="19"/>
        <v>RELAT. A LA CLIENTELE &amp; AJUST</v>
      </c>
      <c r="N350" s="152">
        <f>+IF(OR($Q350=Parametres!$G$2,$Q350=Parametres!$G$3),I350,C350)</f>
        <v>9752.09</v>
      </c>
      <c r="O350" s="152">
        <f>+IF(OR($Q350=Parametres!$G$2,$Q350=Parametres!$G$3),J350,D350)</f>
        <v>4146.0600000000004</v>
      </c>
      <c r="P350" s="152">
        <f>+IF(OR($Q350=Parametres!$G$2,$Q350=Parametres!$G$3),K350,E350)</f>
        <v>13898.15</v>
      </c>
      <c r="Q350" s="151" t="str">
        <f t="shared" si="25"/>
        <v>7-Dépenses</v>
      </c>
      <c r="R350" s="150" t="str">
        <f t="shared" si="25"/>
        <v>6112</v>
      </c>
      <c r="S350" s="151">
        <f t="shared" si="25"/>
        <v>0</v>
      </c>
      <c r="T350" s="153">
        <f>+VLOOKUP($L350,Data_Validation!$A:$D,1,0)</f>
        <v>6403</v>
      </c>
      <c r="U350" s="153" t="str">
        <f>+VLOOKUP($L350,Data_Validation!$A:$D,3,0)</f>
        <v>Service</v>
      </c>
      <c r="V350" s="153" t="str">
        <f>+VLOOKUP($L350,Data_Validation!$A:$D,4,0)</f>
        <v>Service gratuit 2</v>
      </c>
      <c r="W350" s="153" t="str">
        <f>+VLOOKUP($L350,Data_Validation!$A:$E,5,0)</f>
        <v>$</v>
      </c>
      <c r="X350" s="153">
        <f>+VLOOKUP($L350,Data_Validation!$A:$F,6,0)</f>
        <v>0</v>
      </c>
    </row>
    <row r="351" spans="1:24" ht="15" customHeight="1">
      <c r="A351" s="1236" t="s">
        <v>1447</v>
      </c>
      <c r="B351" s="1237">
        <v>6412</v>
      </c>
      <c r="C351" s="1239">
        <v>293.87</v>
      </c>
      <c r="D351" s="1239">
        <v>633.53</v>
      </c>
      <c r="E351" s="1239">
        <v>927.4</v>
      </c>
      <c r="F351" s="1236" t="s">
        <v>398</v>
      </c>
      <c r="G351" s="1236" t="s">
        <v>2458</v>
      </c>
      <c r="H351" s="1241"/>
      <c r="I351" s="1249"/>
      <c r="J351" s="1249"/>
      <c r="K351" s="1249"/>
      <c r="L351" s="150">
        <f t="shared" si="18"/>
        <v>6412</v>
      </c>
      <c r="M351" s="151" t="str">
        <f t="shared" si="19"/>
        <v>AUTORISATION &amp; GAR./VEH. USA</v>
      </c>
      <c r="N351" s="152">
        <f>+IF(OR($Q351=Parametres!$G$2,$Q351=Parametres!$G$3),I351,C351)</f>
        <v>293.87</v>
      </c>
      <c r="O351" s="152">
        <f>+IF(OR($Q351=Parametres!$G$2,$Q351=Parametres!$G$3),J351,D351)</f>
        <v>633.53</v>
      </c>
      <c r="P351" s="152">
        <f>+IF(OR($Q351=Parametres!$G$2,$Q351=Parametres!$G$3),K351,E351)</f>
        <v>927.4</v>
      </c>
      <c r="Q351" s="151" t="str">
        <f t="shared" si="25"/>
        <v>7-Dépenses</v>
      </c>
      <c r="R351" s="150" t="str">
        <f t="shared" si="25"/>
        <v>6112</v>
      </c>
      <c r="S351" s="151">
        <f t="shared" si="25"/>
        <v>0</v>
      </c>
      <c r="T351" s="153">
        <f>+VLOOKUP($L351,Data_Validation!$A:$D,1,0)</f>
        <v>6412</v>
      </c>
      <c r="U351" s="153" t="str">
        <f>+VLOOKUP($L351,Data_Validation!$A:$D,3,0)</f>
        <v>Service</v>
      </c>
      <c r="V351" s="153" t="str">
        <f>+VLOOKUP($L351,Data_Validation!$A:$D,4,0)</f>
        <v>Service gratuit 2</v>
      </c>
      <c r="W351" s="153" t="str">
        <f>+VLOOKUP($L351,Data_Validation!$A:$E,5,0)</f>
        <v>$</v>
      </c>
      <c r="X351" s="153">
        <f>+VLOOKUP($L351,Data_Validation!$A:$F,6,0)</f>
        <v>0</v>
      </c>
    </row>
    <row r="352" spans="1:24" ht="15.75" customHeight="1">
      <c r="A352" s="1236" t="s">
        <v>1371</v>
      </c>
      <c r="B352" s="1237">
        <v>6414</v>
      </c>
      <c r="C352" s="1239">
        <v>24326.39</v>
      </c>
      <c r="D352" s="1239">
        <v>6869.4</v>
      </c>
      <c r="E352" s="1239">
        <v>31195.79</v>
      </c>
      <c r="F352" s="1236" t="s">
        <v>398</v>
      </c>
      <c r="G352" s="1236" t="s">
        <v>2106</v>
      </c>
      <c r="H352" s="1241"/>
      <c r="I352" s="1249"/>
      <c r="J352" s="1249"/>
      <c r="K352" s="1249"/>
      <c r="L352" s="150">
        <f t="shared" si="18"/>
        <v>6414</v>
      </c>
      <c r="M352" s="151" t="str">
        <f t="shared" si="19"/>
        <v>PUBLICITE</v>
      </c>
      <c r="N352" s="152">
        <f>+IF(OR($Q352=Parametres!$G$2,$Q352=Parametres!$G$3),I352,C352)</f>
        <v>24326.39</v>
      </c>
      <c r="O352" s="152">
        <f>+IF(OR($Q352=Parametres!$G$2,$Q352=Parametres!$G$3),J352,D352)</f>
        <v>6869.4</v>
      </c>
      <c r="P352" s="152">
        <f>+IF(OR($Q352=Parametres!$G$2,$Q352=Parametres!$G$3),K352,E352)</f>
        <v>31195.79</v>
      </c>
      <c r="Q352" s="151" t="str">
        <f t="shared" si="25"/>
        <v>7-Dépenses</v>
      </c>
      <c r="R352" s="150" t="str">
        <f t="shared" si="25"/>
        <v>6114</v>
      </c>
      <c r="S352" s="151">
        <f t="shared" si="25"/>
        <v>0</v>
      </c>
      <c r="T352" s="153">
        <f>+VLOOKUP($L352,Data_Validation!$A:$D,1,0)</f>
        <v>6414</v>
      </c>
      <c r="U352" s="153" t="str">
        <f>+VLOOKUP($L352,Data_Validation!$A:$D,3,0)</f>
        <v>Service</v>
      </c>
      <c r="V352" s="153" t="str">
        <f>+VLOOKUP($L352,Data_Validation!$A:$D,4,0)</f>
        <v>Publicité 2</v>
      </c>
      <c r="W352" s="153" t="str">
        <f>+VLOOKUP($L352,Data_Validation!$A:$E,5,0)</f>
        <v>$</v>
      </c>
      <c r="X352" s="153">
        <f>+VLOOKUP($L352,Data_Validation!$A:$F,6,0)</f>
        <v>0</v>
      </c>
    </row>
    <row r="353" spans="1:24" ht="15" customHeight="1">
      <c r="A353" s="1236" t="s">
        <v>1256</v>
      </c>
      <c r="B353" s="1237">
        <v>6421</v>
      </c>
      <c r="C353" s="1239">
        <v>2800</v>
      </c>
      <c r="D353" s="1239">
        <v>560.70000000000005</v>
      </c>
      <c r="E353" s="1239">
        <v>3360.7</v>
      </c>
      <c r="F353" s="1236" t="s">
        <v>398</v>
      </c>
      <c r="G353" s="1236" t="s">
        <v>2639</v>
      </c>
      <c r="H353" s="1241"/>
      <c r="I353" s="1249"/>
      <c r="J353" s="1249"/>
      <c r="K353" s="1249"/>
      <c r="L353" s="150">
        <f t="shared" si="18"/>
        <v>6421</v>
      </c>
      <c r="M353" s="151" t="str">
        <f t="shared" si="19"/>
        <v>SALAIRES - PROPRIETAIRES</v>
      </c>
      <c r="N353" s="152">
        <f>+IF(OR($Q353=Parametres!$G$2,$Q353=Parametres!$G$3),I353,C353)</f>
        <v>2800</v>
      </c>
      <c r="O353" s="152">
        <f>+IF(OR($Q353=Parametres!$G$2,$Q353=Parametres!$G$3),J353,D353)</f>
        <v>560.70000000000005</v>
      </c>
      <c r="P353" s="152">
        <f>+IF(OR($Q353=Parametres!$G$2,$Q353=Parametres!$G$3),K353,E353)</f>
        <v>3360.7</v>
      </c>
      <c r="Q353" s="151" t="str">
        <f t="shared" si="25"/>
        <v>7-Dépenses</v>
      </c>
      <c r="R353" s="150" t="str">
        <f t="shared" si="25"/>
        <v>6121</v>
      </c>
      <c r="S353" s="151">
        <f t="shared" si="25"/>
        <v>0</v>
      </c>
      <c r="T353" s="153">
        <f>+VLOOKUP($L353,Data_Validation!$A:$D,1,0)</f>
        <v>6421</v>
      </c>
      <c r="U353" s="153" t="str">
        <f>+VLOOKUP($L353,Data_Validation!$A:$D,3,0)</f>
        <v>Service</v>
      </c>
      <c r="V353" s="153" t="str">
        <f>+VLOOKUP($L353,Data_Validation!$A:$D,4,0)</f>
        <v>Salaires propriétaire</v>
      </c>
      <c r="W353" s="153" t="str">
        <f>+VLOOKUP($L353,Data_Validation!$A:$E,5,0)</f>
        <v>$</v>
      </c>
      <c r="X353" s="153">
        <f>+VLOOKUP($L353,Data_Validation!$A:$F,6,0)</f>
        <v>0</v>
      </c>
    </row>
    <row r="354" spans="1:24" ht="15" customHeight="1">
      <c r="A354" s="1236" t="s">
        <v>2615</v>
      </c>
      <c r="B354" s="1237">
        <v>6422</v>
      </c>
      <c r="C354" s="1239">
        <v>48999.65</v>
      </c>
      <c r="D354" s="1239">
        <v>10025.44</v>
      </c>
      <c r="E354" s="1239">
        <v>59025.09</v>
      </c>
      <c r="F354" s="1236" t="s">
        <v>398</v>
      </c>
      <c r="G354" s="1236" t="s">
        <v>2617</v>
      </c>
      <c r="H354" s="1241"/>
      <c r="I354" s="1249"/>
      <c r="J354" s="1249"/>
      <c r="K354" s="1249"/>
      <c r="L354" s="150">
        <f t="shared" si="18"/>
        <v>6422</v>
      </c>
      <c r="M354" s="151" t="str">
        <f t="shared" si="19"/>
        <v>SAL SUPERVISION / GERANT</v>
      </c>
      <c r="N354" s="152">
        <f>+IF(OR($Q354=Parametres!$G$2,$Q354=Parametres!$G$3),I354,C354)</f>
        <v>48999.65</v>
      </c>
      <c r="O354" s="152">
        <f>+IF(OR($Q354=Parametres!$G$2,$Q354=Parametres!$G$3),J354,D354)</f>
        <v>10025.44</v>
      </c>
      <c r="P354" s="152">
        <f>+IF(OR($Q354=Parametres!$G$2,$Q354=Parametres!$G$3),K354,E354)</f>
        <v>59025.09</v>
      </c>
      <c r="Q354" s="151" t="str">
        <f t="shared" ref="Q354:S369" si="26">+F354</f>
        <v>7-Dépenses</v>
      </c>
      <c r="R354" s="150" t="str">
        <f t="shared" si="26"/>
        <v>6122</v>
      </c>
      <c r="S354" s="151">
        <f t="shared" si="26"/>
        <v>0</v>
      </c>
      <c r="T354" s="153">
        <f>+VLOOKUP($L354,Data_Validation!$A:$D,1,0)</f>
        <v>6422</v>
      </c>
      <c r="U354" s="153" t="str">
        <f>+VLOOKUP($L354,Data_Validation!$A:$D,3,0)</f>
        <v>Service</v>
      </c>
      <c r="V354" s="153" t="str">
        <f>+VLOOKUP($L354,Data_Validation!$A:$D,4,0)</f>
        <v>Salaires cadres</v>
      </c>
      <c r="W354" s="153" t="str">
        <f>+VLOOKUP($L354,Data_Validation!$A:$E,5,0)</f>
        <v>$</v>
      </c>
      <c r="X354" s="153">
        <f>+VLOOKUP($L354,Data_Validation!$A:$F,6,0)</f>
        <v>0</v>
      </c>
    </row>
    <row r="355" spans="1:24" ht="15" customHeight="1">
      <c r="A355" s="1236" t="s">
        <v>1263</v>
      </c>
      <c r="B355" s="1237">
        <v>6423</v>
      </c>
      <c r="C355" s="1239">
        <v>32261.97</v>
      </c>
      <c r="D355" s="1239">
        <v>8664.7900000000009</v>
      </c>
      <c r="E355" s="1239">
        <v>40926.76</v>
      </c>
      <c r="F355" s="1236" t="s">
        <v>398</v>
      </c>
      <c r="G355" s="1236" t="s">
        <v>2670</v>
      </c>
      <c r="H355" s="1241"/>
      <c r="I355" s="1249"/>
      <c r="J355" s="1249"/>
      <c r="K355" s="1249"/>
      <c r="L355" s="150">
        <f t="shared" si="18"/>
        <v>6423</v>
      </c>
      <c r="M355" s="151" t="str">
        <f t="shared" si="19"/>
        <v>SAL. &amp; RENUM. CLERICAL</v>
      </c>
      <c r="N355" s="152">
        <f>+IF(OR($Q355=Parametres!$G$2,$Q355=Parametres!$G$3),I355,C355)</f>
        <v>32261.97</v>
      </c>
      <c r="O355" s="152">
        <f>+IF(OR($Q355=Parametres!$G$2,$Q355=Parametres!$G$3),J355,D355)</f>
        <v>8664.7900000000009</v>
      </c>
      <c r="P355" s="152">
        <f>+IF(OR($Q355=Parametres!$G$2,$Q355=Parametres!$G$3),K355,E355)</f>
        <v>40926.76</v>
      </c>
      <c r="Q355" s="151" t="str">
        <f t="shared" si="26"/>
        <v>7-Dépenses</v>
      </c>
      <c r="R355" s="150" t="str">
        <f t="shared" si="26"/>
        <v>6123</v>
      </c>
      <c r="S355" s="151">
        <f t="shared" si="26"/>
        <v>0</v>
      </c>
      <c r="T355" s="153">
        <f>+VLOOKUP($L355,Data_Validation!$A:$D,1,0)</f>
        <v>6423</v>
      </c>
      <c r="U355" s="153" t="str">
        <f>+VLOOKUP($L355,Data_Validation!$A:$D,3,0)</f>
        <v>Service</v>
      </c>
      <c r="V355" s="153" t="str">
        <f>+VLOOKUP($L355,Data_Validation!$A:$D,4,0)</f>
        <v>Salaires commis</v>
      </c>
      <c r="W355" s="153" t="str">
        <f>+VLOOKUP($L355,Data_Validation!$A:$E,5,0)</f>
        <v>$</v>
      </c>
      <c r="X355" s="153">
        <f>+VLOOKUP($L355,Data_Validation!$A:$F,6,0)</f>
        <v>0</v>
      </c>
    </row>
    <row r="356" spans="1:24" ht="15" customHeight="1">
      <c r="A356" s="1236" t="s">
        <v>1246</v>
      </c>
      <c r="B356" s="1237">
        <v>6424</v>
      </c>
      <c r="C356" s="1239">
        <v>51927.61</v>
      </c>
      <c r="D356" s="1239">
        <v>8179.31</v>
      </c>
      <c r="E356" s="1239">
        <v>60106.92</v>
      </c>
      <c r="F356" s="1236" t="s">
        <v>398</v>
      </c>
      <c r="G356" s="1236" t="s">
        <v>2726</v>
      </c>
      <c r="H356" s="1241"/>
      <c r="I356" s="1249"/>
      <c r="J356" s="1249"/>
      <c r="K356" s="1249"/>
      <c r="L356" s="150">
        <f t="shared" si="18"/>
        <v>6424</v>
      </c>
      <c r="M356" s="151" t="str">
        <f t="shared" si="19"/>
        <v>SALAIRES &amp; RENUM. - AUTRES</v>
      </c>
      <c r="N356" s="152">
        <f>+IF(OR($Q356=Parametres!$G$2,$Q356=Parametres!$G$3),I356,C356)</f>
        <v>51927.61</v>
      </c>
      <c r="O356" s="152">
        <f>+IF(OR($Q356=Parametres!$G$2,$Q356=Parametres!$G$3),J356,D356)</f>
        <v>8179.31</v>
      </c>
      <c r="P356" s="152">
        <f>+IF(OR($Q356=Parametres!$G$2,$Q356=Parametres!$G$3),K356,E356)</f>
        <v>60106.92</v>
      </c>
      <c r="Q356" s="151" t="str">
        <f t="shared" si="26"/>
        <v>7-Dépenses</v>
      </c>
      <c r="R356" s="150" t="str">
        <f t="shared" si="26"/>
        <v>6124</v>
      </c>
      <c r="S356" s="151">
        <f t="shared" si="26"/>
        <v>0</v>
      </c>
      <c r="T356" s="153">
        <f>+VLOOKUP($L356,Data_Validation!$A:$D,1,0)</f>
        <v>6424</v>
      </c>
      <c r="U356" s="153" t="str">
        <f>+VLOOKUP($L356,Data_Validation!$A:$D,3,0)</f>
        <v>Service</v>
      </c>
      <c r="V356" s="153" t="str">
        <f>+VLOOKUP($L356,Data_Validation!$A:$D,4,0)</f>
        <v>Salaires autres</v>
      </c>
      <c r="W356" s="153" t="str">
        <f>+VLOOKUP($L356,Data_Validation!$A:$E,5,0)</f>
        <v>$</v>
      </c>
      <c r="X356" s="153">
        <f>+VLOOKUP($L356,Data_Validation!$A:$F,6,0)</f>
        <v>0</v>
      </c>
    </row>
    <row r="357" spans="1:24" ht="15" customHeight="1">
      <c r="A357" s="1236" t="s">
        <v>1327</v>
      </c>
      <c r="B357" s="1237">
        <v>6425</v>
      </c>
      <c r="C357" s="1239">
        <v>88588.37</v>
      </c>
      <c r="D357" s="1239">
        <v>24491.9</v>
      </c>
      <c r="E357" s="1239">
        <v>113080.27</v>
      </c>
      <c r="F357" s="1236" t="s">
        <v>398</v>
      </c>
      <c r="G357" s="1236" t="s">
        <v>2712</v>
      </c>
      <c r="H357" s="1241"/>
      <c r="I357" s="1249"/>
      <c r="J357" s="1249"/>
      <c r="K357" s="1249"/>
      <c r="L357" s="150">
        <f t="shared" si="18"/>
        <v>6425</v>
      </c>
      <c r="M357" s="151" t="str">
        <f t="shared" si="19"/>
        <v>SALAIRE SPECIALISTES</v>
      </c>
      <c r="N357" s="152">
        <f>+IF(OR($Q357=Parametres!$G$2,$Q357=Parametres!$G$3),I357,C357)</f>
        <v>88588.37</v>
      </c>
      <c r="O357" s="152">
        <f>+IF(OR($Q357=Parametres!$G$2,$Q357=Parametres!$G$3),J357,D357)</f>
        <v>24491.9</v>
      </c>
      <c r="P357" s="152">
        <f>+IF(OR($Q357=Parametres!$G$2,$Q357=Parametres!$G$3),K357,E357)</f>
        <v>113080.27</v>
      </c>
      <c r="Q357" s="151" t="str">
        <f t="shared" si="26"/>
        <v>7-Dépenses</v>
      </c>
      <c r="R357" s="150" t="str">
        <f t="shared" si="26"/>
        <v>6125</v>
      </c>
      <c r="S357" s="151">
        <f t="shared" si="26"/>
        <v>0</v>
      </c>
      <c r="T357" s="153">
        <f>+VLOOKUP($L357,Data_Validation!$A:$D,1,0)</f>
        <v>6425</v>
      </c>
      <c r="U357" s="153" t="str">
        <f>+VLOOKUP($L357,Data_Validation!$A:$D,3,0)</f>
        <v>Service</v>
      </c>
      <c r="V357" s="153" t="str">
        <f>+VLOOKUP($L357,Data_Validation!$A:$D,4,0)</f>
        <v>Salaires spécialistes</v>
      </c>
      <c r="W357" s="153" t="str">
        <f>+VLOOKUP($L357,Data_Validation!$A:$E,5,0)</f>
        <v>$</v>
      </c>
      <c r="X357" s="153">
        <f>+VLOOKUP($L357,Data_Validation!$A:$F,6,0)</f>
        <v>0</v>
      </c>
    </row>
    <row r="358" spans="1:24" ht="15.75" customHeight="1">
      <c r="A358" s="1236" t="s">
        <v>1445</v>
      </c>
      <c r="B358" s="1237">
        <v>6429</v>
      </c>
      <c r="C358" s="1239">
        <v>56038.879999999997</v>
      </c>
      <c r="D358" s="1239">
        <v>14099.96</v>
      </c>
      <c r="E358" s="1239">
        <v>70138.84</v>
      </c>
      <c r="F358" s="1236" t="s">
        <v>398</v>
      </c>
      <c r="G358" s="1236" t="s">
        <v>2632</v>
      </c>
      <c r="H358" s="1241"/>
      <c r="I358" s="1249"/>
      <c r="J358" s="1249"/>
      <c r="K358" s="1249"/>
      <c r="L358" s="150">
        <f t="shared" si="18"/>
        <v>6429</v>
      </c>
      <c r="M358" s="151" t="str">
        <f t="shared" si="19"/>
        <v>SAL.,VACANCE, &amp; SAL. JOURS FER</v>
      </c>
      <c r="N358" s="152">
        <f>+IF(OR($Q358=Parametres!$G$2,$Q358=Parametres!$G$3),I358,C358)</f>
        <v>56038.879999999997</v>
      </c>
      <c r="O358" s="152">
        <f>+IF(OR($Q358=Parametres!$G$2,$Q358=Parametres!$G$3),J358,D358)</f>
        <v>14099.96</v>
      </c>
      <c r="P358" s="152">
        <f>+IF(OR($Q358=Parametres!$G$2,$Q358=Parametres!$G$3),K358,E358)</f>
        <v>70138.84</v>
      </c>
      <c r="Q358" s="151" t="str">
        <f t="shared" si="26"/>
        <v>7-Dépenses</v>
      </c>
      <c r="R358" s="150" t="str">
        <f t="shared" si="26"/>
        <v>6129</v>
      </c>
      <c r="S358" s="151">
        <f t="shared" si="26"/>
        <v>0</v>
      </c>
      <c r="T358" s="153">
        <f>+VLOOKUP($L358,Data_Validation!$A:$D,1,0)</f>
        <v>6429</v>
      </c>
      <c r="U358" s="153" t="str">
        <f>+VLOOKUP($L358,Data_Validation!$A:$D,3,0)</f>
        <v>Service</v>
      </c>
      <c r="V358" s="153" t="str">
        <f>+VLOOKUP($L358,Data_Validation!$A:$D,4,0)</f>
        <v>Salaires en absences</v>
      </c>
      <c r="W358" s="153" t="str">
        <f>+VLOOKUP($L358,Data_Validation!$A:$E,5,0)</f>
        <v>$</v>
      </c>
      <c r="X358" s="153">
        <f>+VLOOKUP($L358,Data_Validation!$A:$F,6,0)</f>
        <v>0</v>
      </c>
    </row>
    <row r="359" spans="1:24" ht="15" customHeight="1">
      <c r="A359" s="1236" t="s">
        <v>1249</v>
      </c>
      <c r="B359" s="1237">
        <v>6431</v>
      </c>
      <c r="C359" s="1239">
        <v>10177.83</v>
      </c>
      <c r="D359" s="1239">
        <v>2554.23</v>
      </c>
      <c r="E359" s="1239">
        <v>12732.06</v>
      </c>
      <c r="F359" s="1236" t="s">
        <v>398</v>
      </c>
      <c r="G359" s="1236" t="s">
        <v>2577</v>
      </c>
      <c r="H359" s="1241"/>
      <c r="I359" s="1249"/>
      <c r="J359" s="1249"/>
      <c r="K359" s="1249"/>
      <c r="L359" s="150">
        <f t="shared" si="18"/>
        <v>6431</v>
      </c>
      <c r="M359" s="151" t="str">
        <f t="shared" si="19"/>
        <v>CSST</v>
      </c>
      <c r="N359" s="152">
        <f>+IF(OR($Q359=Parametres!$G$2,$Q359=Parametres!$G$3),I359,C359)</f>
        <v>10177.83</v>
      </c>
      <c r="O359" s="152">
        <f>+IF(OR($Q359=Parametres!$G$2,$Q359=Parametres!$G$3),J359,D359)</f>
        <v>2554.23</v>
      </c>
      <c r="P359" s="152">
        <f>+IF(OR($Q359=Parametres!$G$2,$Q359=Parametres!$G$3),K359,E359)</f>
        <v>12732.06</v>
      </c>
      <c r="Q359" s="151" t="str">
        <f t="shared" si="26"/>
        <v>7-Dépenses</v>
      </c>
      <c r="R359" s="150" t="str">
        <f t="shared" si="26"/>
        <v>6131</v>
      </c>
      <c r="S359" s="151">
        <f t="shared" si="26"/>
        <v>0</v>
      </c>
      <c r="T359" s="153">
        <f>+VLOOKUP($L359,Data_Validation!$A:$D,1,0)</f>
        <v>6431</v>
      </c>
      <c r="U359" s="153" t="str">
        <f>+VLOOKUP($L359,Data_Validation!$A:$D,3,0)</f>
        <v>Service</v>
      </c>
      <c r="V359" s="153" t="str">
        <f>+VLOOKUP($L359,Data_Validation!$A:$D,4,0)</f>
        <v>Csst</v>
      </c>
      <c r="W359" s="153" t="str">
        <f>+VLOOKUP($L359,Data_Validation!$A:$E,5,0)</f>
        <v>$</v>
      </c>
      <c r="X359" s="153">
        <f>+VLOOKUP($L359,Data_Validation!$A:$F,6,0)</f>
        <v>0</v>
      </c>
    </row>
    <row r="360" spans="1:24" ht="15" customHeight="1">
      <c r="A360" s="1236" t="s">
        <v>1280</v>
      </c>
      <c r="B360" s="1237">
        <v>6432</v>
      </c>
      <c r="C360" s="1239">
        <v>61066.98</v>
      </c>
      <c r="D360" s="1239">
        <v>15325.37</v>
      </c>
      <c r="E360" s="1239">
        <v>76392.350000000006</v>
      </c>
      <c r="F360" s="1236" t="s">
        <v>398</v>
      </c>
      <c r="G360" s="1236" t="s">
        <v>2676</v>
      </c>
      <c r="H360" s="1241"/>
      <c r="I360" s="1249"/>
      <c r="J360" s="1249"/>
      <c r="K360" s="1249"/>
      <c r="L360" s="150">
        <f t="shared" si="18"/>
        <v>6432</v>
      </c>
      <c r="M360" s="151" t="str">
        <f t="shared" si="19"/>
        <v>RRQ RAMQ AC</v>
      </c>
      <c r="N360" s="152">
        <f>+IF(OR($Q360=Parametres!$G$2,$Q360=Parametres!$G$3),I360,C360)</f>
        <v>61066.98</v>
      </c>
      <c r="O360" s="152">
        <f>+IF(OR($Q360=Parametres!$G$2,$Q360=Parametres!$G$3),J360,D360)</f>
        <v>15325.37</v>
      </c>
      <c r="P360" s="152">
        <f>+IF(OR($Q360=Parametres!$G$2,$Q360=Parametres!$G$3),K360,E360)</f>
        <v>76392.350000000006</v>
      </c>
      <c r="Q360" s="151" t="str">
        <f t="shared" si="26"/>
        <v>7-Dépenses</v>
      </c>
      <c r="R360" s="150" t="str">
        <f t="shared" si="26"/>
        <v>6132</v>
      </c>
      <c r="S360" s="151">
        <f t="shared" si="26"/>
        <v>0</v>
      </c>
      <c r="T360" s="153">
        <f>+VLOOKUP($L360,Data_Validation!$A:$D,1,0)</f>
        <v>6432</v>
      </c>
      <c r="U360" s="153" t="str">
        <f>+VLOOKUP($L360,Data_Validation!$A:$D,3,0)</f>
        <v>Service</v>
      </c>
      <c r="V360" s="153" t="str">
        <f>+VLOOKUP($L360,Data_Validation!$A:$D,4,0)</f>
        <v>Déduction à la source</v>
      </c>
      <c r="W360" s="153" t="str">
        <f>+VLOOKUP($L360,Data_Validation!$A:$E,5,0)</f>
        <v>$</v>
      </c>
      <c r="X360" s="153">
        <f>+VLOOKUP($L360,Data_Validation!$A:$F,6,0)</f>
        <v>0</v>
      </c>
    </row>
    <row r="361" spans="1:24" ht="15" customHeight="1">
      <c r="A361" s="1236" t="s">
        <v>1217</v>
      </c>
      <c r="B361" s="1237">
        <v>6433</v>
      </c>
      <c r="C361" s="1239">
        <v>926.37</v>
      </c>
      <c r="D361" s="1239">
        <v>257.54000000000002</v>
      </c>
      <c r="E361" s="1239">
        <v>1183.9100000000001</v>
      </c>
      <c r="F361" s="1236" t="s">
        <v>398</v>
      </c>
      <c r="G361" s="1236" t="s">
        <v>2570</v>
      </c>
      <c r="H361" s="1241"/>
      <c r="I361" s="1249"/>
      <c r="J361" s="1249"/>
      <c r="K361" s="1249"/>
      <c r="L361" s="150">
        <f t="shared" si="18"/>
        <v>6433</v>
      </c>
      <c r="M361" s="151" t="str">
        <f t="shared" si="19"/>
        <v>FOND PENSION - SERVICE</v>
      </c>
      <c r="N361" s="152">
        <f>+IF(OR($Q361=Parametres!$G$2,$Q361=Parametres!$G$3),I361,C361)</f>
        <v>926.37</v>
      </c>
      <c r="O361" s="152">
        <f>+IF(OR($Q361=Parametres!$G$2,$Q361=Parametres!$G$3),J361,D361)</f>
        <v>257.54000000000002</v>
      </c>
      <c r="P361" s="152">
        <f>+IF(OR($Q361=Parametres!$G$2,$Q361=Parametres!$G$3),K361,E361)</f>
        <v>1183.9100000000001</v>
      </c>
      <c r="Q361" s="151" t="str">
        <f t="shared" si="26"/>
        <v>7-Dépenses</v>
      </c>
      <c r="R361" s="150" t="str">
        <f t="shared" si="26"/>
        <v>6133</v>
      </c>
      <c r="S361" s="151">
        <f t="shared" si="26"/>
        <v>0</v>
      </c>
      <c r="T361" s="153">
        <f>+VLOOKUP($L361,Data_Validation!$A:$D,1,0)</f>
        <v>6433</v>
      </c>
      <c r="U361" s="153" t="str">
        <f>+VLOOKUP($L361,Data_Validation!$A:$D,3,0)</f>
        <v>Service</v>
      </c>
      <c r="V361" s="153" t="str">
        <f>+VLOOKUP($L361,Data_Validation!$A:$D,4,0)</f>
        <v>Bénéfices marginaux</v>
      </c>
      <c r="W361" s="153" t="str">
        <f>+VLOOKUP($L361,Data_Validation!$A:$E,5,0)</f>
        <v>$</v>
      </c>
      <c r="X361" s="153">
        <f>+VLOOKUP($L361,Data_Validation!$A:$F,6,0)</f>
        <v>0</v>
      </c>
    </row>
    <row r="362" spans="1:24" ht="15.75" customHeight="1">
      <c r="A362" s="1236" t="s">
        <v>1302</v>
      </c>
      <c r="B362" s="1237">
        <v>6439</v>
      </c>
      <c r="C362" s="1239">
        <v>42838.29</v>
      </c>
      <c r="D362" s="1239">
        <v>10725.64</v>
      </c>
      <c r="E362" s="1239">
        <v>53563.93</v>
      </c>
      <c r="F362" s="1236" t="s">
        <v>398</v>
      </c>
      <c r="G362" s="1236" t="s">
        <v>2685</v>
      </c>
      <c r="H362" s="1241"/>
      <c r="I362" s="1249"/>
      <c r="J362" s="1249"/>
      <c r="K362" s="1249"/>
      <c r="L362" s="150">
        <f t="shared" si="18"/>
        <v>6439</v>
      </c>
      <c r="M362" s="151" t="str">
        <f t="shared" si="19"/>
        <v>ASSURANCE GROUPE</v>
      </c>
      <c r="N362" s="152">
        <f>+IF(OR($Q362=Parametres!$G$2,$Q362=Parametres!$G$3),I362,C362)</f>
        <v>42838.29</v>
      </c>
      <c r="O362" s="152">
        <f>+IF(OR($Q362=Parametres!$G$2,$Q362=Parametres!$G$3),J362,D362)</f>
        <v>10725.64</v>
      </c>
      <c r="P362" s="152">
        <f>+IF(OR($Q362=Parametres!$G$2,$Q362=Parametres!$G$3),K362,E362)</f>
        <v>53563.93</v>
      </c>
      <c r="Q362" s="151" t="str">
        <f t="shared" si="26"/>
        <v>7-Dépenses</v>
      </c>
      <c r="R362" s="150" t="str">
        <f t="shared" si="26"/>
        <v>6139</v>
      </c>
      <c r="S362" s="151">
        <f t="shared" si="26"/>
        <v>0</v>
      </c>
      <c r="T362" s="153">
        <f>+VLOOKUP($L362,Data_Validation!$A:$D,1,0)</f>
        <v>6439</v>
      </c>
      <c r="U362" s="153" t="str">
        <f>+VLOOKUP($L362,Data_Validation!$A:$D,3,0)</f>
        <v>Service</v>
      </c>
      <c r="V362" s="153" t="str">
        <f>+VLOOKUP($L362,Data_Validation!$A:$D,4,0)</f>
        <v>Bénéfices marginaux</v>
      </c>
      <c r="W362" s="153" t="str">
        <f>+VLOOKUP($L362,Data_Validation!$A:$E,5,0)</f>
        <v>$</v>
      </c>
      <c r="X362" s="153">
        <f>+VLOOKUP($L362,Data_Validation!$A:$F,6,0)</f>
        <v>0</v>
      </c>
    </row>
    <row r="363" spans="1:24" ht="15.75" customHeight="1">
      <c r="A363" s="1236" t="s">
        <v>1175</v>
      </c>
      <c r="B363" s="1237">
        <v>6441</v>
      </c>
      <c r="C363" s="1239">
        <v>494.4</v>
      </c>
      <c r="D363" s="1239">
        <v>76.62</v>
      </c>
      <c r="E363" s="1239">
        <v>571.02</v>
      </c>
      <c r="F363" s="1236" t="s">
        <v>398</v>
      </c>
      <c r="G363" s="1236" t="s">
        <v>2458</v>
      </c>
      <c r="H363" s="1241"/>
      <c r="I363" s="1249"/>
      <c r="J363" s="1249"/>
      <c r="K363" s="1249"/>
      <c r="L363" s="150">
        <f t="shared" si="18"/>
        <v>6441</v>
      </c>
      <c r="M363" s="151" t="str">
        <f t="shared" si="19"/>
        <v>RETOURS</v>
      </c>
      <c r="N363" s="152">
        <f>+IF(OR($Q363=Parametres!$G$2,$Q363=Parametres!$G$3),I363,C363)</f>
        <v>494.4</v>
      </c>
      <c r="O363" s="152">
        <f>+IF(OR($Q363=Parametres!$G$2,$Q363=Parametres!$G$3),J363,D363)</f>
        <v>76.62</v>
      </c>
      <c r="P363" s="152">
        <f>+IF(OR($Q363=Parametres!$G$2,$Q363=Parametres!$G$3),K363,E363)</f>
        <v>571.02</v>
      </c>
      <c r="Q363" s="151" t="str">
        <f t="shared" si="26"/>
        <v>7-Dépenses</v>
      </c>
      <c r="R363" s="150" t="str">
        <f t="shared" si="26"/>
        <v>6112</v>
      </c>
      <c r="S363" s="151">
        <f t="shared" si="26"/>
        <v>0</v>
      </c>
      <c r="T363" s="153">
        <f>+VLOOKUP($L363,Data_Validation!$A:$D,1,0)</f>
        <v>6441</v>
      </c>
      <c r="U363" s="153" t="str">
        <f>+VLOOKUP($L363,Data_Validation!$A:$D,3,0)</f>
        <v>Service</v>
      </c>
      <c r="V363" s="153" t="str">
        <f>+VLOOKUP($L363,Data_Validation!$A:$D,4,0)</f>
        <v>Service gratuit 2</v>
      </c>
      <c r="W363" s="153" t="str">
        <f>+VLOOKUP($L363,Data_Validation!$A:$E,5,0)</f>
        <v>$</v>
      </c>
      <c r="X363" s="153">
        <f>+VLOOKUP($L363,Data_Validation!$A:$F,6,0)</f>
        <v>0</v>
      </c>
    </row>
    <row r="364" spans="1:24" ht="15" customHeight="1">
      <c r="A364" s="1236" t="s">
        <v>1154</v>
      </c>
      <c r="B364" s="1237">
        <v>6442</v>
      </c>
      <c r="C364" s="1239">
        <v>3987.73</v>
      </c>
      <c r="D364" s="1239">
        <v>1377.24</v>
      </c>
      <c r="E364" s="1239">
        <v>5364.97</v>
      </c>
      <c r="F364" s="1236" t="s">
        <v>398</v>
      </c>
      <c r="G364" s="1236" t="s">
        <v>2554</v>
      </c>
      <c r="H364" s="1241"/>
      <c r="I364" s="1249"/>
      <c r="J364" s="1249"/>
      <c r="K364" s="1249"/>
      <c r="L364" s="150">
        <f t="shared" si="18"/>
        <v>6442</v>
      </c>
      <c r="M364" s="151" t="str">
        <f t="shared" si="19"/>
        <v>FOURNITURES &amp; PETITS OUTILS</v>
      </c>
      <c r="N364" s="152">
        <f>+IF(OR($Q364=Parametres!$G$2,$Q364=Parametres!$G$3),I364,C364)</f>
        <v>3987.73</v>
      </c>
      <c r="O364" s="152">
        <f>+IF(OR($Q364=Parametres!$G$2,$Q364=Parametres!$G$3),J364,D364)</f>
        <v>1377.24</v>
      </c>
      <c r="P364" s="152">
        <f>+IF(OR($Q364=Parametres!$G$2,$Q364=Parametres!$G$3),K364,E364)</f>
        <v>5364.97</v>
      </c>
      <c r="Q364" s="151" t="str">
        <f t="shared" si="26"/>
        <v>7-Dépenses</v>
      </c>
      <c r="R364" s="150" t="str">
        <f t="shared" si="26"/>
        <v>6142</v>
      </c>
      <c r="S364" s="151">
        <f t="shared" si="26"/>
        <v>0</v>
      </c>
      <c r="T364" s="153">
        <f>+VLOOKUP($L364,Data_Validation!$A:$D,1,0)</f>
        <v>6442</v>
      </c>
      <c r="U364" s="153" t="str">
        <f>+VLOOKUP($L364,Data_Validation!$A:$D,3,0)</f>
        <v>Service</v>
      </c>
      <c r="V364" s="153" t="str">
        <f>+VLOOKUP($L364,Data_Validation!$A:$D,4,0)</f>
        <v>Fournitures autres</v>
      </c>
      <c r="W364" s="153" t="str">
        <f>+VLOOKUP($L364,Data_Validation!$A:$E,5,0)</f>
        <v>$</v>
      </c>
      <c r="X364" s="153">
        <f>+VLOOKUP($L364,Data_Validation!$A:$F,6,0)</f>
        <v>0</v>
      </c>
    </row>
    <row r="365" spans="1:24" ht="15" customHeight="1">
      <c r="A365" s="1236" t="s">
        <v>929</v>
      </c>
      <c r="B365" s="1237">
        <v>6443</v>
      </c>
      <c r="C365" s="1239">
        <v>2707.08</v>
      </c>
      <c r="D365" s="1239">
        <v>423.83</v>
      </c>
      <c r="E365" s="1239">
        <v>3130.91</v>
      </c>
      <c r="F365" s="1236" t="s">
        <v>398</v>
      </c>
      <c r="G365" s="1236" t="s">
        <v>2152</v>
      </c>
      <c r="H365" s="1241"/>
      <c r="I365" s="1249"/>
      <c r="J365" s="1249"/>
      <c r="K365" s="1249"/>
      <c r="L365" s="150">
        <f t="shared" si="18"/>
        <v>6443</v>
      </c>
      <c r="M365" s="151" t="str">
        <f t="shared" si="19"/>
        <v>UNIFORMES &amp; LESSIVE</v>
      </c>
      <c r="N365" s="152">
        <f>+IF(OR($Q365=Parametres!$G$2,$Q365=Parametres!$G$3),I365,C365)</f>
        <v>2707.08</v>
      </c>
      <c r="O365" s="152">
        <f>+IF(OR($Q365=Parametres!$G$2,$Q365=Parametres!$G$3),J365,D365)</f>
        <v>423.83</v>
      </c>
      <c r="P365" s="152">
        <f>+IF(OR($Q365=Parametres!$G$2,$Q365=Parametres!$G$3),K365,E365)</f>
        <v>3130.91</v>
      </c>
      <c r="Q365" s="151" t="str">
        <f t="shared" si="26"/>
        <v>7-Dépenses</v>
      </c>
      <c r="R365" s="150" t="str">
        <f t="shared" si="26"/>
        <v>6143</v>
      </c>
      <c r="S365" s="151">
        <f t="shared" si="26"/>
        <v>0</v>
      </c>
      <c r="T365" s="153">
        <f>+VLOOKUP($L365,Data_Validation!$A:$D,1,0)</f>
        <v>6443</v>
      </c>
      <c r="U365" s="153" t="str">
        <f>+VLOOKUP($L365,Data_Validation!$A:$D,3,0)</f>
        <v>Service</v>
      </c>
      <c r="V365" s="153" t="str">
        <f>+VLOOKUP($L365,Data_Validation!$A:$D,4,0)</f>
        <v>Uniformes</v>
      </c>
      <c r="W365" s="153" t="str">
        <f>+VLOOKUP($L365,Data_Validation!$A:$E,5,0)</f>
        <v>$</v>
      </c>
      <c r="X365" s="153">
        <f>+VLOOKUP($L365,Data_Validation!$A:$F,6,0)</f>
        <v>0</v>
      </c>
    </row>
    <row r="366" spans="1:24" ht="15" customHeight="1">
      <c r="A366" s="1236" t="s">
        <v>931</v>
      </c>
      <c r="B366" s="1237">
        <v>6444</v>
      </c>
      <c r="C366" s="1239">
        <v>4673.96</v>
      </c>
      <c r="D366" s="1239">
        <v>2298.75</v>
      </c>
      <c r="E366" s="1239">
        <v>6972.71</v>
      </c>
      <c r="F366" s="1236" t="s">
        <v>398</v>
      </c>
      <c r="G366" s="1236" t="s">
        <v>2552</v>
      </c>
      <c r="H366" s="1241"/>
      <c r="I366" s="1249"/>
      <c r="J366" s="1249"/>
      <c r="K366" s="1249"/>
      <c r="L366" s="150">
        <f t="shared" si="18"/>
        <v>6444</v>
      </c>
      <c r="M366" s="151" t="str">
        <f t="shared" si="19"/>
        <v>FORMATION</v>
      </c>
      <c r="N366" s="152">
        <f>+IF(OR($Q366=Parametres!$G$2,$Q366=Parametres!$G$3),I366,C366)</f>
        <v>4673.96</v>
      </c>
      <c r="O366" s="152">
        <f>+IF(OR($Q366=Parametres!$G$2,$Q366=Parametres!$G$3),J366,D366)</f>
        <v>2298.75</v>
      </c>
      <c r="P366" s="152">
        <f>+IF(OR($Q366=Parametres!$G$2,$Q366=Parametres!$G$3),K366,E366)</f>
        <v>6972.71</v>
      </c>
      <c r="Q366" s="151" t="str">
        <f t="shared" si="26"/>
        <v>7-Dépenses</v>
      </c>
      <c r="R366" s="150" t="str">
        <f t="shared" si="26"/>
        <v>6144</v>
      </c>
      <c r="S366" s="151">
        <f t="shared" si="26"/>
        <v>0</v>
      </c>
      <c r="T366" s="153">
        <f>+VLOOKUP($L366,Data_Validation!$A:$D,1,0)</f>
        <v>6444</v>
      </c>
      <c r="U366" s="153" t="str">
        <f>+VLOOKUP($L366,Data_Validation!$A:$D,3,0)</f>
        <v>Service</v>
      </c>
      <c r="V366" s="153" t="str">
        <f>+VLOOKUP($L366,Data_Validation!$A:$D,4,0)</f>
        <v>Formation</v>
      </c>
      <c r="W366" s="153" t="str">
        <f>+VLOOKUP($L366,Data_Validation!$A:$E,5,0)</f>
        <v>$</v>
      </c>
      <c r="X366" s="153">
        <f>+VLOOKUP($L366,Data_Validation!$A:$F,6,0)</f>
        <v>0</v>
      </c>
    </row>
    <row r="367" spans="1:24" ht="15" customHeight="1">
      <c r="A367" s="1236" t="s">
        <v>1524</v>
      </c>
      <c r="B367" s="1237">
        <v>6445</v>
      </c>
      <c r="C367" s="1239">
        <v>53475.55</v>
      </c>
      <c r="D367" s="1239">
        <v>18069.37</v>
      </c>
      <c r="E367" s="1239">
        <v>71544.92</v>
      </c>
      <c r="F367" s="1236" t="s">
        <v>398</v>
      </c>
      <c r="G367" s="1236" t="s">
        <v>2623</v>
      </c>
      <c r="H367" s="1241"/>
      <c r="I367" s="1249"/>
      <c r="J367" s="1249"/>
      <c r="K367" s="1249"/>
      <c r="L367" s="150">
        <f t="shared" si="18"/>
        <v>6445</v>
      </c>
      <c r="M367" s="151" t="str">
        <f t="shared" si="19"/>
        <v>LOCATION COURTOISIE</v>
      </c>
      <c r="N367" s="152">
        <f>+IF(OR($Q367=Parametres!$G$2,$Q367=Parametres!$G$3),I367,C367)</f>
        <v>53475.55</v>
      </c>
      <c r="O367" s="152">
        <f>+IF(OR($Q367=Parametres!$G$2,$Q367=Parametres!$G$3),J367,D367)</f>
        <v>18069.37</v>
      </c>
      <c r="P367" s="152">
        <f>+IF(OR($Q367=Parametres!$G$2,$Q367=Parametres!$G$3),K367,E367)</f>
        <v>71544.92</v>
      </c>
      <c r="Q367" s="151" t="str">
        <f t="shared" si="26"/>
        <v>7-Dépenses</v>
      </c>
      <c r="R367" s="150" t="str">
        <f t="shared" si="26"/>
        <v>6145</v>
      </c>
      <c r="S367" s="151">
        <f t="shared" si="26"/>
        <v>0</v>
      </c>
      <c r="T367" s="153">
        <f>+VLOOKUP($L367,Data_Validation!$A:$D,1,0)</f>
        <v>6445</v>
      </c>
      <c r="U367" s="153" t="str">
        <f>+VLOOKUP($L367,Data_Validation!$A:$D,3,0)</f>
        <v>Service</v>
      </c>
      <c r="V367" s="153" t="str">
        <f>+VLOOKUP($L367,Data_Validation!$A:$D,4,0)</f>
        <v>Frais véhicules de cie</v>
      </c>
      <c r="W367" s="153" t="str">
        <f>+VLOOKUP($L367,Data_Validation!$A:$E,5,0)</f>
        <v>$</v>
      </c>
      <c r="X367" s="153">
        <f>+VLOOKUP($L367,Data_Validation!$A:$F,6,0)</f>
        <v>0</v>
      </c>
    </row>
    <row r="368" spans="1:24" ht="15" customHeight="1">
      <c r="A368" s="1236" t="s">
        <v>1177</v>
      </c>
      <c r="B368" s="1237">
        <v>6447</v>
      </c>
      <c r="C368" s="1239">
        <v>322.38</v>
      </c>
      <c r="D368" s="1239">
        <v>114.64</v>
      </c>
      <c r="E368" s="1239">
        <v>437.02</v>
      </c>
      <c r="F368" s="1236" t="s">
        <v>398</v>
      </c>
      <c r="G368" s="1236" t="s">
        <v>2572</v>
      </c>
      <c r="H368" s="1241"/>
      <c r="I368" s="1249"/>
      <c r="J368" s="1249"/>
      <c r="K368" s="1249"/>
      <c r="L368" s="150">
        <f t="shared" si="18"/>
        <v>6447</v>
      </c>
      <c r="M368" s="151" t="str">
        <f t="shared" si="19"/>
        <v>FRET/EXPRESS/TRANS. PAR CAMION</v>
      </c>
      <c r="N368" s="152">
        <f>+IF(OR($Q368=Parametres!$G$2,$Q368=Parametres!$G$3),I368,C368)</f>
        <v>322.38</v>
      </c>
      <c r="O368" s="152">
        <f>+IF(OR($Q368=Parametres!$G$2,$Q368=Parametres!$G$3),J368,D368)</f>
        <v>114.64</v>
      </c>
      <c r="P368" s="152">
        <f>+IF(OR($Q368=Parametres!$G$2,$Q368=Parametres!$G$3),K368,E368)</f>
        <v>437.02</v>
      </c>
      <c r="Q368" s="151" t="str">
        <f t="shared" si="26"/>
        <v>7-Dépenses</v>
      </c>
      <c r="R368" s="150" t="str">
        <f t="shared" si="26"/>
        <v>6147</v>
      </c>
      <c r="S368" s="151">
        <f t="shared" si="26"/>
        <v>0</v>
      </c>
      <c r="T368" s="153">
        <f>+VLOOKUP($L368,Data_Validation!$A:$D,1,0)</f>
        <v>6447</v>
      </c>
      <c r="U368" s="153" t="str">
        <f>+VLOOKUP($L368,Data_Validation!$A:$D,3,0)</f>
        <v>Service</v>
      </c>
      <c r="V368" s="153" t="str">
        <f>+VLOOKUP($L368,Data_Validation!$A:$D,4,0)</f>
        <v>Frais postaux</v>
      </c>
      <c r="W368" s="153" t="str">
        <f>+VLOOKUP($L368,Data_Validation!$A:$E,5,0)</f>
        <v>$</v>
      </c>
      <c r="X368" s="153">
        <f>+VLOOKUP($L368,Data_Validation!$A:$F,6,0)</f>
        <v>0</v>
      </c>
    </row>
    <row r="369" spans="1:24" ht="15.75" customHeight="1">
      <c r="A369" s="1236" t="s">
        <v>1283</v>
      </c>
      <c r="B369" s="1237">
        <v>6451</v>
      </c>
      <c r="C369" s="1239">
        <v>15374.88</v>
      </c>
      <c r="D369" s="1239">
        <v>3896.62</v>
      </c>
      <c r="E369" s="1239">
        <v>19271.5</v>
      </c>
      <c r="F369" s="1236" t="s">
        <v>398</v>
      </c>
      <c r="G369" s="1236" t="s">
        <v>2693</v>
      </c>
      <c r="H369" s="1241"/>
      <c r="I369" s="1249"/>
      <c r="J369" s="1249"/>
      <c r="K369" s="1249"/>
      <c r="L369" s="150">
        <f t="shared" si="18"/>
        <v>6451</v>
      </c>
      <c r="M369" s="151" t="str">
        <f t="shared" si="19"/>
        <v>DEP. DU TRAITEMENT DES DONNEES</v>
      </c>
      <c r="N369" s="152">
        <f>+IF(OR($Q369=Parametres!$G$2,$Q369=Parametres!$G$3),I369,C369)</f>
        <v>15374.88</v>
      </c>
      <c r="O369" s="152">
        <f>+IF(OR($Q369=Parametres!$G$2,$Q369=Parametres!$G$3),J369,D369)</f>
        <v>3896.62</v>
      </c>
      <c r="P369" s="152">
        <f>+IF(OR($Q369=Parametres!$G$2,$Q369=Parametres!$G$3),K369,E369)</f>
        <v>19271.5</v>
      </c>
      <c r="Q369" s="151" t="str">
        <f t="shared" si="26"/>
        <v>7-Dépenses</v>
      </c>
      <c r="R369" s="150" t="str">
        <f t="shared" si="26"/>
        <v>6151</v>
      </c>
      <c r="S369" s="151">
        <f t="shared" si="26"/>
        <v>0</v>
      </c>
      <c r="T369" s="153">
        <f>+VLOOKUP($L369,Data_Validation!$A:$D,1,0)</f>
        <v>6451</v>
      </c>
      <c r="U369" s="153" t="str">
        <f>+VLOOKUP($L369,Data_Validation!$A:$D,3,0)</f>
        <v>Service</v>
      </c>
      <c r="V369" s="153" t="str">
        <f>+VLOOKUP($L369,Data_Validation!$A:$D,4,0)</f>
        <v>Informatique</v>
      </c>
      <c r="W369" s="153" t="str">
        <f>+VLOOKUP($L369,Data_Validation!$A:$E,5,0)</f>
        <v>$</v>
      </c>
      <c r="X369" s="153">
        <f>+VLOOKUP($L369,Data_Validation!$A:$F,6,0)</f>
        <v>0</v>
      </c>
    </row>
    <row r="370" spans="1:24" ht="15" customHeight="1">
      <c r="A370" s="1236" t="s">
        <v>1203</v>
      </c>
      <c r="B370" s="1237">
        <v>6452</v>
      </c>
      <c r="C370" s="1239">
        <v>1340.55</v>
      </c>
      <c r="D370" s="1239">
        <v>479.16</v>
      </c>
      <c r="E370" s="1239">
        <v>1819.71</v>
      </c>
      <c r="F370" s="1236" t="s">
        <v>398</v>
      </c>
      <c r="G370" s="1236" t="s">
        <v>2579</v>
      </c>
      <c r="H370" s="1241"/>
      <c r="I370" s="1249"/>
      <c r="J370" s="1249"/>
      <c r="K370" s="1249"/>
      <c r="L370" s="150">
        <f t="shared" si="18"/>
        <v>6452</v>
      </c>
      <c r="M370" s="151" t="str">
        <f t="shared" si="19"/>
        <v>PAPETERIE</v>
      </c>
      <c r="N370" s="152">
        <f>+IF(OR($Q370=Parametres!$G$2,$Q370=Parametres!$G$3),I370,C370)</f>
        <v>1340.55</v>
      </c>
      <c r="O370" s="152">
        <f>+IF(OR($Q370=Parametres!$G$2,$Q370=Parametres!$G$3),J370,D370)</f>
        <v>479.16</v>
      </c>
      <c r="P370" s="152">
        <f>+IF(OR($Q370=Parametres!$G$2,$Q370=Parametres!$G$3),K370,E370)</f>
        <v>1819.71</v>
      </c>
      <c r="Q370" s="151" t="str">
        <f t="shared" ref="Q370:S385" si="27">+F370</f>
        <v>7-Dépenses</v>
      </c>
      <c r="R370" s="150" t="str">
        <f t="shared" si="27"/>
        <v>6152</v>
      </c>
      <c r="S370" s="151">
        <f t="shared" si="27"/>
        <v>0</v>
      </c>
      <c r="T370" s="153">
        <f>+VLOOKUP($L370,Data_Validation!$A:$D,1,0)</f>
        <v>6452</v>
      </c>
      <c r="U370" s="153" t="str">
        <f>+VLOOKUP($L370,Data_Validation!$A:$D,3,0)</f>
        <v>Service</v>
      </c>
      <c r="V370" s="153" t="str">
        <f>+VLOOKUP($L370,Data_Validation!$A:$D,4,0)</f>
        <v>Papeterie</v>
      </c>
      <c r="W370" s="153" t="str">
        <f>+VLOOKUP($L370,Data_Validation!$A:$E,5,0)</f>
        <v>$</v>
      </c>
      <c r="X370" s="153">
        <f>+VLOOKUP($L370,Data_Validation!$A:$F,6,0)</f>
        <v>0</v>
      </c>
    </row>
    <row r="371" spans="1:24" ht="15" customHeight="1">
      <c r="A371" s="1236" t="s">
        <v>1151</v>
      </c>
      <c r="B371" s="1237">
        <v>6453</v>
      </c>
      <c r="C371" s="1239">
        <v>1141.42</v>
      </c>
      <c r="D371" s="1239">
        <v>203.5</v>
      </c>
      <c r="E371" s="1239">
        <v>1344.92</v>
      </c>
      <c r="F371" s="1236" t="s">
        <v>398</v>
      </c>
      <c r="G371" s="1236" t="s">
        <v>2583</v>
      </c>
      <c r="H371" s="1241"/>
      <c r="I371" s="1249"/>
      <c r="J371" s="1249"/>
      <c r="K371" s="1249"/>
      <c r="L371" s="150">
        <f t="shared" si="18"/>
        <v>6453</v>
      </c>
      <c r="M371" s="151" t="str">
        <f t="shared" si="19"/>
        <v>TELEPHONE ET TELEX</v>
      </c>
      <c r="N371" s="152">
        <f>+IF(OR($Q371=Parametres!$G$2,$Q371=Parametres!$G$3),I371,C371)</f>
        <v>1141.42</v>
      </c>
      <c r="O371" s="152">
        <f>+IF(OR($Q371=Parametres!$G$2,$Q371=Parametres!$G$3),J371,D371)</f>
        <v>203.5</v>
      </c>
      <c r="P371" s="152">
        <f>+IF(OR($Q371=Parametres!$G$2,$Q371=Parametres!$G$3),K371,E371)</f>
        <v>1344.92</v>
      </c>
      <c r="Q371" s="151" t="str">
        <f t="shared" si="27"/>
        <v>7-Dépenses</v>
      </c>
      <c r="R371" s="150" t="str">
        <f t="shared" si="27"/>
        <v>6153</v>
      </c>
      <c r="S371" s="151">
        <f t="shared" si="27"/>
        <v>0</v>
      </c>
      <c r="T371" s="153">
        <f>+VLOOKUP($L371,Data_Validation!$A:$D,1,0)</f>
        <v>6453</v>
      </c>
      <c r="U371" s="153" t="str">
        <f>+VLOOKUP($L371,Data_Validation!$A:$D,3,0)</f>
        <v>Service</v>
      </c>
      <c r="V371" s="153" t="str">
        <f>+VLOOKUP($L371,Data_Validation!$A:$D,4,0)</f>
        <v>Téléphone</v>
      </c>
      <c r="W371" s="153" t="str">
        <f>+VLOOKUP($L371,Data_Validation!$A:$E,5,0)</f>
        <v>$</v>
      </c>
      <c r="X371" s="153">
        <f>+VLOOKUP($L371,Data_Validation!$A:$F,6,0)</f>
        <v>0</v>
      </c>
    </row>
    <row r="372" spans="1:24" ht="15" customHeight="1">
      <c r="A372" s="1236" t="s">
        <v>1234</v>
      </c>
      <c r="B372" s="1237">
        <v>6455</v>
      </c>
      <c r="C372" s="1239">
        <v>2105.8000000000002</v>
      </c>
      <c r="D372" s="1239">
        <v>898.81</v>
      </c>
      <c r="E372" s="1239">
        <v>3004.61</v>
      </c>
      <c r="F372" s="1236" t="s">
        <v>398</v>
      </c>
      <c r="G372" s="1236" t="s">
        <v>2628</v>
      </c>
      <c r="H372" s="1241"/>
      <c r="I372" s="1249"/>
      <c r="J372" s="1249"/>
      <c r="K372" s="1249"/>
      <c r="L372" s="150">
        <f t="shared" si="18"/>
        <v>6455</v>
      </c>
      <c r="M372" s="151" t="str">
        <f t="shared" si="19"/>
        <v>DEPENSES DIVERS</v>
      </c>
      <c r="N372" s="152">
        <f>+IF(OR($Q372=Parametres!$G$2,$Q372=Parametres!$G$3),I372,C372)</f>
        <v>2105.8000000000002</v>
      </c>
      <c r="O372" s="152">
        <f>+IF(OR($Q372=Parametres!$G$2,$Q372=Parametres!$G$3),J372,D372)</f>
        <v>898.81</v>
      </c>
      <c r="P372" s="152">
        <f>+IF(OR($Q372=Parametres!$G$2,$Q372=Parametres!$G$3),K372,E372)</f>
        <v>3004.61</v>
      </c>
      <c r="Q372" s="151" t="str">
        <f t="shared" si="27"/>
        <v>7-Dépenses</v>
      </c>
      <c r="R372" s="150" t="str">
        <f t="shared" si="27"/>
        <v>6155</v>
      </c>
      <c r="S372" s="151">
        <f t="shared" si="27"/>
        <v>0</v>
      </c>
      <c r="T372" s="153">
        <f>+VLOOKUP($L372,Data_Validation!$A:$D,1,0)</f>
        <v>6455</v>
      </c>
      <c r="U372" s="153" t="str">
        <f>+VLOOKUP($L372,Data_Validation!$A:$D,3,0)</f>
        <v>Service</v>
      </c>
      <c r="V372" s="153" t="str">
        <f>+VLOOKUP($L372,Data_Validation!$A:$D,4,0)</f>
        <v>Divers</v>
      </c>
      <c r="W372" s="153" t="str">
        <f>+VLOOKUP($L372,Data_Validation!$A:$E,5,0)</f>
        <v>$</v>
      </c>
      <c r="X372" s="153">
        <f>+VLOOKUP($L372,Data_Validation!$A:$F,6,0)</f>
        <v>0</v>
      </c>
    </row>
    <row r="373" spans="1:24" ht="15" customHeight="1">
      <c r="A373" s="1236" t="s">
        <v>1289</v>
      </c>
      <c r="B373" s="1237">
        <v>6456</v>
      </c>
      <c r="C373" s="1239">
        <v>698.96</v>
      </c>
      <c r="D373" s="1239">
        <v>687.77</v>
      </c>
      <c r="E373" s="1239">
        <v>1386.73</v>
      </c>
      <c r="F373" s="1236" t="s">
        <v>398</v>
      </c>
      <c r="G373" s="1236" t="s">
        <v>2461</v>
      </c>
      <c r="H373" s="1241"/>
      <c r="I373" s="1249"/>
      <c r="J373" s="1249"/>
      <c r="K373" s="1249"/>
      <c r="L373" s="150">
        <f t="shared" si="18"/>
        <v>6456</v>
      </c>
      <c r="M373" s="151" t="str">
        <f t="shared" si="19"/>
        <v>FRAIS REPRESENTATION - SERVICE</v>
      </c>
      <c r="N373" s="152">
        <f>+IF(OR($Q373=Parametres!$G$2,$Q373=Parametres!$G$3),I373,C373)</f>
        <v>698.96</v>
      </c>
      <c r="O373" s="152">
        <f>+IF(OR($Q373=Parametres!$G$2,$Q373=Parametres!$G$3),J373,D373)</f>
        <v>687.77</v>
      </c>
      <c r="P373" s="152">
        <f>+IF(OR($Q373=Parametres!$G$2,$Q373=Parametres!$G$3),K373,E373)</f>
        <v>1386.73</v>
      </c>
      <c r="Q373" s="151" t="str">
        <f t="shared" si="27"/>
        <v>7-Dépenses</v>
      </c>
      <c r="R373" s="150" t="str">
        <f t="shared" si="27"/>
        <v>6156</v>
      </c>
      <c r="S373" s="151">
        <f t="shared" si="27"/>
        <v>0</v>
      </c>
      <c r="T373" s="153">
        <f>+VLOOKUP($L373,Data_Validation!$A:$D,1,0)</f>
        <v>6456</v>
      </c>
      <c r="U373" s="153" t="str">
        <f>+VLOOKUP($L373,Data_Validation!$A:$D,3,0)</f>
        <v>Service</v>
      </c>
      <c r="V373" s="153" t="str">
        <f>+VLOOKUP($L373,Data_Validation!$A:$D,4,0)</f>
        <v>Frais de déplacement</v>
      </c>
      <c r="W373" s="153" t="str">
        <f>+VLOOKUP($L373,Data_Validation!$A:$E,5,0)</f>
        <v>$</v>
      </c>
      <c r="X373" s="153">
        <f>+VLOOKUP($L373,Data_Validation!$A:$F,6,0)</f>
        <v>0</v>
      </c>
    </row>
    <row r="374" spans="1:24" ht="15.75" customHeight="1">
      <c r="A374" s="1236" t="s">
        <v>1305</v>
      </c>
      <c r="B374" s="1237">
        <v>6459</v>
      </c>
      <c r="C374" s="1239">
        <v>8459.59</v>
      </c>
      <c r="D374" s="1239">
        <v>2669.35</v>
      </c>
      <c r="E374" s="1239">
        <v>11128.94</v>
      </c>
      <c r="F374" s="1236" t="s">
        <v>398</v>
      </c>
      <c r="G374" s="1236" t="s">
        <v>2653</v>
      </c>
      <c r="H374" s="1241"/>
      <c r="I374" s="1249"/>
      <c r="J374" s="1249"/>
      <c r="K374" s="1249"/>
      <c r="L374" s="150">
        <f t="shared" si="18"/>
        <v>6459</v>
      </c>
      <c r="M374" s="151" t="str">
        <f t="shared" si="19"/>
        <v>SERVICE EXTERIEUR</v>
      </c>
      <c r="N374" s="152">
        <f>+IF(OR($Q374=Parametres!$G$2,$Q374=Parametres!$G$3),I374,C374)</f>
        <v>8459.59</v>
      </c>
      <c r="O374" s="152">
        <f>+IF(OR($Q374=Parametres!$G$2,$Q374=Parametres!$G$3),J374,D374)</f>
        <v>2669.35</v>
      </c>
      <c r="P374" s="152">
        <f>+IF(OR($Q374=Parametres!$G$2,$Q374=Parametres!$G$3),K374,E374)</f>
        <v>11128.94</v>
      </c>
      <c r="Q374" s="151" t="str">
        <f t="shared" si="27"/>
        <v>7-Dépenses</v>
      </c>
      <c r="R374" s="150" t="str">
        <f t="shared" si="27"/>
        <v>6159</v>
      </c>
      <c r="S374" s="151">
        <f t="shared" si="27"/>
        <v>0</v>
      </c>
      <c r="T374" s="153">
        <f>+VLOOKUP($L374,Data_Validation!$A:$D,1,0)</f>
        <v>6459</v>
      </c>
      <c r="U374" s="153" t="str">
        <f>+VLOOKUP($L374,Data_Validation!$A:$D,3,0)</f>
        <v>Service</v>
      </c>
      <c r="V374" s="153" t="str">
        <f>+VLOOKUP($L374,Data_Validation!$A:$D,4,0)</f>
        <v>Services extérieurs</v>
      </c>
      <c r="W374" s="153" t="str">
        <f>+VLOOKUP($L374,Data_Validation!$A:$E,5,0)</f>
        <v>$</v>
      </c>
      <c r="X374" s="153">
        <f>+VLOOKUP($L374,Data_Validation!$A:$F,6,0)</f>
        <v>0</v>
      </c>
    </row>
    <row r="375" spans="1:24" ht="15" customHeight="1">
      <c r="A375" s="1236" t="s">
        <v>1330</v>
      </c>
      <c r="B375" s="1237">
        <v>6461</v>
      </c>
      <c r="C375" s="1239">
        <v>8800.32</v>
      </c>
      <c r="D375" s="1239">
        <v>-3432.24</v>
      </c>
      <c r="E375" s="1239">
        <v>5368.08</v>
      </c>
      <c r="F375" s="1236" t="s">
        <v>398</v>
      </c>
      <c r="G375" s="1236" t="s">
        <v>2644</v>
      </c>
      <c r="H375" s="1241"/>
      <c r="I375" s="1249"/>
      <c r="J375" s="1249"/>
      <c r="K375" s="1249"/>
      <c r="L375" s="150">
        <f t="shared" si="18"/>
        <v>6461</v>
      </c>
      <c r="M375" s="151" t="str">
        <f t="shared" si="19"/>
        <v>DEPRECIATION EQUIP. &amp; FIXTURES</v>
      </c>
      <c r="N375" s="152">
        <f>+IF(OR($Q375=Parametres!$G$2,$Q375=Parametres!$G$3),I375,C375)</f>
        <v>8800.32</v>
      </c>
      <c r="O375" s="152">
        <f>+IF(OR($Q375=Parametres!$G$2,$Q375=Parametres!$G$3),J375,D375)</f>
        <v>-3432.24</v>
      </c>
      <c r="P375" s="152">
        <f>+IF(OR($Q375=Parametres!$G$2,$Q375=Parametres!$G$3),K375,E375)</f>
        <v>5368.08</v>
      </c>
      <c r="Q375" s="151" t="str">
        <f t="shared" si="27"/>
        <v>7-Dépenses</v>
      </c>
      <c r="R375" s="150" t="str">
        <f t="shared" si="27"/>
        <v>6161</v>
      </c>
      <c r="S375" s="151">
        <f t="shared" si="27"/>
        <v>0</v>
      </c>
      <c r="T375" s="153">
        <f>+VLOOKUP($L375,Data_Validation!$A:$D,1,0)</f>
        <v>6461</v>
      </c>
      <c r="U375" s="153" t="str">
        <f>+VLOOKUP($L375,Data_Validation!$A:$D,3,0)</f>
        <v>Service</v>
      </c>
      <c r="V375" s="153" t="str">
        <f>+VLOOKUP($L375,Data_Validation!$A:$D,4,0)</f>
        <v>Amortissement</v>
      </c>
      <c r="W375" s="153" t="str">
        <f>+VLOOKUP($L375,Data_Validation!$A:$E,5,0)</f>
        <v>$</v>
      </c>
      <c r="X375" s="153">
        <f>+VLOOKUP($L375,Data_Validation!$A:$F,6,0)</f>
        <v>0</v>
      </c>
    </row>
    <row r="376" spans="1:24" ht="15" customHeight="1">
      <c r="A376" s="1236" t="s">
        <v>1165</v>
      </c>
      <c r="B376" s="1237">
        <v>6463</v>
      </c>
      <c r="C376" s="1239">
        <v>3550.63</v>
      </c>
      <c r="D376" s="1239">
        <v>856.63</v>
      </c>
      <c r="E376" s="1239">
        <v>4407.26</v>
      </c>
      <c r="F376" s="1236" t="s">
        <v>398</v>
      </c>
      <c r="G376" s="1236" t="s">
        <v>2630</v>
      </c>
      <c r="H376" s="1241"/>
      <c r="I376" s="1249"/>
      <c r="J376" s="1249"/>
      <c r="K376" s="1249"/>
      <c r="L376" s="150">
        <f t="shared" si="18"/>
        <v>6463</v>
      </c>
      <c r="M376" s="151" t="str">
        <f t="shared" si="19"/>
        <v>REPARATION &amp; ENT. - EQUIP.</v>
      </c>
      <c r="N376" s="152">
        <f>+IF(OR($Q376=Parametres!$G$2,$Q376=Parametres!$G$3),I376,C376)</f>
        <v>3550.63</v>
      </c>
      <c r="O376" s="152">
        <f>+IF(OR($Q376=Parametres!$G$2,$Q376=Parametres!$G$3),J376,D376)</f>
        <v>856.63</v>
      </c>
      <c r="P376" s="152">
        <f>+IF(OR($Q376=Parametres!$G$2,$Q376=Parametres!$G$3),K376,E376)</f>
        <v>4407.26</v>
      </c>
      <c r="Q376" s="151" t="str">
        <f t="shared" si="27"/>
        <v>7-Dépenses</v>
      </c>
      <c r="R376" s="150" t="str">
        <f t="shared" si="27"/>
        <v>6163</v>
      </c>
      <c r="S376" s="151">
        <f t="shared" si="27"/>
        <v>0</v>
      </c>
      <c r="T376" s="153">
        <f>+VLOOKUP($L376,Data_Validation!$A:$D,1,0)</f>
        <v>6463</v>
      </c>
      <c r="U376" s="153" t="str">
        <f>+VLOOKUP($L376,Data_Validation!$A:$D,3,0)</f>
        <v>Service</v>
      </c>
      <c r="V376" s="153" t="str">
        <f>+VLOOKUP($L376,Data_Validation!$A:$D,4,0)</f>
        <v>Réparation équipement</v>
      </c>
      <c r="W376" s="153" t="str">
        <f>+VLOOKUP($L376,Data_Validation!$A:$E,5,0)</f>
        <v>$</v>
      </c>
      <c r="X376" s="153">
        <f>+VLOOKUP($L376,Data_Validation!$A:$F,6,0)</f>
        <v>0</v>
      </c>
    </row>
    <row r="377" spans="1:24" ht="15" customHeight="1">
      <c r="A377" s="1236" t="s">
        <v>1308</v>
      </c>
      <c r="B377" s="1237">
        <v>6481</v>
      </c>
      <c r="C377" s="1239">
        <v>2408.91</v>
      </c>
      <c r="D377" s="1239">
        <v>818.66</v>
      </c>
      <c r="E377" s="1239">
        <v>3227.57</v>
      </c>
      <c r="F377" s="1236" t="s">
        <v>398</v>
      </c>
      <c r="G377" s="1236" t="s">
        <v>2595</v>
      </c>
      <c r="H377" s="1241"/>
      <c r="I377" s="1249"/>
      <c r="J377" s="1249"/>
      <c r="K377" s="1249"/>
      <c r="L377" s="150">
        <f t="shared" si="18"/>
        <v>6481</v>
      </c>
      <c r="M377" s="151" t="str">
        <f t="shared" si="19"/>
        <v>CHAUFFAGE,ELECTRICITE,EAU-SERVICE</v>
      </c>
      <c r="N377" s="152">
        <f>+IF(OR($Q377=Parametres!$G$2,$Q377=Parametres!$G$3),I377,C377)</f>
        <v>2408.91</v>
      </c>
      <c r="O377" s="152">
        <f>+IF(OR($Q377=Parametres!$G$2,$Q377=Parametres!$G$3),J377,D377)</f>
        <v>818.66</v>
      </c>
      <c r="P377" s="152">
        <f>+IF(OR($Q377=Parametres!$G$2,$Q377=Parametres!$G$3),K377,E377)</f>
        <v>3227.57</v>
      </c>
      <c r="Q377" s="151" t="str">
        <f t="shared" si="27"/>
        <v>7-Dépenses</v>
      </c>
      <c r="R377" s="150" t="str">
        <f t="shared" si="27"/>
        <v>6181</v>
      </c>
      <c r="S377" s="151">
        <f t="shared" si="27"/>
        <v>0</v>
      </c>
      <c r="T377" s="153">
        <f>+VLOOKUP($L377,Data_Validation!$A:$D,1,0)</f>
        <v>6481</v>
      </c>
      <c r="U377" s="153" t="str">
        <f>+VLOOKUP($L377,Data_Validation!$A:$D,3,0)</f>
        <v>Service</v>
      </c>
      <c r="V377" s="153" t="str">
        <f>+VLOOKUP($L377,Data_Validation!$A:$D,4,0)</f>
        <v>Chauffage, éclairage</v>
      </c>
      <c r="W377" s="153" t="str">
        <f>+VLOOKUP($L377,Data_Validation!$A:$E,5,0)</f>
        <v>$</v>
      </c>
      <c r="X377" s="153">
        <f>+VLOOKUP($L377,Data_Validation!$A:$F,6,0)</f>
        <v>0</v>
      </c>
    </row>
    <row r="378" spans="1:24" ht="15" customHeight="1">
      <c r="A378" s="1236" t="s">
        <v>1449</v>
      </c>
      <c r="B378" s="1237">
        <v>6482</v>
      </c>
      <c r="C378" s="1239">
        <v>24960</v>
      </c>
      <c r="D378" s="1239">
        <v>6240</v>
      </c>
      <c r="E378" s="1239">
        <v>31200</v>
      </c>
      <c r="F378" s="1236" t="s">
        <v>398</v>
      </c>
      <c r="G378" s="1236" t="s">
        <v>2700</v>
      </c>
      <c r="H378" s="1241"/>
      <c r="I378" s="1249"/>
      <c r="J378" s="1249"/>
      <c r="K378" s="1249"/>
      <c r="L378" s="150">
        <f t="shared" si="18"/>
        <v>6482</v>
      </c>
      <c r="M378" s="151" t="str">
        <f t="shared" si="19"/>
        <v>LOYER - SERVICE</v>
      </c>
      <c r="N378" s="152">
        <f>+IF(OR($Q378=Parametres!$G$2,$Q378=Parametres!$G$3),I378,C378)</f>
        <v>24960</v>
      </c>
      <c r="O378" s="152">
        <f>+IF(OR($Q378=Parametres!$G$2,$Q378=Parametres!$G$3),J378,D378)</f>
        <v>6240</v>
      </c>
      <c r="P378" s="152">
        <f>+IF(OR($Q378=Parametres!$G$2,$Q378=Parametres!$G$3),K378,E378)</f>
        <v>31200</v>
      </c>
      <c r="Q378" s="151" t="str">
        <f t="shared" si="27"/>
        <v>7-Dépenses</v>
      </c>
      <c r="R378" s="150" t="str">
        <f t="shared" si="27"/>
        <v>6182</v>
      </c>
      <c r="S378" s="151">
        <f t="shared" si="27"/>
        <v>0</v>
      </c>
      <c r="T378" s="153">
        <f>+VLOOKUP($L378,Data_Validation!$A:$D,1,0)</f>
        <v>6482</v>
      </c>
      <c r="U378" s="153" t="str">
        <f>+VLOOKUP($L378,Data_Validation!$A:$D,3,0)</f>
        <v>Service</v>
      </c>
      <c r="V378" s="153" t="str">
        <f>+VLOOKUP($L378,Data_Validation!$A:$D,4,0)</f>
        <v>Loyer</v>
      </c>
      <c r="W378" s="153" t="str">
        <f>+VLOOKUP($L378,Data_Validation!$A:$E,5,0)</f>
        <v>$</v>
      </c>
      <c r="X378" s="153">
        <f>+VLOOKUP($L378,Data_Validation!$A:$F,6,0)</f>
        <v>0</v>
      </c>
    </row>
    <row r="379" spans="1:24" ht="15.75" customHeight="1">
      <c r="A379" s="1236" t="s">
        <v>1344</v>
      </c>
      <c r="B379" s="1237">
        <v>6486</v>
      </c>
      <c r="C379" s="1239">
        <v>3559.8</v>
      </c>
      <c r="D379" s="1239">
        <v>889.95</v>
      </c>
      <c r="E379" s="1239">
        <v>4449.75</v>
      </c>
      <c r="F379" s="1236" t="s">
        <v>398</v>
      </c>
      <c r="G379" s="1236" t="s">
        <v>2585</v>
      </c>
      <c r="H379" s="1241"/>
      <c r="I379" s="1249"/>
      <c r="J379" s="1249"/>
      <c r="K379" s="1249"/>
      <c r="L379" s="150">
        <f t="shared" si="18"/>
        <v>6486</v>
      </c>
      <c r="M379" s="151" t="str">
        <f t="shared" si="19"/>
        <v>ASSURANCE BATISSE &amp; AMEL.-SERVICE</v>
      </c>
      <c r="N379" s="152">
        <f>+IF(OR($Q379=Parametres!$G$2,$Q379=Parametres!$G$3),I379,C379)</f>
        <v>3559.8</v>
      </c>
      <c r="O379" s="152">
        <f>+IF(OR($Q379=Parametres!$G$2,$Q379=Parametres!$G$3),J379,D379)</f>
        <v>889.95</v>
      </c>
      <c r="P379" s="152">
        <f>+IF(OR($Q379=Parametres!$G$2,$Q379=Parametres!$G$3),K379,E379)</f>
        <v>4449.75</v>
      </c>
      <c r="Q379" s="151" t="str">
        <f t="shared" si="27"/>
        <v>7-Dépenses</v>
      </c>
      <c r="R379" s="150" t="str">
        <f t="shared" si="27"/>
        <v>6186</v>
      </c>
      <c r="S379" s="151">
        <f t="shared" si="27"/>
        <v>0</v>
      </c>
      <c r="T379" s="153">
        <f>+VLOOKUP($L379,Data_Validation!$A:$D,1,0)</f>
        <v>6486</v>
      </c>
      <c r="U379" s="153" t="str">
        <f>+VLOOKUP($L379,Data_Validation!$A:$D,3,0)</f>
        <v>Service</v>
      </c>
      <c r="V379" s="153" t="str">
        <f>+VLOOKUP($L379,Data_Validation!$A:$D,4,0)</f>
        <v>Assurances</v>
      </c>
      <c r="W379" s="153" t="str">
        <f>+VLOOKUP($L379,Data_Validation!$A:$E,5,0)</f>
        <v>$</v>
      </c>
      <c r="X379" s="153">
        <f>+VLOOKUP($L379,Data_Validation!$A:$F,6,0)</f>
        <v>0</v>
      </c>
    </row>
    <row r="380" spans="1:24" ht="15" customHeight="1">
      <c r="A380" s="1236" t="s">
        <v>1337</v>
      </c>
      <c r="B380" s="1237">
        <v>6487</v>
      </c>
      <c r="C380" s="1239">
        <v>4617.6000000000004</v>
      </c>
      <c r="D380" s="1239">
        <v>1154.4000000000001</v>
      </c>
      <c r="E380" s="1239">
        <v>5772</v>
      </c>
      <c r="F380" s="1236" t="s">
        <v>398</v>
      </c>
      <c r="G380" s="1236" t="s">
        <v>2605</v>
      </c>
      <c r="H380" s="1241"/>
      <c r="I380" s="1249"/>
      <c r="J380" s="1249"/>
      <c r="K380" s="1249"/>
      <c r="L380" s="150">
        <f t="shared" si="18"/>
        <v>6487</v>
      </c>
      <c r="M380" s="151" t="str">
        <f t="shared" si="19"/>
        <v>TAXES FONCIERES - SERVICE</v>
      </c>
      <c r="N380" s="152">
        <f>+IF(OR($Q380=Parametres!$G$2,$Q380=Parametres!$G$3),I380,C380)</f>
        <v>4617.6000000000004</v>
      </c>
      <c r="O380" s="152">
        <f>+IF(OR($Q380=Parametres!$G$2,$Q380=Parametres!$G$3),J380,D380)</f>
        <v>1154.4000000000001</v>
      </c>
      <c r="P380" s="152">
        <f>+IF(OR($Q380=Parametres!$G$2,$Q380=Parametres!$G$3),K380,E380)</f>
        <v>5772</v>
      </c>
      <c r="Q380" s="151" t="str">
        <f t="shared" si="27"/>
        <v>7-Dépenses</v>
      </c>
      <c r="R380" s="150" t="str">
        <f t="shared" si="27"/>
        <v>6187</v>
      </c>
      <c r="S380" s="151">
        <f t="shared" si="27"/>
        <v>0</v>
      </c>
      <c r="T380" s="153">
        <f>+VLOOKUP($L380,Data_Validation!$A:$D,1,0)</f>
        <v>6487</v>
      </c>
      <c r="U380" s="153" t="str">
        <f>+VLOOKUP($L380,Data_Validation!$A:$D,3,0)</f>
        <v>Service</v>
      </c>
      <c r="V380" s="153" t="str">
        <f>+VLOOKUP($L380,Data_Validation!$A:$D,4,0)</f>
        <v>Taxes foncières</v>
      </c>
      <c r="W380" s="153" t="str">
        <f>+VLOOKUP($L380,Data_Validation!$A:$E,5,0)</f>
        <v>$</v>
      </c>
      <c r="X380" s="153">
        <f>+VLOOKUP($L380,Data_Validation!$A:$F,6,0)</f>
        <v>0</v>
      </c>
    </row>
    <row r="381" spans="1:24" ht="15" customHeight="1">
      <c r="A381" s="1236" t="s">
        <v>1271</v>
      </c>
      <c r="B381" s="1237">
        <v>6493</v>
      </c>
      <c r="C381" s="1239">
        <v>3072</v>
      </c>
      <c r="D381" s="1239">
        <v>768</v>
      </c>
      <c r="E381" s="1239">
        <v>3840</v>
      </c>
      <c r="F381" s="1236" t="s">
        <v>398</v>
      </c>
      <c r="G381" s="1236" t="s">
        <v>2588</v>
      </c>
      <c r="H381" s="1241"/>
      <c r="I381" s="1249"/>
      <c r="J381" s="1249"/>
      <c r="K381" s="1249"/>
      <c r="L381" s="150">
        <f t="shared" si="18"/>
        <v>6493</v>
      </c>
      <c r="M381" s="151" t="str">
        <f t="shared" si="19"/>
        <v>AUTRE TAXES-SERVICE</v>
      </c>
      <c r="N381" s="152">
        <f>+IF(OR($Q381=Parametres!$G$2,$Q381=Parametres!$G$3),I381,C381)</f>
        <v>3072</v>
      </c>
      <c r="O381" s="152">
        <f>+IF(OR($Q381=Parametres!$G$2,$Q381=Parametres!$G$3),J381,D381)</f>
        <v>768</v>
      </c>
      <c r="P381" s="152">
        <f>+IF(OR($Q381=Parametres!$G$2,$Q381=Parametres!$G$3),K381,E381)</f>
        <v>3840</v>
      </c>
      <c r="Q381" s="151" t="str">
        <f t="shared" si="27"/>
        <v>7-Dépenses</v>
      </c>
      <c r="R381" s="150" t="str">
        <f t="shared" si="27"/>
        <v>6193</v>
      </c>
      <c r="S381" s="151">
        <f t="shared" si="27"/>
        <v>0</v>
      </c>
      <c r="T381" s="153">
        <f>+VLOOKUP($L381,Data_Validation!$A:$D,1,0)</f>
        <v>6493</v>
      </c>
      <c r="U381" s="153" t="str">
        <f>+VLOOKUP($L381,Data_Validation!$A:$D,3,0)</f>
        <v>Service</v>
      </c>
      <c r="V381" s="153" t="str">
        <f>+VLOOKUP($L381,Data_Validation!$A:$D,4,0)</f>
        <v>Taxes d`affaires</v>
      </c>
      <c r="W381" s="153" t="str">
        <f>+VLOOKUP($L381,Data_Validation!$A:$E,5,0)</f>
        <v>$</v>
      </c>
      <c r="X381" s="153">
        <f>+VLOOKUP($L381,Data_Validation!$A:$F,6,0)</f>
        <v>0</v>
      </c>
    </row>
    <row r="382" spans="1:24" ht="15" customHeight="1">
      <c r="A382" s="1236" t="s">
        <v>1364</v>
      </c>
      <c r="B382" s="1237">
        <v>6494</v>
      </c>
      <c r="C382" s="1239">
        <v>6177.46</v>
      </c>
      <c r="D382" s="1239">
        <v>1712.68</v>
      </c>
      <c r="E382" s="1239">
        <v>7890.14</v>
      </c>
      <c r="F382" s="1236" t="s">
        <v>398</v>
      </c>
      <c r="G382" s="1236" t="s">
        <v>2626</v>
      </c>
      <c r="H382" s="1241"/>
      <c r="I382" s="1249"/>
      <c r="J382" s="1249"/>
      <c r="K382" s="1249"/>
      <c r="L382" s="150">
        <f t="shared" si="18"/>
        <v>6494</v>
      </c>
      <c r="M382" s="151" t="str">
        <f t="shared" si="19"/>
        <v>FRAIS PROFESSIONNEL-SERVICE</v>
      </c>
      <c r="N382" s="152">
        <f>+IF(OR($Q382=Parametres!$G$2,$Q382=Parametres!$G$3),I382,C382)</f>
        <v>6177.46</v>
      </c>
      <c r="O382" s="152">
        <f>+IF(OR($Q382=Parametres!$G$2,$Q382=Parametres!$G$3),J382,D382)</f>
        <v>1712.68</v>
      </c>
      <c r="P382" s="152">
        <f>+IF(OR($Q382=Parametres!$G$2,$Q382=Parametres!$G$3),K382,E382)</f>
        <v>7890.14</v>
      </c>
      <c r="Q382" s="151" t="str">
        <f t="shared" si="27"/>
        <v>7-Dépenses</v>
      </c>
      <c r="R382" s="150" t="str">
        <f t="shared" si="27"/>
        <v>6194</v>
      </c>
      <c r="S382" s="151">
        <f t="shared" si="27"/>
        <v>0</v>
      </c>
      <c r="T382" s="153">
        <f>+VLOOKUP($L382,Data_Validation!$A:$D,1,0)</f>
        <v>6494</v>
      </c>
      <c r="U382" s="153" t="str">
        <f>+VLOOKUP($L382,Data_Validation!$A:$D,3,0)</f>
        <v>Service</v>
      </c>
      <c r="V382" s="153" t="str">
        <f>+VLOOKUP($L382,Data_Validation!$A:$D,4,0)</f>
        <v>Honoraires</v>
      </c>
      <c r="W382" s="153" t="str">
        <f>+VLOOKUP($L382,Data_Validation!$A:$E,5,0)</f>
        <v>$</v>
      </c>
      <c r="X382" s="153">
        <f>+VLOOKUP($L382,Data_Validation!$A:$F,6,0)</f>
        <v>0</v>
      </c>
    </row>
    <row r="383" spans="1:24" ht="15.75" customHeight="1">
      <c r="A383" s="1236" t="s">
        <v>396</v>
      </c>
      <c r="B383" s="1237">
        <v>6503</v>
      </c>
      <c r="C383" s="1239">
        <v>55.33</v>
      </c>
      <c r="D383" s="1239">
        <v>201.75</v>
      </c>
      <c r="E383" s="1239">
        <v>257.08</v>
      </c>
      <c r="F383" s="1236" t="s">
        <v>398</v>
      </c>
      <c r="G383" s="1236" t="s">
        <v>2458</v>
      </c>
      <c r="H383" s="1241"/>
      <c r="I383" s="1249"/>
      <c r="J383" s="1249"/>
      <c r="K383" s="1249"/>
      <c r="L383" s="150">
        <f t="shared" si="18"/>
        <v>6503</v>
      </c>
      <c r="M383" s="151" t="str">
        <f t="shared" si="19"/>
        <v>RELAT. A LA CLIENTELE &amp; AJUST.</v>
      </c>
      <c r="N383" s="152">
        <f>+IF(OR($Q383=Parametres!$G$2,$Q383=Parametres!$G$3),I383,C383)</f>
        <v>55.33</v>
      </c>
      <c r="O383" s="152">
        <f>+IF(OR($Q383=Parametres!$G$2,$Q383=Parametres!$G$3),J383,D383)</f>
        <v>201.75</v>
      </c>
      <c r="P383" s="152">
        <f>+IF(OR($Q383=Parametres!$G$2,$Q383=Parametres!$G$3),K383,E383)</f>
        <v>257.08</v>
      </c>
      <c r="Q383" s="151" t="str">
        <f t="shared" si="27"/>
        <v>7-Dépenses</v>
      </c>
      <c r="R383" s="150" t="str">
        <f t="shared" si="27"/>
        <v>6112</v>
      </c>
      <c r="S383" s="151">
        <f t="shared" si="27"/>
        <v>0</v>
      </c>
      <c r="T383" s="153">
        <f>+VLOOKUP($L383,Data_Validation!$A:$D,1,0)</f>
        <v>6503</v>
      </c>
      <c r="U383" s="153" t="str">
        <f>+VLOOKUP($L383,Data_Validation!$A:$D,3,0)</f>
        <v>Carrosserie</v>
      </c>
      <c r="V383" s="153" t="str">
        <f>+VLOOKUP($L383,Data_Validation!$A:$D,4,0)</f>
        <v>Service gratuit 2</v>
      </c>
      <c r="W383" s="153" t="str">
        <f>+VLOOKUP($L383,Data_Validation!$A:$E,5,0)</f>
        <v>$</v>
      </c>
      <c r="X383" s="153">
        <f>+VLOOKUP($L383,Data_Validation!$A:$F,6,0)</f>
        <v>0</v>
      </c>
    </row>
    <row r="384" spans="1:24" ht="15" customHeight="1">
      <c r="A384" s="1236" t="s">
        <v>1371</v>
      </c>
      <c r="B384" s="1237">
        <v>6514</v>
      </c>
      <c r="C384" s="1239">
        <v>100.37</v>
      </c>
      <c r="D384" s="1239">
        <v>7.0000000000000007E-2</v>
      </c>
      <c r="E384" s="1239">
        <v>100.44</v>
      </c>
      <c r="F384" s="1236" t="s">
        <v>398</v>
      </c>
      <c r="G384" s="1236" t="s">
        <v>2106</v>
      </c>
      <c r="H384" s="1241"/>
      <c r="I384" s="1249"/>
      <c r="J384" s="1249"/>
      <c r="K384" s="1249"/>
      <c r="L384" s="150">
        <f t="shared" si="18"/>
        <v>6514</v>
      </c>
      <c r="M384" s="151" t="str">
        <f t="shared" si="19"/>
        <v>PUBLICITE</v>
      </c>
      <c r="N384" s="152">
        <f>+IF(OR($Q384=Parametres!$G$2,$Q384=Parametres!$G$3),I384,C384)</f>
        <v>100.37</v>
      </c>
      <c r="O384" s="152">
        <f>+IF(OR($Q384=Parametres!$G$2,$Q384=Parametres!$G$3),J384,D384)</f>
        <v>7.0000000000000007E-2</v>
      </c>
      <c r="P384" s="152">
        <f>+IF(OR($Q384=Parametres!$G$2,$Q384=Parametres!$G$3),K384,E384)</f>
        <v>100.44</v>
      </c>
      <c r="Q384" s="151" t="str">
        <f t="shared" si="27"/>
        <v>7-Dépenses</v>
      </c>
      <c r="R384" s="150" t="str">
        <f t="shared" si="27"/>
        <v>6114</v>
      </c>
      <c r="S384" s="151">
        <f t="shared" si="27"/>
        <v>0</v>
      </c>
      <c r="T384" s="153">
        <f>+VLOOKUP($L384,Data_Validation!$A:$D,1,0)</f>
        <v>6514</v>
      </c>
      <c r="U384" s="153" t="str">
        <f>+VLOOKUP($L384,Data_Validation!$A:$D,3,0)</f>
        <v>Carrosserie</v>
      </c>
      <c r="V384" s="153" t="str">
        <f>+VLOOKUP($L384,Data_Validation!$A:$D,4,0)</f>
        <v>Publicité 2</v>
      </c>
      <c r="W384" s="153" t="str">
        <f>+VLOOKUP($L384,Data_Validation!$A:$E,5,0)</f>
        <v>$</v>
      </c>
      <c r="X384" s="153">
        <f>+VLOOKUP($L384,Data_Validation!$A:$F,6,0)</f>
        <v>0</v>
      </c>
    </row>
    <row r="385" spans="1:24" ht="15" customHeight="1">
      <c r="A385" s="1236" t="s">
        <v>1256</v>
      </c>
      <c r="B385" s="1237">
        <v>6521</v>
      </c>
      <c r="C385" s="1239">
        <v>816.68</v>
      </c>
      <c r="D385" s="1239">
        <v>163.54</v>
      </c>
      <c r="E385" s="1239">
        <v>980.22</v>
      </c>
      <c r="F385" s="1236" t="s">
        <v>398</v>
      </c>
      <c r="G385" s="1236" t="s">
        <v>2639</v>
      </c>
      <c r="H385" s="1241"/>
      <c r="I385" s="1249"/>
      <c r="J385" s="1249"/>
      <c r="K385" s="1249"/>
      <c r="L385" s="150">
        <f t="shared" si="18"/>
        <v>6521</v>
      </c>
      <c r="M385" s="151" t="str">
        <f t="shared" si="19"/>
        <v>SALAIRES - PROPRIETAIRES</v>
      </c>
      <c r="N385" s="152">
        <f>+IF(OR($Q385=Parametres!$G$2,$Q385=Parametres!$G$3),I385,C385)</f>
        <v>816.68</v>
      </c>
      <c r="O385" s="152">
        <f>+IF(OR($Q385=Parametres!$G$2,$Q385=Parametres!$G$3),J385,D385)</f>
        <v>163.54</v>
      </c>
      <c r="P385" s="152">
        <f>+IF(OR($Q385=Parametres!$G$2,$Q385=Parametres!$G$3),K385,E385)</f>
        <v>980.22</v>
      </c>
      <c r="Q385" s="151" t="str">
        <f t="shared" si="27"/>
        <v>7-Dépenses</v>
      </c>
      <c r="R385" s="150" t="str">
        <f t="shared" si="27"/>
        <v>6121</v>
      </c>
      <c r="S385" s="151">
        <f t="shared" si="27"/>
        <v>0</v>
      </c>
      <c r="T385" s="153">
        <f>+VLOOKUP($L385,Data_Validation!$A:$D,1,0)</f>
        <v>6521</v>
      </c>
      <c r="U385" s="153" t="str">
        <f>+VLOOKUP($L385,Data_Validation!$A:$D,3,0)</f>
        <v>Carrosserie</v>
      </c>
      <c r="V385" s="153" t="str">
        <f>+VLOOKUP($L385,Data_Validation!$A:$D,4,0)</f>
        <v>Salaires propriétaire</v>
      </c>
      <c r="W385" s="153" t="str">
        <f>+VLOOKUP($L385,Data_Validation!$A:$E,5,0)</f>
        <v>$</v>
      </c>
      <c r="X385" s="153">
        <f>+VLOOKUP($L385,Data_Validation!$A:$F,6,0)</f>
        <v>0</v>
      </c>
    </row>
    <row r="386" spans="1:24" ht="15" customHeight="1">
      <c r="A386" s="1236" t="s">
        <v>2615</v>
      </c>
      <c r="B386" s="1237">
        <v>6522</v>
      </c>
      <c r="C386" s="1239">
        <v>3236.48</v>
      </c>
      <c r="D386" s="1239">
        <v>809.12</v>
      </c>
      <c r="E386" s="1239">
        <v>4045.6</v>
      </c>
      <c r="F386" s="1236" t="s">
        <v>398</v>
      </c>
      <c r="G386" s="1236" t="s">
        <v>2617</v>
      </c>
      <c r="H386" s="1241"/>
      <c r="I386" s="1249"/>
      <c r="J386" s="1249"/>
      <c r="K386" s="1249"/>
      <c r="L386" s="150">
        <f t="shared" si="18"/>
        <v>6522</v>
      </c>
      <c r="M386" s="151" t="str">
        <f t="shared" si="19"/>
        <v>SAL SUPERVISION / GERANT</v>
      </c>
      <c r="N386" s="152">
        <f>+IF(OR($Q386=Parametres!$G$2,$Q386=Parametres!$G$3),I386,C386)</f>
        <v>3236.48</v>
      </c>
      <c r="O386" s="152">
        <f>+IF(OR($Q386=Parametres!$G$2,$Q386=Parametres!$G$3),J386,D386)</f>
        <v>809.12</v>
      </c>
      <c r="P386" s="152">
        <f>+IF(OR($Q386=Parametres!$G$2,$Q386=Parametres!$G$3),K386,E386)</f>
        <v>4045.6</v>
      </c>
      <c r="Q386" s="151" t="str">
        <f t="shared" ref="Q386:S401" si="28">+F386</f>
        <v>7-Dépenses</v>
      </c>
      <c r="R386" s="150" t="str">
        <f t="shared" si="28"/>
        <v>6122</v>
      </c>
      <c r="S386" s="151">
        <f t="shared" si="28"/>
        <v>0</v>
      </c>
      <c r="T386" s="153">
        <f>+VLOOKUP($L386,Data_Validation!$A:$D,1,0)</f>
        <v>6522</v>
      </c>
      <c r="U386" s="153" t="str">
        <f>+VLOOKUP($L386,Data_Validation!$A:$D,3,0)</f>
        <v>Carrosserie</v>
      </c>
      <c r="V386" s="153" t="str">
        <f>+VLOOKUP($L386,Data_Validation!$A:$D,4,0)</f>
        <v>Salaires cadres</v>
      </c>
      <c r="W386" s="153" t="str">
        <f>+VLOOKUP($L386,Data_Validation!$A:$E,5,0)</f>
        <v>$</v>
      </c>
      <c r="X386" s="153">
        <f>+VLOOKUP($L386,Data_Validation!$A:$F,6,0)</f>
        <v>0</v>
      </c>
    </row>
    <row r="387" spans="1:24" ht="15.75" customHeight="1">
      <c r="A387" s="1236" t="s">
        <v>1263</v>
      </c>
      <c r="B387" s="1237">
        <v>6523</v>
      </c>
      <c r="C387" s="1239">
        <v>2664.64</v>
      </c>
      <c r="D387" s="1239">
        <v>545.36</v>
      </c>
      <c r="E387" s="1239">
        <v>3210</v>
      </c>
      <c r="F387" s="1236" t="s">
        <v>398</v>
      </c>
      <c r="G387" s="1236" t="s">
        <v>2670</v>
      </c>
      <c r="H387" s="1241"/>
      <c r="I387" s="1249"/>
      <c r="J387" s="1249"/>
      <c r="K387" s="1249"/>
      <c r="L387" s="150">
        <f t="shared" si="18"/>
        <v>6523</v>
      </c>
      <c r="M387" s="151" t="str">
        <f t="shared" si="19"/>
        <v>SAL. &amp; RENUM. CLERICAL</v>
      </c>
      <c r="N387" s="152">
        <f>+IF(OR($Q387=Parametres!$G$2,$Q387=Parametres!$G$3),I387,C387)</f>
        <v>2664.64</v>
      </c>
      <c r="O387" s="152">
        <f>+IF(OR($Q387=Parametres!$G$2,$Q387=Parametres!$G$3),J387,D387)</f>
        <v>545.36</v>
      </c>
      <c r="P387" s="152">
        <f>+IF(OR($Q387=Parametres!$G$2,$Q387=Parametres!$G$3),K387,E387)</f>
        <v>3210</v>
      </c>
      <c r="Q387" s="151" t="str">
        <f t="shared" si="28"/>
        <v>7-Dépenses</v>
      </c>
      <c r="R387" s="150" t="str">
        <f t="shared" si="28"/>
        <v>6123</v>
      </c>
      <c r="S387" s="151">
        <f t="shared" si="28"/>
        <v>0</v>
      </c>
      <c r="T387" s="153">
        <f>+VLOOKUP($L387,Data_Validation!$A:$D,1,0)</f>
        <v>6523</v>
      </c>
      <c r="U387" s="153" t="str">
        <f>+VLOOKUP($L387,Data_Validation!$A:$D,3,0)</f>
        <v>Carrosserie</v>
      </c>
      <c r="V387" s="153" t="str">
        <f>+VLOOKUP($L387,Data_Validation!$A:$D,4,0)</f>
        <v>Salaires commis</v>
      </c>
      <c r="W387" s="153" t="str">
        <f>+VLOOKUP($L387,Data_Validation!$A:$E,5,0)</f>
        <v>$</v>
      </c>
      <c r="X387" s="153">
        <f>+VLOOKUP($L387,Data_Validation!$A:$F,6,0)</f>
        <v>0</v>
      </c>
    </row>
    <row r="388" spans="1:24" ht="15" customHeight="1">
      <c r="A388" s="1236" t="s">
        <v>1246</v>
      </c>
      <c r="B388" s="1237">
        <v>6524</v>
      </c>
      <c r="C388" s="1239">
        <v>14832.55</v>
      </c>
      <c r="D388" s="1239">
        <v>3707.1</v>
      </c>
      <c r="E388" s="1239">
        <v>18539.650000000001</v>
      </c>
      <c r="F388" s="1236" t="s">
        <v>398</v>
      </c>
      <c r="G388" s="1236" t="s">
        <v>2726</v>
      </c>
      <c r="H388" s="1241"/>
      <c r="I388" s="1249"/>
      <c r="J388" s="1249"/>
      <c r="K388" s="1249"/>
      <c r="L388" s="150">
        <f t="shared" si="18"/>
        <v>6524</v>
      </c>
      <c r="M388" s="151" t="str">
        <f t="shared" si="19"/>
        <v>SALAIRES &amp; RENUM. - AUTRES</v>
      </c>
      <c r="N388" s="152">
        <f>+IF(OR($Q388=Parametres!$G$2,$Q388=Parametres!$G$3),I388,C388)</f>
        <v>14832.55</v>
      </c>
      <c r="O388" s="152">
        <f>+IF(OR($Q388=Parametres!$G$2,$Q388=Parametres!$G$3),J388,D388)</f>
        <v>3707.1</v>
      </c>
      <c r="P388" s="152">
        <f>+IF(OR($Q388=Parametres!$G$2,$Q388=Parametres!$G$3),K388,E388)</f>
        <v>18539.650000000001</v>
      </c>
      <c r="Q388" s="151" t="str">
        <f t="shared" si="28"/>
        <v>7-Dépenses</v>
      </c>
      <c r="R388" s="150" t="str">
        <f t="shared" si="28"/>
        <v>6124</v>
      </c>
      <c r="S388" s="151">
        <f t="shared" si="28"/>
        <v>0</v>
      </c>
      <c r="T388" s="153">
        <f>+VLOOKUP($L388,Data_Validation!$A:$D,1,0)</f>
        <v>6524</v>
      </c>
      <c r="U388" s="153" t="str">
        <f>+VLOOKUP($L388,Data_Validation!$A:$D,3,0)</f>
        <v>Carrosserie</v>
      </c>
      <c r="V388" s="153" t="str">
        <f>+VLOOKUP($L388,Data_Validation!$A:$D,4,0)</f>
        <v>Salaires autres</v>
      </c>
      <c r="W388" s="153" t="str">
        <f>+VLOOKUP($L388,Data_Validation!$A:$E,5,0)</f>
        <v>$</v>
      </c>
      <c r="X388" s="153">
        <f>+VLOOKUP($L388,Data_Validation!$A:$F,6,0)</f>
        <v>0</v>
      </c>
    </row>
    <row r="389" spans="1:24" ht="15" customHeight="1">
      <c r="A389" s="1236" t="s">
        <v>1327</v>
      </c>
      <c r="B389" s="1237">
        <v>6525</v>
      </c>
      <c r="C389" s="1239">
        <v>11280.9</v>
      </c>
      <c r="D389" s="1239">
        <v>2023.11</v>
      </c>
      <c r="E389" s="1239">
        <v>13304.01</v>
      </c>
      <c r="F389" s="1236" t="s">
        <v>398</v>
      </c>
      <c r="G389" s="1236" t="s">
        <v>2712</v>
      </c>
      <c r="H389" s="1241"/>
      <c r="I389" s="1249"/>
      <c r="J389" s="1249"/>
      <c r="K389" s="1249"/>
      <c r="L389" s="150">
        <f t="shared" si="18"/>
        <v>6525</v>
      </c>
      <c r="M389" s="151" t="str">
        <f t="shared" si="19"/>
        <v>SALAIRE SPECIALISTES</v>
      </c>
      <c r="N389" s="152">
        <f>+IF(OR($Q389=Parametres!$G$2,$Q389=Parametres!$G$3),I389,C389)</f>
        <v>11280.9</v>
      </c>
      <c r="O389" s="152">
        <f>+IF(OR($Q389=Parametres!$G$2,$Q389=Parametres!$G$3),J389,D389)</f>
        <v>2023.11</v>
      </c>
      <c r="P389" s="152">
        <f>+IF(OR($Q389=Parametres!$G$2,$Q389=Parametres!$G$3),K389,E389)</f>
        <v>13304.01</v>
      </c>
      <c r="Q389" s="151" t="str">
        <f t="shared" si="28"/>
        <v>7-Dépenses</v>
      </c>
      <c r="R389" s="150" t="str">
        <f t="shared" si="28"/>
        <v>6125</v>
      </c>
      <c r="S389" s="151">
        <f t="shared" si="28"/>
        <v>0</v>
      </c>
      <c r="T389" s="153">
        <f>+VLOOKUP($L389,Data_Validation!$A:$D,1,0)</f>
        <v>6525</v>
      </c>
      <c r="U389" s="153" t="str">
        <f>+VLOOKUP($L389,Data_Validation!$A:$D,3,0)</f>
        <v>Carrosserie</v>
      </c>
      <c r="V389" s="153" t="str">
        <f>+VLOOKUP($L389,Data_Validation!$A:$D,4,0)</f>
        <v>Salaires spécialistes</v>
      </c>
      <c r="W389" s="153" t="str">
        <f>+VLOOKUP($L389,Data_Validation!$A:$E,5,0)</f>
        <v>$</v>
      </c>
      <c r="X389" s="153">
        <f>+VLOOKUP($L389,Data_Validation!$A:$F,6,0)</f>
        <v>0</v>
      </c>
    </row>
    <row r="390" spans="1:24" ht="15" customHeight="1">
      <c r="A390" s="1236" t="s">
        <v>1208</v>
      </c>
      <c r="B390" s="1237">
        <v>6529</v>
      </c>
      <c r="C390" s="1239">
        <v>2105.6</v>
      </c>
      <c r="D390" s="1239">
        <v>379.21</v>
      </c>
      <c r="E390" s="1239">
        <v>2484.81</v>
      </c>
      <c r="F390" s="1236" t="s">
        <v>398</v>
      </c>
      <c r="G390" s="1236" t="s">
        <v>2632</v>
      </c>
      <c r="H390" s="1241"/>
      <c r="I390" s="1249"/>
      <c r="J390" s="1249"/>
      <c r="K390" s="1249"/>
      <c r="L390" s="150">
        <f t="shared" si="18"/>
        <v>6529</v>
      </c>
      <c r="M390" s="151" t="str">
        <f t="shared" si="19"/>
        <v>ABS.,VACANCES &amp; SAL. JOURS FER</v>
      </c>
      <c r="N390" s="152">
        <f>+IF(OR($Q390=Parametres!$G$2,$Q390=Parametres!$G$3),I390,C390)</f>
        <v>2105.6</v>
      </c>
      <c r="O390" s="152">
        <f>+IF(OR($Q390=Parametres!$G$2,$Q390=Parametres!$G$3),J390,D390)</f>
        <v>379.21</v>
      </c>
      <c r="P390" s="152">
        <f>+IF(OR($Q390=Parametres!$G$2,$Q390=Parametres!$G$3),K390,E390)</f>
        <v>2484.81</v>
      </c>
      <c r="Q390" s="151" t="str">
        <f t="shared" si="28"/>
        <v>7-Dépenses</v>
      </c>
      <c r="R390" s="150" t="str">
        <f t="shared" si="28"/>
        <v>6129</v>
      </c>
      <c r="S390" s="151">
        <f t="shared" si="28"/>
        <v>0</v>
      </c>
      <c r="T390" s="153">
        <f>+VLOOKUP($L390,Data_Validation!$A:$D,1,0)</f>
        <v>6529</v>
      </c>
      <c r="U390" s="153" t="str">
        <f>+VLOOKUP($L390,Data_Validation!$A:$D,3,0)</f>
        <v>Carrosserie</v>
      </c>
      <c r="V390" s="153" t="str">
        <f>+VLOOKUP($L390,Data_Validation!$A:$D,4,0)</f>
        <v>Salaires en absences</v>
      </c>
      <c r="W390" s="153" t="str">
        <f>+VLOOKUP($L390,Data_Validation!$A:$E,5,0)</f>
        <v>$</v>
      </c>
      <c r="X390" s="153">
        <f>+VLOOKUP($L390,Data_Validation!$A:$F,6,0)</f>
        <v>0</v>
      </c>
    </row>
    <row r="391" spans="1:24" ht="15.75" customHeight="1">
      <c r="A391" s="1236" t="s">
        <v>1249</v>
      </c>
      <c r="B391" s="1237">
        <v>6531</v>
      </c>
      <c r="C391" s="1239">
        <v>634.5</v>
      </c>
      <c r="D391" s="1239">
        <v>127.36</v>
      </c>
      <c r="E391" s="1239">
        <v>761.86</v>
      </c>
      <c r="F391" s="1236" t="s">
        <v>398</v>
      </c>
      <c r="G391" s="1236" t="s">
        <v>2577</v>
      </c>
      <c r="H391" s="1241"/>
      <c r="I391" s="1249"/>
      <c r="J391" s="1249"/>
      <c r="K391" s="1249"/>
      <c r="L391" s="150">
        <f t="shared" si="18"/>
        <v>6531</v>
      </c>
      <c r="M391" s="151" t="str">
        <f t="shared" si="19"/>
        <v>CSST</v>
      </c>
      <c r="N391" s="152">
        <f>+IF(OR($Q391=Parametres!$G$2,$Q391=Parametres!$G$3),I391,C391)</f>
        <v>634.5</v>
      </c>
      <c r="O391" s="152">
        <f>+IF(OR($Q391=Parametres!$G$2,$Q391=Parametres!$G$3),J391,D391)</f>
        <v>127.36</v>
      </c>
      <c r="P391" s="152">
        <f>+IF(OR($Q391=Parametres!$G$2,$Q391=Parametres!$G$3),K391,E391)</f>
        <v>761.86</v>
      </c>
      <c r="Q391" s="151" t="str">
        <f t="shared" si="28"/>
        <v>7-Dépenses</v>
      </c>
      <c r="R391" s="150" t="str">
        <f t="shared" si="28"/>
        <v>6131</v>
      </c>
      <c r="S391" s="151">
        <f t="shared" si="28"/>
        <v>0</v>
      </c>
      <c r="T391" s="153">
        <f>+VLOOKUP($L391,Data_Validation!$A:$D,1,0)</f>
        <v>6531</v>
      </c>
      <c r="U391" s="153" t="str">
        <f>+VLOOKUP($L391,Data_Validation!$A:$D,3,0)</f>
        <v>Carrosserie</v>
      </c>
      <c r="V391" s="153" t="str">
        <f>+VLOOKUP($L391,Data_Validation!$A:$D,4,0)</f>
        <v>Csst</v>
      </c>
      <c r="W391" s="153" t="str">
        <f>+VLOOKUP($L391,Data_Validation!$A:$E,5,0)</f>
        <v>$</v>
      </c>
      <c r="X391" s="153">
        <f>+VLOOKUP($L391,Data_Validation!$A:$F,6,0)</f>
        <v>0</v>
      </c>
    </row>
    <row r="392" spans="1:24" ht="15" customHeight="1">
      <c r="A392" s="1236" t="s">
        <v>1280</v>
      </c>
      <c r="B392" s="1237">
        <v>6532</v>
      </c>
      <c r="C392" s="1239">
        <v>3806.98</v>
      </c>
      <c r="D392" s="1239">
        <v>764.14</v>
      </c>
      <c r="E392" s="1239">
        <v>4571.12</v>
      </c>
      <c r="F392" s="1236" t="s">
        <v>398</v>
      </c>
      <c r="G392" s="1236" t="s">
        <v>2676</v>
      </c>
      <c r="H392" s="1241"/>
      <c r="I392" s="1249"/>
      <c r="J392" s="1249"/>
      <c r="K392" s="1249"/>
      <c r="L392" s="150">
        <f t="shared" si="18"/>
        <v>6532</v>
      </c>
      <c r="M392" s="151" t="str">
        <f t="shared" si="19"/>
        <v>RRQ RAMQ AC</v>
      </c>
      <c r="N392" s="152">
        <f>+IF(OR($Q392=Parametres!$G$2,$Q392=Parametres!$G$3),I392,C392)</f>
        <v>3806.98</v>
      </c>
      <c r="O392" s="152">
        <f>+IF(OR($Q392=Parametres!$G$2,$Q392=Parametres!$G$3),J392,D392)</f>
        <v>764.14</v>
      </c>
      <c r="P392" s="152">
        <f>+IF(OR($Q392=Parametres!$G$2,$Q392=Parametres!$G$3),K392,E392)</f>
        <v>4571.12</v>
      </c>
      <c r="Q392" s="151" t="str">
        <f t="shared" si="28"/>
        <v>7-Dépenses</v>
      </c>
      <c r="R392" s="150" t="str">
        <f t="shared" si="28"/>
        <v>6132</v>
      </c>
      <c r="S392" s="151">
        <f t="shared" si="28"/>
        <v>0</v>
      </c>
      <c r="T392" s="153">
        <f>+VLOOKUP($L392,Data_Validation!$A:$D,1,0)</f>
        <v>6532</v>
      </c>
      <c r="U392" s="153" t="str">
        <f>+VLOOKUP($L392,Data_Validation!$A:$D,3,0)</f>
        <v>Carrosserie</v>
      </c>
      <c r="V392" s="153" t="str">
        <f>+VLOOKUP($L392,Data_Validation!$A:$D,4,0)</f>
        <v>Déduction à la source</v>
      </c>
      <c r="W392" s="153" t="str">
        <f>+VLOOKUP($L392,Data_Validation!$A:$E,5,0)</f>
        <v>$</v>
      </c>
      <c r="X392" s="153">
        <f>+VLOOKUP($L392,Data_Validation!$A:$F,6,0)</f>
        <v>0</v>
      </c>
    </row>
    <row r="393" spans="1:24" ht="15" customHeight="1">
      <c r="A393" s="1236" t="s">
        <v>1302</v>
      </c>
      <c r="B393" s="1237">
        <v>6539</v>
      </c>
      <c r="C393" s="1239">
        <v>2728.33</v>
      </c>
      <c r="D393" s="1239">
        <v>547.63</v>
      </c>
      <c r="E393" s="1239">
        <v>3275.96</v>
      </c>
      <c r="F393" s="1236" t="s">
        <v>398</v>
      </c>
      <c r="G393" s="1236" t="s">
        <v>2685</v>
      </c>
      <c r="H393" s="1241"/>
      <c r="I393" s="1249"/>
      <c r="J393" s="1249"/>
      <c r="K393" s="1249"/>
      <c r="L393" s="150">
        <f t="shared" si="18"/>
        <v>6539</v>
      </c>
      <c r="M393" s="151" t="str">
        <f t="shared" si="19"/>
        <v>ASSURANCE GROUPE</v>
      </c>
      <c r="N393" s="152">
        <f>+IF(OR($Q393=Parametres!$G$2,$Q393=Parametres!$G$3),I393,C393)</f>
        <v>2728.33</v>
      </c>
      <c r="O393" s="152">
        <f>+IF(OR($Q393=Parametres!$G$2,$Q393=Parametres!$G$3),J393,D393)</f>
        <v>547.63</v>
      </c>
      <c r="P393" s="152">
        <f>+IF(OR($Q393=Parametres!$G$2,$Q393=Parametres!$G$3),K393,E393)</f>
        <v>3275.96</v>
      </c>
      <c r="Q393" s="151" t="str">
        <f t="shared" si="28"/>
        <v>7-Dépenses</v>
      </c>
      <c r="R393" s="150" t="str">
        <f t="shared" si="28"/>
        <v>6139</v>
      </c>
      <c r="S393" s="151">
        <f t="shared" si="28"/>
        <v>0</v>
      </c>
      <c r="T393" s="153">
        <f>+VLOOKUP($L393,Data_Validation!$A:$D,1,0)</f>
        <v>6539</v>
      </c>
      <c r="U393" s="153" t="str">
        <f>+VLOOKUP($L393,Data_Validation!$A:$D,3,0)</f>
        <v>Carrosserie</v>
      </c>
      <c r="V393" s="153" t="str">
        <f>+VLOOKUP($L393,Data_Validation!$A:$D,4,0)</f>
        <v>Bénéfices marginaux</v>
      </c>
      <c r="W393" s="153" t="str">
        <f>+VLOOKUP($L393,Data_Validation!$A:$E,5,0)</f>
        <v>$</v>
      </c>
      <c r="X393" s="153">
        <f>+VLOOKUP($L393,Data_Validation!$A:$F,6,0)</f>
        <v>0</v>
      </c>
    </row>
    <row r="394" spans="1:24" ht="15" customHeight="1">
      <c r="A394" s="1236" t="s">
        <v>1154</v>
      </c>
      <c r="B394" s="1237">
        <v>6542</v>
      </c>
      <c r="C394" s="1239">
        <v>104.35</v>
      </c>
      <c r="D394" s="1239">
        <v>16.39</v>
      </c>
      <c r="E394" s="1239">
        <v>120.74</v>
      </c>
      <c r="F394" s="1236" t="s">
        <v>398</v>
      </c>
      <c r="G394" s="1236" t="s">
        <v>2554</v>
      </c>
      <c r="H394" s="1241"/>
      <c r="I394" s="1249"/>
      <c r="J394" s="1249"/>
      <c r="K394" s="1249"/>
      <c r="L394" s="150">
        <f t="shared" si="18"/>
        <v>6542</v>
      </c>
      <c r="M394" s="151" t="str">
        <f t="shared" si="19"/>
        <v>FOURNITURES &amp; PETITS OUTILS</v>
      </c>
      <c r="N394" s="152">
        <f>+IF(OR($Q394=Parametres!$G$2,$Q394=Parametres!$G$3),I394,C394)</f>
        <v>104.35</v>
      </c>
      <c r="O394" s="152">
        <f>+IF(OR($Q394=Parametres!$G$2,$Q394=Parametres!$G$3),J394,D394)</f>
        <v>16.39</v>
      </c>
      <c r="P394" s="152">
        <f>+IF(OR($Q394=Parametres!$G$2,$Q394=Parametres!$G$3),K394,E394)</f>
        <v>120.74</v>
      </c>
      <c r="Q394" s="151" t="str">
        <f t="shared" si="28"/>
        <v>7-Dépenses</v>
      </c>
      <c r="R394" s="150" t="str">
        <f t="shared" si="28"/>
        <v>6142</v>
      </c>
      <c r="S394" s="151">
        <f t="shared" si="28"/>
        <v>0</v>
      </c>
      <c r="T394" s="153">
        <f>+VLOOKUP($L394,Data_Validation!$A:$D,1,0)</f>
        <v>6542</v>
      </c>
      <c r="U394" s="153" t="str">
        <f>+VLOOKUP($L394,Data_Validation!$A:$D,3,0)</f>
        <v>Carrosserie</v>
      </c>
      <c r="V394" s="153" t="str">
        <f>+VLOOKUP($L394,Data_Validation!$A:$D,4,0)</f>
        <v>Fournitures autres</v>
      </c>
      <c r="W394" s="153" t="str">
        <f>+VLOOKUP($L394,Data_Validation!$A:$E,5,0)</f>
        <v>$</v>
      </c>
      <c r="X394" s="153">
        <f>+VLOOKUP($L394,Data_Validation!$A:$F,6,0)</f>
        <v>0</v>
      </c>
    </row>
    <row r="395" spans="1:24" ht="15.75" customHeight="1">
      <c r="A395" s="1236" t="s">
        <v>931</v>
      </c>
      <c r="B395" s="1237">
        <v>6544</v>
      </c>
      <c r="C395" s="1239">
        <v>24.8</v>
      </c>
      <c r="D395" s="1239">
        <v>76.2</v>
      </c>
      <c r="E395" s="1239">
        <v>101</v>
      </c>
      <c r="F395" s="1236" t="s">
        <v>398</v>
      </c>
      <c r="G395" s="1236" t="s">
        <v>2552</v>
      </c>
      <c r="H395" s="1241"/>
      <c r="I395" s="1249"/>
      <c r="J395" s="1249"/>
      <c r="K395" s="1249"/>
      <c r="L395" s="150">
        <f t="shared" si="18"/>
        <v>6544</v>
      </c>
      <c r="M395" s="151" t="str">
        <f t="shared" si="19"/>
        <v>FORMATION</v>
      </c>
      <c r="N395" s="152">
        <f>+IF(OR($Q395=Parametres!$G$2,$Q395=Parametres!$G$3),I395,C395)</f>
        <v>24.8</v>
      </c>
      <c r="O395" s="152">
        <f>+IF(OR($Q395=Parametres!$G$2,$Q395=Parametres!$G$3),J395,D395)</f>
        <v>76.2</v>
      </c>
      <c r="P395" s="152">
        <f>+IF(OR($Q395=Parametres!$G$2,$Q395=Parametres!$G$3),K395,E395)</f>
        <v>101</v>
      </c>
      <c r="Q395" s="151" t="str">
        <f t="shared" si="28"/>
        <v>7-Dépenses</v>
      </c>
      <c r="R395" s="150" t="str">
        <f t="shared" si="28"/>
        <v>6144</v>
      </c>
      <c r="S395" s="151">
        <f t="shared" si="28"/>
        <v>0</v>
      </c>
      <c r="T395" s="153">
        <f>+VLOOKUP($L395,Data_Validation!$A:$D,1,0)</f>
        <v>6544</v>
      </c>
      <c r="U395" s="153" t="str">
        <f>+VLOOKUP($L395,Data_Validation!$A:$D,3,0)</f>
        <v>Carrosserie</v>
      </c>
      <c r="V395" s="153" t="str">
        <f>+VLOOKUP($L395,Data_Validation!$A:$D,4,0)</f>
        <v>Formation</v>
      </c>
      <c r="W395" s="153" t="str">
        <f>+VLOOKUP($L395,Data_Validation!$A:$E,5,0)</f>
        <v>$</v>
      </c>
      <c r="X395" s="153">
        <f>+VLOOKUP($L395,Data_Validation!$A:$F,6,0)</f>
        <v>0</v>
      </c>
    </row>
    <row r="396" spans="1:24" ht="15" customHeight="1">
      <c r="A396" s="1236" t="s">
        <v>1183</v>
      </c>
      <c r="B396" s="1237">
        <v>6545</v>
      </c>
      <c r="C396" s="1239">
        <v>3084.91</v>
      </c>
      <c r="D396" s="1239">
        <v>483.44</v>
      </c>
      <c r="E396" s="1239">
        <v>3568.35</v>
      </c>
      <c r="F396" s="1236" t="s">
        <v>398</v>
      </c>
      <c r="G396" s="1236" t="s">
        <v>2623</v>
      </c>
      <c r="H396" s="1241"/>
      <c r="I396" s="1249"/>
      <c r="J396" s="1249"/>
      <c r="K396" s="1249"/>
      <c r="L396" s="150">
        <f t="shared" si="18"/>
        <v>6545</v>
      </c>
      <c r="M396" s="151" t="str">
        <f t="shared" si="19"/>
        <v>VEHICULE DE COMPAGNIE - DEPENS</v>
      </c>
      <c r="N396" s="152">
        <f>+IF(OR($Q396=Parametres!$G$2,$Q396=Parametres!$G$3),I396,C396)</f>
        <v>3084.91</v>
      </c>
      <c r="O396" s="152">
        <f>+IF(OR($Q396=Parametres!$G$2,$Q396=Parametres!$G$3),J396,D396)</f>
        <v>483.44</v>
      </c>
      <c r="P396" s="152">
        <f>+IF(OR($Q396=Parametres!$G$2,$Q396=Parametres!$G$3),K396,E396)</f>
        <v>3568.35</v>
      </c>
      <c r="Q396" s="151" t="str">
        <f t="shared" si="28"/>
        <v>7-Dépenses</v>
      </c>
      <c r="R396" s="150" t="str">
        <f t="shared" si="28"/>
        <v>6145</v>
      </c>
      <c r="S396" s="151">
        <f t="shared" si="28"/>
        <v>0</v>
      </c>
      <c r="T396" s="153">
        <f>+VLOOKUP($L396,Data_Validation!$A:$D,1,0)</f>
        <v>6545</v>
      </c>
      <c r="U396" s="153" t="str">
        <f>+VLOOKUP($L396,Data_Validation!$A:$D,3,0)</f>
        <v>Carrosserie</v>
      </c>
      <c r="V396" s="153" t="str">
        <f>+VLOOKUP($L396,Data_Validation!$A:$D,4,0)</f>
        <v>Frais véhicules de cie</v>
      </c>
      <c r="W396" s="153" t="str">
        <f>+VLOOKUP($L396,Data_Validation!$A:$E,5,0)</f>
        <v>$</v>
      </c>
      <c r="X396" s="153">
        <f>+VLOOKUP($L396,Data_Validation!$A:$F,6,0)</f>
        <v>0</v>
      </c>
    </row>
    <row r="397" spans="1:24" ht="15" customHeight="1">
      <c r="A397" s="1236" t="s">
        <v>1177</v>
      </c>
      <c r="B397" s="1237">
        <v>6547</v>
      </c>
      <c r="C397" s="1239">
        <v>90.71</v>
      </c>
      <c r="D397" s="1239">
        <v>33.44</v>
      </c>
      <c r="E397" s="1239">
        <v>124.15</v>
      </c>
      <c r="F397" s="1236" t="s">
        <v>398</v>
      </c>
      <c r="G397" s="1236" t="s">
        <v>2572</v>
      </c>
      <c r="H397" s="1241"/>
      <c r="I397" s="1249"/>
      <c r="J397" s="1249"/>
      <c r="K397" s="1249"/>
      <c r="L397" s="150">
        <f t="shared" si="18"/>
        <v>6547</v>
      </c>
      <c r="M397" s="151" t="str">
        <f t="shared" si="19"/>
        <v>FRET/EXPRESS/TRANS. PAR CAMION</v>
      </c>
      <c r="N397" s="152">
        <f>+IF(OR($Q397=Parametres!$G$2,$Q397=Parametres!$G$3),I397,C397)</f>
        <v>90.71</v>
      </c>
      <c r="O397" s="152">
        <f>+IF(OR($Q397=Parametres!$G$2,$Q397=Parametres!$G$3),J397,D397)</f>
        <v>33.44</v>
      </c>
      <c r="P397" s="152">
        <f>+IF(OR($Q397=Parametres!$G$2,$Q397=Parametres!$G$3),K397,E397)</f>
        <v>124.15</v>
      </c>
      <c r="Q397" s="151" t="str">
        <f t="shared" si="28"/>
        <v>7-Dépenses</v>
      </c>
      <c r="R397" s="150" t="str">
        <f t="shared" si="28"/>
        <v>6147</v>
      </c>
      <c r="S397" s="151">
        <f t="shared" si="28"/>
        <v>0</v>
      </c>
      <c r="T397" s="153">
        <f>+VLOOKUP($L397,Data_Validation!$A:$D,1,0)</f>
        <v>6547</v>
      </c>
      <c r="U397" s="153" t="str">
        <f>+VLOOKUP($L397,Data_Validation!$A:$D,3,0)</f>
        <v>Carrosserie</v>
      </c>
      <c r="V397" s="153" t="str">
        <f>+VLOOKUP($L397,Data_Validation!$A:$D,4,0)</f>
        <v>Frais postaux</v>
      </c>
      <c r="W397" s="153" t="str">
        <f>+VLOOKUP($L397,Data_Validation!$A:$E,5,0)</f>
        <v>$</v>
      </c>
      <c r="X397" s="153">
        <f>+VLOOKUP($L397,Data_Validation!$A:$F,6,0)</f>
        <v>0</v>
      </c>
    </row>
    <row r="398" spans="1:24" ht="15" customHeight="1">
      <c r="A398" s="1236" t="s">
        <v>1283</v>
      </c>
      <c r="B398" s="1237">
        <v>6551</v>
      </c>
      <c r="C398" s="1239">
        <v>5360.47</v>
      </c>
      <c r="D398" s="1239">
        <v>1319.76</v>
      </c>
      <c r="E398" s="1239">
        <v>6680.23</v>
      </c>
      <c r="F398" s="1236" t="s">
        <v>398</v>
      </c>
      <c r="G398" s="1236" t="s">
        <v>2693</v>
      </c>
      <c r="H398" s="1241"/>
      <c r="I398" s="1249"/>
      <c r="J398" s="1249"/>
      <c r="K398" s="1249"/>
      <c r="L398" s="150">
        <f t="shared" si="18"/>
        <v>6551</v>
      </c>
      <c r="M398" s="151" t="str">
        <f t="shared" si="19"/>
        <v>DEP. DU TRAITEMENT DES DONNEES</v>
      </c>
      <c r="N398" s="152">
        <f>+IF(OR($Q398=Parametres!$G$2,$Q398=Parametres!$G$3),I398,C398)</f>
        <v>5360.47</v>
      </c>
      <c r="O398" s="152">
        <f>+IF(OR($Q398=Parametres!$G$2,$Q398=Parametres!$G$3),J398,D398)</f>
        <v>1319.76</v>
      </c>
      <c r="P398" s="152">
        <f>+IF(OR($Q398=Parametres!$G$2,$Q398=Parametres!$G$3),K398,E398)</f>
        <v>6680.23</v>
      </c>
      <c r="Q398" s="151" t="str">
        <f t="shared" si="28"/>
        <v>7-Dépenses</v>
      </c>
      <c r="R398" s="150" t="str">
        <f t="shared" si="28"/>
        <v>6151</v>
      </c>
      <c r="S398" s="151">
        <f t="shared" si="28"/>
        <v>0</v>
      </c>
      <c r="T398" s="153">
        <f>+VLOOKUP($L398,Data_Validation!$A:$D,1,0)</f>
        <v>6551</v>
      </c>
      <c r="U398" s="153" t="str">
        <f>+VLOOKUP($L398,Data_Validation!$A:$D,3,0)</f>
        <v>Carrosserie</v>
      </c>
      <c r="V398" s="153" t="str">
        <f>+VLOOKUP($L398,Data_Validation!$A:$D,4,0)</f>
        <v>Informatique</v>
      </c>
      <c r="W398" s="153" t="str">
        <f>+VLOOKUP($L398,Data_Validation!$A:$E,5,0)</f>
        <v>$</v>
      </c>
      <c r="X398" s="153">
        <f>+VLOOKUP($L398,Data_Validation!$A:$F,6,0)</f>
        <v>0</v>
      </c>
    </row>
    <row r="399" spans="1:24" ht="15.75" customHeight="1">
      <c r="A399" s="1236" t="s">
        <v>1203</v>
      </c>
      <c r="B399" s="1237">
        <v>6552</v>
      </c>
      <c r="C399" s="1239">
        <v>357.56</v>
      </c>
      <c r="D399" s="1239">
        <v>139.76</v>
      </c>
      <c r="E399" s="1239">
        <v>497.32</v>
      </c>
      <c r="F399" s="1236" t="s">
        <v>398</v>
      </c>
      <c r="G399" s="1236" t="s">
        <v>2579</v>
      </c>
      <c r="H399" s="1241"/>
      <c r="I399" s="1249"/>
      <c r="J399" s="1249"/>
      <c r="K399" s="1249"/>
      <c r="L399" s="150">
        <f t="shared" si="18"/>
        <v>6552</v>
      </c>
      <c r="M399" s="151" t="str">
        <f t="shared" si="19"/>
        <v>PAPETERIE</v>
      </c>
      <c r="N399" s="152">
        <f>+IF(OR($Q399=Parametres!$G$2,$Q399=Parametres!$G$3),I399,C399)</f>
        <v>357.56</v>
      </c>
      <c r="O399" s="152">
        <f>+IF(OR($Q399=Parametres!$G$2,$Q399=Parametres!$G$3),J399,D399)</f>
        <v>139.76</v>
      </c>
      <c r="P399" s="152">
        <f>+IF(OR($Q399=Parametres!$G$2,$Q399=Parametres!$G$3),K399,E399)</f>
        <v>497.32</v>
      </c>
      <c r="Q399" s="151" t="str">
        <f t="shared" si="28"/>
        <v>7-Dépenses</v>
      </c>
      <c r="R399" s="150" t="str">
        <f t="shared" si="28"/>
        <v>6152</v>
      </c>
      <c r="S399" s="151">
        <f t="shared" si="28"/>
        <v>0</v>
      </c>
      <c r="T399" s="153">
        <f>+VLOOKUP($L399,Data_Validation!$A:$D,1,0)</f>
        <v>6552</v>
      </c>
      <c r="U399" s="153" t="str">
        <f>+VLOOKUP($L399,Data_Validation!$A:$D,3,0)</f>
        <v>Carrosserie</v>
      </c>
      <c r="V399" s="153" t="str">
        <f>+VLOOKUP($L399,Data_Validation!$A:$D,4,0)</f>
        <v>Papeterie</v>
      </c>
      <c r="W399" s="153" t="str">
        <f>+VLOOKUP($L399,Data_Validation!$A:$E,5,0)</f>
        <v>$</v>
      </c>
      <c r="X399" s="153">
        <f>+VLOOKUP($L399,Data_Validation!$A:$F,6,0)</f>
        <v>0</v>
      </c>
    </row>
    <row r="400" spans="1:24" ht="15" customHeight="1">
      <c r="A400" s="1236" t="s">
        <v>1151</v>
      </c>
      <c r="B400" s="1237">
        <v>6553</v>
      </c>
      <c r="C400" s="1239">
        <v>395.55</v>
      </c>
      <c r="D400" s="1239">
        <v>62.78</v>
      </c>
      <c r="E400" s="1239">
        <v>458.33</v>
      </c>
      <c r="F400" s="1236" t="s">
        <v>398</v>
      </c>
      <c r="G400" s="1236" t="s">
        <v>2583</v>
      </c>
      <c r="H400" s="1241"/>
      <c r="I400" s="1249"/>
      <c r="J400" s="1249"/>
      <c r="K400" s="1249"/>
      <c r="L400" s="150">
        <f t="shared" si="18"/>
        <v>6553</v>
      </c>
      <c r="M400" s="151" t="str">
        <f t="shared" si="19"/>
        <v>TELEPHONE ET TELEX</v>
      </c>
      <c r="N400" s="152">
        <f>+IF(OR($Q400=Parametres!$G$2,$Q400=Parametres!$G$3),I400,C400)</f>
        <v>395.55</v>
      </c>
      <c r="O400" s="152">
        <f>+IF(OR($Q400=Parametres!$G$2,$Q400=Parametres!$G$3),J400,D400)</f>
        <v>62.78</v>
      </c>
      <c r="P400" s="152">
        <f>+IF(OR($Q400=Parametres!$G$2,$Q400=Parametres!$G$3),K400,E400)</f>
        <v>458.33</v>
      </c>
      <c r="Q400" s="151" t="str">
        <f t="shared" si="28"/>
        <v>7-Dépenses</v>
      </c>
      <c r="R400" s="150" t="str">
        <f t="shared" si="28"/>
        <v>6153</v>
      </c>
      <c r="S400" s="151">
        <f t="shared" si="28"/>
        <v>0</v>
      </c>
      <c r="T400" s="153">
        <f>+VLOOKUP($L400,Data_Validation!$A:$D,1,0)</f>
        <v>6553</v>
      </c>
      <c r="U400" s="153" t="str">
        <f>+VLOOKUP($L400,Data_Validation!$A:$D,3,0)</f>
        <v>Carrosserie</v>
      </c>
      <c r="V400" s="153" t="str">
        <f>+VLOOKUP($L400,Data_Validation!$A:$D,4,0)</f>
        <v>Téléphone</v>
      </c>
      <c r="W400" s="153" t="str">
        <f>+VLOOKUP($L400,Data_Validation!$A:$E,5,0)</f>
        <v>$</v>
      </c>
      <c r="X400" s="153">
        <f>+VLOOKUP($L400,Data_Validation!$A:$F,6,0)</f>
        <v>0</v>
      </c>
    </row>
    <row r="401" spans="1:24" ht="15" customHeight="1">
      <c r="A401" s="1236" t="s">
        <v>1234</v>
      </c>
      <c r="B401" s="1237">
        <v>6555</v>
      </c>
      <c r="C401" s="1239">
        <v>614.16999999999996</v>
      </c>
      <c r="D401" s="1239">
        <v>262.16000000000003</v>
      </c>
      <c r="E401" s="1239">
        <v>876.33</v>
      </c>
      <c r="F401" s="1236" t="s">
        <v>398</v>
      </c>
      <c r="G401" s="1236" t="s">
        <v>2628</v>
      </c>
      <c r="H401" s="1241"/>
      <c r="I401" s="1249"/>
      <c r="J401" s="1249"/>
      <c r="K401" s="1249"/>
      <c r="L401" s="150">
        <f t="shared" si="18"/>
        <v>6555</v>
      </c>
      <c r="M401" s="151" t="str">
        <f t="shared" si="19"/>
        <v>DEPENSES DIVERS</v>
      </c>
      <c r="N401" s="152">
        <f>+IF(OR($Q401=Parametres!$G$2,$Q401=Parametres!$G$3),I401,C401)</f>
        <v>614.16999999999996</v>
      </c>
      <c r="O401" s="152">
        <f>+IF(OR($Q401=Parametres!$G$2,$Q401=Parametres!$G$3),J401,D401)</f>
        <v>262.16000000000003</v>
      </c>
      <c r="P401" s="152">
        <f>+IF(OR($Q401=Parametres!$G$2,$Q401=Parametres!$G$3),K401,E401)</f>
        <v>876.33</v>
      </c>
      <c r="Q401" s="151" t="str">
        <f t="shared" si="28"/>
        <v>7-Dépenses</v>
      </c>
      <c r="R401" s="150" t="str">
        <f t="shared" si="28"/>
        <v>6155</v>
      </c>
      <c r="S401" s="151">
        <f t="shared" si="28"/>
        <v>0</v>
      </c>
      <c r="T401" s="153">
        <f>+VLOOKUP($L401,Data_Validation!$A:$D,1,0)</f>
        <v>6555</v>
      </c>
      <c r="U401" s="153" t="str">
        <f>+VLOOKUP($L401,Data_Validation!$A:$D,3,0)</f>
        <v>Carrosserie</v>
      </c>
      <c r="V401" s="153" t="str">
        <f>+VLOOKUP($L401,Data_Validation!$A:$D,4,0)</f>
        <v>Divers</v>
      </c>
      <c r="W401" s="153" t="str">
        <f>+VLOOKUP($L401,Data_Validation!$A:$E,5,0)</f>
        <v>$</v>
      </c>
      <c r="X401" s="153">
        <f>+VLOOKUP($L401,Data_Validation!$A:$F,6,0)</f>
        <v>0</v>
      </c>
    </row>
    <row r="402" spans="1:24" ht="15" customHeight="1">
      <c r="A402" s="1236" t="s">
        <v>1214</v>
      </c>
      <c r="B402" s="1237">
        <v>6556</v>
      </c>
      <c r="C402" s="1239">
        <v>203.88</v>
      </c>
      <c r="D402" s="1239">
        <v>133.97</v>
      </c>
      <c r="E402" s="1239">
        <v>337.85</v>
      </c>
      <c r="F402" s="1236" t="s">
        <v>398</v>
      </c>
      <c r="G402" s="1236" t="s">
        <v>2461</v>
      </c>
      <c r="H402" s="1241"/>
      <c r="I402" s="1249"/>
      <c r="J402" s="1249"/>
      <c r="K402" s="1249"/>
      <c r="L402" s="150">
        <f t="shared" si="18"/>
        <v>6556</v>
      </c>
      <c r="M402" s="151" t="str">
        <f t="shared" si="19"/>
        <v>FRAIS REPRESENTATION</v>
      </c>
      <c r="N402" s="152">
        <f>+IF(OR($Q402=Parametres!$G$2,$Q402=Parametres!$G$3),I402,C402)</f>
        <v>203.88</v>
      </c>
      <c r="O402" s="152">
        <f>+IF(OR($Q402=Parametres!$G$2,$Q402=Parametres!$G$3),J402,D402)</f>
        <v>133.97</v>
      </c>
      <c r="P402" s="152">
        <f>+IF(OR($Q402=Parametres!$G$2,$Q402=Parametres!$G$3),K402,E402)</f>
        <v>337.85</v>
      </c>
      <c r="Q402" s="151" t="str">
        <f t="shared" ref="Q402:S417" si="29">+F402</f>
        <v>7-Dépenses</v>
      </c>
      <c r="R402" s="150" t="str">
        <f t="shared" si="29"/>
        <v>6156</v>
      </c>
      <c r="S402" s="151">
        <f t="shared" si="29"/>
        <v>0</v>
      </c>
      <c r="T402" s="153">
        <f>+VLOOKUP($L402,Data_Validation!$A:$D,1,0)</f>
        <v>6556</v>
      </c>
      <c r="U402" s="153" t="str">
        <f>+VLOOKUP($L402,Data_Validation!$A:$D,3,0)</f>
        <v>Carrosserie</v>
      </c>
      <c r="V402" s="153" t="str">
        <f>+VLOOKUP($L402,Data_Validation!$A:$D,4,0)</f>
        <v>Frais de déplacement</v>
      </c>
      <c r="W402" s="153" t="str">
        <f>+VLOOKUP($L402,Data_Validation!$A:$E,5,0)</f>
        <v>$</v>
      </c>
      <c r="X402" s="153">
        <f>+VLOOKUP($L402,Data_Validation!$A:$F,6,0)</f>
        <v>0</v>
      </c>
    </row>
    <row r="403" spans="1:24" ht="15.75" customHeight="1">
      <c r="A403" s="1236" t="s">
        <v>1305</v>
      </c>
      <c r="B403" s="1237">
        <v>6559</v>
      </c>
      <c r="C403" s="1239">
        <v>1957.55</v>
      </c>
      <c r="D403" s="1239">
        <v>631.61</v>
      </c>
      <c r="E403" s="1239">
        <v>2589.16</v>
      </c>
      <c r="F403" s="1236" t="s">
        <v>398</v>
      </c>
      <c r="G403" s="1236" t="s">
        <v>2653</v>
      </c>
      <c r="H403" s="1241"/>
      <c r="I403" s="1249"/>
      <c r="J403" s="1249"/>
      <c r="K403" s="1249"/>
      <c r="L403" s="150">
        <f t="shared" si="18"/>
        <v>6559</v>
      </c>
      <c r="M403" s="151" t="str">
        <f t="shared" si="19"/>
        <v>SERVICE EXTERIEUR</v>
      </c>
      <c r="N403" s="152">
        <f>+IF(OR($Q403=Parametres!$G$2,$Q403=Parametres!$G$3),I403,C403)</f>
        <v>1957.55</v>
      </c>
      <c r="O403" s="152">
        <f>+IF(OR($Q403=Parametres!$G$2,$Q403=Parametres!$G$3),J403,D403)</f>
        <v>631.61</v>
      </c>
      <c r="P403" s="152">
        <f>+IF(OR($Q403=Parametres!$G$2,$Q403=Parametres!$G$3),K403,E403)</f>
        <v>2589.16</v>
      </c>
      <c r="Q403" s="151" t="str">
        <f t="shared" si="29"/>
        <v>7-Dépenses</v>
      </c>
      <c r="R403" s="150" t="str">
        <f t="shared" si="29"/>
        <v>6159</v>
      </c>
      <c r="S403" s="151">
        <f t="shared" si="29"/>
        <v>0</v>
      </c>
      <c r="T403" s="153">
        <f>+VLOOKUP($L403,Data_Validation!$A:$D,1,0)</f>
        <v>6559</v>
      </c>
      <c r="U403" s="153" t="str">
        <f>+VLOOKUP($L403,Data_Validation!$A:$D,3,0)</f>
        <v>Carrosserie</v>
      </c>
      <c r="V403" s="153" t="str">
        <f>+VLOOKUP($L403,Data_Validation!$A:$D,4,0)</f>
        <v>Services extérieurs</v>
      </c>
      <c r="W403" s="153" t="str">
        <f>+VLOOKUP($L403,Data_Validation!$A:$E,5,0)</f>
        <v>$</v>
      </c>
      <c r="X403" s="153">
        <f>+VLOOKUP($L403,Data_Validation!$A:$F,6,0)</f>
        <v>0</v>
      </c>
    </row>
    <row r="404" spans="1:24" ht="15" customHeight="1">
      <c r="A404" s="1236" t="s">
        <v>1330</v>
      </c>
      <c r="B404" s="1237">
        <v>6561</v>
      </c>
      <c r="C404" s="1239">
        <v>2566.7600000000002</v>
      </c>
      <c r="D404" s="1239">
        <v>-1001.07</v>
      </c>
      <c r="E404" s="1239">
        <v>1565.69</v>
      </c>
      <c r="F404" s="1236" t="s">
        <v>398</v>
      </c>
      <c r="G404" s="1236" t="s">
        <v>2644</v>
      </c>
      <c r="H404" s="1241"/>
      <c r="I404" s="1249"/>
      <c r="J404" s="1249"/>
      <c r="K404" s="1249"/>
      <c r="L404" s="150">
        <f t="shared" si="18"/>
        <v>6561</v>
      </c>
      <c r="M404" s="151" t="str">
        <f t="shared" si="19"/>
        <v>DEPRECIATION EQUIP. &amp; FIXTURES</v>
      </c>
      <c r="N404" s="152">
        <f>+IF(OR($Q404=Parametres!$G$2,$Q404=Parametres!$G$3),I404,C404)</f>
        <v>2566.7600000000002</v>
      </c>
      <c r="O404" s="152">
        <f>+IF(OR($Q404=Parametres!$G$2,$Q404=Parametres!$G$3),J404,D404)</f>
        <v>-1001.07</v>
      </c>
      <c r="P404" s="152">
        <f>+IF(OR($Q404=Parametres!$G$2,$Q404=Parametres!$G$3),K404,E404)</f>
        <v>1565.69</v>
      </c>
      <c r="Q404" s="151" t="str">
        <f t="shared" si="29"/>
        <v>7-Dépenses</v>
      </c>
      <c r="R404" s="150" t="str">
        <f t="shared" si="29"/>
        <v>6161</v>
      </c>
      <c r="S404" s="151">
        <f t="shared" si="29"/>
        <v>0</v>
      </c>
      <c r="T404" s="153">
        <f>+VLOOKUP($L404,Data_Validation!$A:$D,1,0)</f>
        <v>6561</v>
      </c>
      <c r="U404" s="153" t="str">
        <f>+VLOOKUP($L404,Data_Validation!$A:$D,3,0)</f>
        <v>Carrosserie</v>
      </c>
      <c r="V404" s="153" t="str">
        <f>+VLOOKUP($L404,Data_Validation!$A:$D,4,0)</f>
        <v>Amortissement</v>
      </c>
      <c r="W404" s="153" t="str">
        <f>+VLOOKUP($L404,Data_Validation!$A:$E,5,0)</f>
        <v>$</v>
      </c>
      <c r="X404" s="153">
        <f>+VLOOKUP($L404,Data_Validation!$A:$F,6,0)</f>
        <v>0</v>
      </c>
    </row>
    <row r="405" spans="1:24" ht="15" customHeight="1">
      <c r="A405" s="1236" t="s">
        <v>1241</v>
      </c>
      <c r="B405" s="1237">
        <v>6581</v>
      </c>
      <c r="C405" s="1239">
        <v>702.58</v>
      </c>
      <c r="D405" s="1239">
        <v>238.78</v>
      </c>
      <c r="E405" s="1239">
        <v>941.36</v>
      </c>
      <c r="F405" s="1236" t="s">
        <v>398</v>
      </c>
      <c r="G405" s="1236" t="s">
        <v>2595</v>
      </c>
      <c r="H405" s="1241"/>
      <c r="I405" s="1249"/>
      <c r="J405" s="1249"/>
      <c r="K405" s="1249"/>
      <c r="L405" s="150">
        <f t="shared" si="18"/>
        <v>6581</v>
      </c>
      <c r="M405" s="151" t="str">
        <f t="shared" si="19"/>
        <v>CHAUFFAGE,ELECTRICITE,EAU-CARROS.</v>
      </c>
      <c r="N405" s="152">
        <f>+IF(OR($Q405=Parametres!$G$2,$Q405=Parametres!$G$3),I405,C405)</f>
        <v>702.58</v>
      </c>
      <c r="O405" s="152">
        <f>+IF(OR($Q405=Parametres!$G$2,$Q405=Parametres!$G$3),J405,D405)</f>
        <v>238.78</v>
      </c>
      <c r="P405" s="152">
        <f>+IF(OR($Q405=Parametres!$G$2,$Q405=Parametres!$G$3),K405,E405)</f>
        <v>941.36</v>
      </c>
      <c r="Q405" s="151" t="str">
        <f t="shared" si="29"/>
        <v>7-Dépenses</v>
      </c>
      <c r="R405" s="150" t="str">
        <f t="shared" si="29"/>
        <v>6181</v>
      </c>
      <c r="S405" s="151">
        <f t="shared" si="29"/>
        <v>0</v>
      </c>
      <c r="T405" s="153">
        <f>+VLOOKUP($L405,Data_Validation!$A:$D,1,0)</f>
        <v>6581</v>
      </c>
      <c r="U405" s="153" t="str">
        <f>+VLOOKUP($L405,Data_Validation!$A:$D,3,0)</f>
        <v>Carrosserie</v>
      </c>
      <c r="V405" s="153" t="str">
        <f>+VLOOKUP($L405,Data_Validation!$A:$D,4,0)</f>
        <v>Chauffage, éclairage</v>
      </c>
      <c r="W405" s="153" t="str">
        <f>+VLOOKUP($L405,Data_Validation!$A:$E,5,0)</f>
        <v>$</v>
      </c>
      <c r="X405" s="153">
        <f>+VLOOKUP($L405,Data_Validation!$A:$F,6,0)</f>
        <v>0</v>
      </c>
    </row>
    <row r="406" spans="1:24" ht="15" customHeight="1">
      <c r="A406" s="1236" t="s">
        <v>1395</v>
      </c>
      <c r="B406" s="1237">
        <v>6582</v>
      </c>
      <c r="C406" s="1239">
        <v>7280</v>
      </c>
      <c r="D406" s="1239">
        <v>1820</v>
      </c>
      <c r="E406" s="1239">
        <v>9100</v>
      </c>
      <c r="F406" s="1236" t="s">
        <v>398</v>
      </c>
      <c r="G406" s="1236" t="s">
        <v>2700</v>
      </c>
      <c r="H406" s="1241"/>
      <c r="I406" s="1249"/>
      <c r="J406" s="1249"/>
      <c r="K406" s="1249"/>
      <c r="L406" s="150">
        <f t="shared" si="18"/>
        <v>6582</v>
      </c>
      <c r="M406" s="151" t="str">
        <f t="shared" si="19"/>
        <v>LOYER - CARROSSERIE</v>
      </c>
      <c r="N406" s="152">
        <f>+IF(OR($Q406=Parametres!$G$2,$Q406=Parametres!$G$3),I406,C406)</f>
        <v>7280</v>
      </c>
      <c r="O406" s="152">
        <f>+IF(OR($Q406=Parametres!$G$2,$Q406=Parametres!$G$3),J406,D406)</f>
        <v>1820</v>
      </c>
      <c r="P406" s="152">
        <f>+IF(OR($Q406=Parametres!$G$2,$Q406=Parametres!$G$3),K406,E406)</f>
        <v>9100</v>
      </c>
      <c r="Q406" s="151" t="str">
        <f t="shared" si="29"/>
        <v>7-Dépenses</v>
      </c>
      <c r="R406" s="150" t="str">
        <f t="shared" si="29"/>
        <v>6182</v>
      </c>
      <c r="S406" s="151">
        <f t="shared" si="29"/>
        <v>0</v>
      </c>
      <c r="T406" s="153">
        <f>+VLOOKUP($L406,Data_Validation!$A:$D,1,0)</f>
        <v>6582</v>
      </c>
      <c r="U406" s="153" t="str">
        <f>+VLOOKUP($L406,Data_Validation!$A:$D,3,0)</f>
        <v>Carrosserie</v>
      </c>
      <c r="V406" s="153" t="str">
        <f>+VLOOKUP($L406,Data_Validation!$A:$D,4,0)</f>
        <v>Loyer</v>
      </c>
      <c r="W406" s="153" t="str">
        <f>+VLOOKUP($L406,Data_Validation!$A:$E,5,0)</f>
        <v>$</v>
      </c>
      <c r="X406" s="153">
        <f>+VLOOKUP($L406,Data_Validation!$A:$F,6,0)</f>
        <v>0</v>
      </c>
    </row>
    <row r="407" spans="1:24" ht="15.75" customHeight="1">
      <c r="A407" s="1236" t="s">
        <v>1252</v>
      </c>
      <c r="B407" s="1237">
        <v>6586</v>
      </c>
      <c r="C407" s="1239">
        <v>1038.28</v>
      </c>
      <c r="D407" s="1239">
        <v>259.57</v>
      </c>
      <c r="E407" s="1239">
        <v>1297.8499999999999</v>
      </c>
      <c r="F407" s="1236" t="s">
        <v>398</v>
      </c>
      <c r="G407" s="1236" t="s">
        <v>2585</v>
      </c>
      <c r="H407" s="1241"/>
      <c r="I407" s="1249"/>
      <c r="J407" s="1249"/>
      <c r="K407" s="1249"/>
      <c r="L407" s="150">
        <f t="shared" si="18"/>
        <v>6586</v>
      </c>
      <c r="M407" s="151" t="str">
        <f t="shared" si="19"/>
        <v>ASSURANCE BATISSE &amp; AMEL.-CARROS.</v>
      </c>
      <c r="N407" s="152">
        <f>+IF(OR($Q407=Parametres!$G$2,$Q407=Parametres!$G$3),I407,C407)</f>
        <v>1038.28</v>
      </c>
      <c r="O407" s="152">
        <f>+IF(OR($Q407=Parametres!$G$2,$Q407=Parametres!$G$3),J407,D407)</f>
        <v>259.57</v>
      </c>
      <c r="P407" s="152">
        <f>+IF(OR($Q407=Parametres!$G$2,$Q407=Parametres!$G$3),K407,E407)</f>
        <v>1297.8499999999999</v>
      </c>
      <c r="Q407" s="151" t="str">
        <f t="shared" si="29"/>
        <v>7-Dépenses</v>
      </c>
      <c r="R407" s="150" t="str">
        <f t="shared" si="29"/>
        <v>6186</v>
      </c>
      <c r="S407" s="151">
        <f t="shared" si="29"/>
        <v>0</v>
      </c>
      <c r="T407" s="153">
        <f>+VLOOKUP($L407,Data_Validation!$A:$D,1,0)</f>
        <v>6586</v>
      </c>
      <c r="U407" s="153" t="str">
        <f>+VLOOKUP($L407,Data_Validation!$A:$D,3,0)</f>
        <v>Carrosserie</v>
      </c>
      <c r="V407" s="153" t="str">
        <f>+VLOOKUP($L407,Data_Validation!$A:$D,4,0)</f>
        <v>Assurances</v>
      </c>
      <c r="W407" s="153" t="str">
        <f>+VLOOKUP($L407,Data_Validation!$A:$E,5,0)</f>
        <v>$</v>
      </c>
      <c r="X407" s="153">
        <f>+VLOOKUP($L407,Data_Validation!$A:$F,6,0)</f>
        <v>0</v>
      </c>
    </row>
    <row r="408" spans="1:24" ht="15" customHeight="1">
      <c r="A408" s="1236" t="s">
        <v>1261</v>
      </c>
      <c r="B408" s="1237">
        <v>6587</v>
      </c>
      <c r="C408" s="1239">
        <v>1346.8</v>
      </c>
      <c r="D408" s="1239">
        <v>336.7</v>
      </c>
      <c r="E408" s="1239">
        <v>1683.5</v>
      </c>
      <c r="F408" s="1236" t="s">
        <v>398</v>
      </c>
      <c r="G408" s="1236" t="s">
        <v>2605</v>
      </c>
      <c r="H408" s="1241"/>
      <c r="I408" s="1249"/>
      <c r="J408" s="1249"/>
      <c r="K408" s="1249"/>
      <c r="L408" s="150">
        <f t="shared" si="18"/>
        <v>6587</v>
      </c>
      <c r="M408" s="151" t="str">
        <f t="shared" si="19"/>
        <v>TAXES FONCIERES - CAROSSERIE</v>
      </c>
      <c r="N408" s="152">
        <f>+IF(OR($Q408=Parametres!$G$2,$Q408=Parametres!$G$3),I408,C408)</f>
        <v>1346.8</v>
      </c>
      <c r="O408" s="152">
        <f>+IF(OR($Q408=Parametres!$G$2,$Q408=Parametres!$G$3),J408,D408)</f>
        <v>336.7</v>
      </c>
      <c r="P408" s="152">
        <f>+IF(OR($Q408=Parametres!$G$2,$Q408=Parametres!$G$3),K408,E408)</f>
        <v>1683.5</v>
      </c>
      <c r="Q408" s="151" t="str">
        <f t="shared" si="29"/>
        <v>7-Dépenses</v>
      </c>
      <c r="R408" s="150" t="str">
        <f t="shared" si="29"/>
        <v>6187</v>
      </c>
      <c r="S408" s="151">
        <f t="shared" si="29"/>
        <v>0</v>
      </c>
      <c r="T408" s="153">
        <f>+VLOOKUP($L408,Data_Validation!$A:$D,1,0)</f>
        <v>6587</v>
      </c>
      <c r="U408" s="153" t="str">
        <f>+VLOOKUP($L408,Data_Validation!$A:$D,3,0)</f>
        <v>Carrosserie</v>
      </c>
      <c r="V408" s="153" t="str">
        <f>+VLOOKUP($L408,Data_Validation!$A:$D,4,0)</f>
        <v>Taxes foncières</v>
      </c>
      <c r="W408" s="153" t="str">
        <f>+VLOOKUP($L408,Data_Validation!$A:$E,5,0)</f>
        <v>$</v>
      </c>
      <c r="X408" s="153">
        <f>+VLOOKUP($L408,Data_Validation!$A:$F,6,0)</f>
        <v>0</v>
      </c>
    </row>
    <row r="409" spans="1:24" ht="15" customHeight="1">
      <c r="A409" s="1236" t="s">
        <v>1222</v>
      </c>
      <c r="B409" s="1237">
        <v>6593</v>
      </c>
      <c r="C409" s="1239">
        <v>896</v>
      </c>
      <c r="D409" s="1239">
        <v>224</v>
      </c>
      <c r="E409" s="1239">
        <v>1120</v>
      </c>
      <c r="F409" s="1236" t="s">
        <v>398</v>
      </c>
      <c r="G409" s="1236" t="s">
        <v>2588</v>
      </c>
      <c r="H409" s="1241"/>
      <c r="I409" s="1249"/>
      <c r="J409" s="1249"/>
      <c r="K409" s="1249"/>
      <c r="L409" s="150">
        <f t="shared" si="18"/>
        <v>6593</v>
      </c>
      <c r="M409" s="151" t="str">
        <f t="shared" si="19"/>
        <v>AUTRES TAXES -CARROSSERIE</v>
      </c>
      <c r="N409" s="152">
        <f>+IF(OR($Q409=Parametres!$G$2,$Q409=Parametres!$G$3),I409,C409)</f>
        <v>896</v>
      </c>
      <c r="O409" s="152">
        <f>+IF(OR($Q409=Parametres!$G$2,$Q409=Parametres!$G$3),J409,D409)</f>
        <v>224</v>
      </c>
      <c r="P409" s="152">
        <f>+IF(OR($Q409=Parametres!$G$2,$Q409=Parametres!$G$3),K409,E409)</f>
        <v>1120</v>
      </c>
      <c r="Q409" s="151" t="str">
        <f t="shared" si="29"/>
        <v>7-Dépenses</v>
      </c>
      <c r="R409" s="150" t="str">
        <f t="shared" si="29"/>
        <v>6193</v>
      </c>
      <c r="S409" s="151">
        <f t="shared" si="29"/>
        <v>0</v>
      </c>
      <c r="T409" s="153">
        <f>+VLOOKUP($L409,Data_Validation!$A:$D,1,0)</f>
        <v>6593</v>
      </c>
      <c r="U409" s="153" t="str">
        <f>+VLOOKUP($L409,Data_Validation!$A:$D,3,0)</f>
        <v>Carrosserie</v>
      </c>
      <c r="V409" s="153" t="str">
        <f>+VLOOKUP($L409,Data_Validation!$A:$D,4,0)</f>
        <v>Taxes d`affaires</v>
      </c>
      <c r="W409" s="153" t="str">
        <f>+VLOOKUP($L409,Data_Validation!$A:$E,5,0)</f>
        <v>$</v>
      </c>
      <c r="X409" s="153">
        <f>+VLOOKUP($L409,Data_Validation!$A:$F,6,0)</f>
        <v>0</v>
      </c>
    </row>
    <row r="410" spans="1:24" ht="15" customHeight="1">
      <c r="A410" s="1236" t="s">
        <v>1268</v>
      </c>
      <c r="B410" s="1237">
        <v>6594</v>
      </c>
      <c r="C410" s="1239">
        <v>1801.78</v>
      </c>
      <c r="D410" s="1239">
        <v>499.54</v>
      </c>
      <c r="E410" s="1239">
        <v>2301.3200000000002</v>
      </c>
      <c r="F410" s="1236" t="s">
        <v>398</v>
      </c>
      <c r="G410" s="1236" t="s">
        <v>2626</v>
      </c>
      <c r="H410" s="1241"/>
      <c r="I410" s="1249"/>
      <c r="J410" s="1249"/>
      <c r="K410" s="1249"/>
      <c r="L410" s="150">
        <f t="shared" si="18"/>
        <v>6594</v>
      </c>
      <c r="M410" s="151" t="str">
        <f t="shared" si="19"/>
        <v>FRAIS PROFESSIONNEL-CARROS.</v>
      </c>
      <c r="N410" s="152">
        <f>+IF(OR($Q410=Parametres!$G$2,$Q410=Parametres!$G$3),I410,C410)</f>
        <v>1801.78</v>
      </c>
      <c r="O410" s="152">
        <f>+IF(OR($Q410=Parametres!$G$2,$Q410=Parametres!$G$3),J410,D410)</f>
        <v>499.54</v>
      </c>
      <c r="P410" s="152">
        <f>+IF(OR($Q410=Parametres!$G$2,$Q410=Parametres!$G$3),K410,E410)</f>
        <v>2301.3200000000002</v>
      </c>
      <c r="Q410" s="151" t="str">
        <f t="shared" si="29"/>
        <v>7-Dépenses</v>
      </c>
      <c r="R410" s="150" t="str">
        <f t="shared" si="29"/>
        <v>6194</v>
      </c>
      <c r="S410" s="151">
        <f t="shared" si="29"/>
        <v>0</v>
      </c>
      <c r="T410" s="153">
        <f>+VLOOKUP($L410,Data_Validation!$A:$D,1,0)</f>
        <v>6594</v>
      </c>
      <c r="U410" s="153" t="str">
        <f>+VLOOKUP($L410,Data_Validation!$A:$D,3,0)</f>
        <v>Carrosserie</v>
      </c>
      <c r="V410" s="153" t="str">
        <f>+VLOOKUP($L410,Data_Validation!$A:$D,4,0)</f>
        <v>Honoraires</v>
      </c>
      <c r="W410" s="153" t="str">
        <f>+VLOOKUP($L410,Data_Validation!$A:$E,5,0)</f>
        <v>$</v>
      </c>
      <c r="X410" s="153">
        <f>+VLOOKUP($L410,Data_Validation!$A:$F,6,0)</f>
        <v>0</v>
      </c>
    </row>
    <row r="411" spans="1:24" ht="15.75" customHeight="1">
      <c r="A411" s="1236" t="s">
        <v>396</v>
      </c>
      <c r="B411" s="1237">
        <v>6703</v>
      </c>
      <c r="C411" s="1239">
        <v>346.23</v>
      </c>
      <c r="D411" s="1239">
        <v>0</v>
      </c>
      <c r="E411" s="1239">
        <v>346.23</v>
      </c>
      <c r="F411" s="1236" t="s">
        <v>398</v>
      </c>
      <c r="G411" s="1236" t="s">
        <v>2458</v>
      </c>
      <c r="H411" s="1241"/>
      <c r="I411" s="1249"/>
      <c r="J411" s="1249"/>
      <c r="K411" s="1249"/>
      <c r="L411" s="150">
        <f t="shared" si="18"/>
        <v>6703</v>
      </c>
      <c r="M411" s="151" t="str">
        <f t="shared" si="19"/>
        <v>RELAT. A LA CLIENTELE &amp; AJUST.</v>
      </c>
      <c r="N411" s="152">
        <f>+IF(OR($Q411=Parametres!$G$2,$Q411=Parametres!$G$3),I411,C411)</f>
        <v>346.23</v>
      </c>
      <c r="O411" s="152">
        <f>+IF(OR($Q411=Parametres!$G$2,$Q411=Parametres!$G$3),J411,D411)</f>
        <v>0</v>
      </c>
      <c r="P411" s="152">
        <f>+IF(OR($Q411=Parametres!$G$2,$Q411=Parametres!$G$3),K411,E411)</f>
        <v>346.23</v>
      </c>
      <c r="Q411" s="151" t="str">
        <f t="shared" si="29"/>
        <v>7-Dépenses</v>
      </c>
      <c r="R411" s="150" t="str">
        <f t="shared" si="29"/>
        <v>6112</v>
      </c>
      <c r="S411" s="151">
        <f t="shared" si="29"/>
        <v>0</v>
      </c>
      <c r="T411" s="153">
        <f>+VLOOKUP($L411,Data_Validation!$A:$D,1,0)</f>
        <v>6703</v>
      </c>
      <c r="U411" s="153" t="str">
        <f>+VLOOKUP($L411,Data_Validation!$A:$D,3,0)</f>
        <v>Pièces</v>
      </c>
      <c r="V411" s="153" t="str">
        <f>+VLOOKUP($L411,Data_Validation!$A:$D,4,0)</f>
        <v>Service gratuit 2</v>
      </c>
      <c r="W411" s="153" t="str">
        <f>+VLOOKUP($L411,Data_Validation!$A:$E,5,0)</f>
        <v>$</v>
      </c>
      <c r="X411" s="153">
        <f>+VLOOKUP($L411,Data_Validation!$A:$F,6,0)</f>
        <v>0</v>
      </c>
    </row>
    <row r="412" spans="1:24" ht="15" customHeight="1">
      <c r="A412" s="1236" t="s">
        <v>1371</v>
      </c>
      <c r="B412" s="1237">
        <v>6714</v>
      </c>
      <c r="C412" s="1239">
        <v>15103.92</v>
      </c>
      <c r="D412" s="1239">
        <v>3940.17</v>
      </c>
      <c r="E412" s="1239">
        <v>19044.09</v>
      </c>
      <c r="F412" s="1236" t="s">
        <v>398</v>
      </c>
      <c r="G412" s="1236" t="s">
        <v>2106</v>
      </c>
      <c r="H412" s="1241"/>
      <c r="I412" s="1249"/>
      <c r="J412" s="1249"/>
      <c r="K412" s="1249"/>
      <c r="L412" s="150">
        <f t="shared" si="18"/>
        <v>6714</v>
      </c>
      <c r="M412" s="151" t="str">
        <f t="shared" si="19"/>
        <v>PUBLICITE</v>
      </c>
      <c r="N412" s="152">
        <f>+IF(OR($Q412=Parametres!$G$2,$Q412=Parametres!$G$3),I412,C412)</f>
        <v>15103.92</v>
      </c>
      <c r="O412" s="152">
        <f>+IF(OR($Q412=Parametres!$G$2,$Q412=Parametres!$G$3),J412,D412)</f>
        <v>3940.17</v>
      </c>
      <c r="P412" s="152">
        <f>+IF(OR($Q412=Parametres!$G$2,$Q412=Parametres!$G$3),K412,E412)</f>
        <v>19044.09</v>
      </c>
      <c r="Q412" s="151" t="str">
        <f t="shared" si="29"/>
        <v>7-Dépenses</v>
      </c>
      <c r="R412" s="150" t="str">
        <f t="shared" si="29"/>
        <v>6114</v>
      </c>
      <c r="S412" s="151">
        <f t="shared" si="29"/>
        <v>0</v>
      </c>
      <c r="T412" s="153">
        <f>+VLOOKUP($L412,Data_Validation!$A:$D,1,0)</f>
        <v>6714</v>
      </c>
      <c r="U412" s="153" t="str">
        <f>+VLOOKUP($L412,Data_Validation!$A:$D,3,0)</f>
        <v>Pièces</v>
      </c>
      <c r="V412" s="153" t="str">
        <f>+VLOOKUP($L412,Data_Validation!$A:$D,4,0)</f>
        <v>Publicité 2</v>
      </c>
      <c r="W412" s="153" t="str">
        <f>+VLOOKUP($L412,Data_Validation!$A:$E,5,0)</f>
        <v>$</v>
      </c>
      <c r="X412" s="153">
        <f>+VLOOKUP($L412,Data_Validation!$A:$F,6,0)</f>
        <v>0</v>
      </c>
    </row>
    <row r="413" spans="1:24" ht="15" customHeight="1">
      <c r="A413" s="1236" t="s">
        <v>1354</v>
      </c>
      <c r="B413" s="1237">
        <v>6721</v>
      </c>
      <c r="C413" s="1239">
        <v>2916.68</v>
      </c>
      <c r="D413" s="1239">
        <v>584.05999999999995</v>
      </c>
      <c r="E413" s="1239">
        <v>3500.74</v>
      </c>
      <c r="F413" s="1236" t="s">
        <v>398</v>
      </c>
      <c r="G413" s="1236" t="s">
        <v>2639</v>
      </c>
      <c r="H413" s="1241"/>
      <c r="I413" s="1249"/>
      <c r="J413" s="1249"/>
      <c r="K413" s="1249"/>
      <c r="L413" s="150">
        <f t="shared" si="18"/>
        <v>6721</v>
      </c>
      <c r="M413" s="151" t="str">
        <f t="shared" si="19"/>
        <v>SALAIRES - PROPRIEATIRES</v>
      </c>
      <c r="N413" s="152">
        <f>+IF(OR($Q413=Parametres!$G$2,$Q413=Parametres!$G$3),I413,C413)</f>
        <v>2916.68</v>
      </c>
      <c r="O413" s="152">
        <f>+IF(OR($Q413=Parametres!$G$2,$Q413=Parametres!$G$3),J413,D413)</f>
        <v>584.05999999999995</v>
      </c>
      <c r="P413" s="152">
        <f>+IF(OR($Q413=Parametres!$G$2,$Q413=Parametres!$G$3),K413,E413)</f>
        <v>3500.74</v>
      </c>
      <c r="Q413" s="151" t="str">
        <f t="shared" si="29"/>
        <v>7-Dépenses</v>
      </c>
      <c r="R413" s="150" t="str">
        <f t="shared" si="29"/>
        <v>6121</v>
      </c>
      <c r="S413" s="151">
        <f t="shared" si="29"/>
        <v>0</v>
      </c>
      <c r="T413" s="153">
        <f>+VLOOKUP($L413,Data_Validation!$A:$D,1,0)</f>
        <v>6721</v>
      </c>
      <c r="U413" s="153" t="str">
        <f>+VLOOKUP($L413,Data_Validation!$A:$D,3,0)</f>
        <v>Pièces</v>
      </c>
      <c r="V413" s="153" t="str">
        <f>+VLOOKUP($L413,Data_Validation!$A:$D,4,0)</f>
        <v>Salaires propriétaire</v>
      </c>
      <c r="W413" s="153" t="str">
        <f>+VLOOKUP($L413,Data_Validation!$A:$E,5,0)</f>
        <v>$</v>
      </c>
      <c r="X413" s="153">
        <f>+VLOOKUP($L413,Data_Validation!$A:$F,6,0)</f>
        <v>0</v>
      </c>
    </row>
    <row r="414" spans="1:24" ht="15" customHeight="1">
      <c r="A414" s="1236" t="s">
        <v>2615</v>
      </c>
      <c r="B414" s="1237">
        <v>6722</v>
      </c>
      <c r="C414" s="1239">
        <v>24029.49</v>
      </c>
      <c r="D414" s="1239">
        <v>5861.34</v>
      </c>
      <c r="E414" s="1239">
        <v>29890.83</v>
      </c>
      <c r="F414" s="1236" t="s">
        <v>398</v>
      </c>
      <c r="G414" s="1236" t="s">
        <v>2617</v>
      </c>
      <c r="H414" s="1241"/>
      <c r="I414" s="1249"/>
      <c r="J414" s="1249"/>
      <c r="K414" s="1249"/>
      <c r="L414" s="150">
        <f t="shared" si="18"/>
        <v>6722</v>
      </c>
      <c r="M414" s="151" t="str">
        <f t="shared" si="19"/>
        <v>SAL SUPERVISION / GERANT</v>
      </c>
      <c r="N414" s="152">
        <f>+IF(OR($Q414=Parametres!$G$2,$Q414=Parametres!$G$3),I414,C414)</f>
        <v>24029.49</v>
      </c>
      <c r="O414" s="152">
        <f>+IF(OR($Q414=Parametres!$G$2,$Q414=Parametres!$G$3),J414,D414)</f>
        <v>5861.34</v>
      </c>
      <c r="P414" s="152">
        <f>+IF(OR($Q414=Parametres!$G$2,$Q414=Parametres!$G$3),K414,E414)</f>
        <v>29890.83</v>
      </c>
      <c r="Q414" s="151" t="str">
        <f t="shared" si="29"/>
        <v>7-Dépenses</v>
      </c>
      <c r="R414" s="150" t="str">
        <f t="shared" si="29"/>
        <v>6122</v>
      </c>
      <c r="S414" s="151">
        <f t="shared" si="29"/>
        <v>0</v>
      </c>
      <c r="T414" s="153">
        <f>+VLOOKUP($L414,Data_Validation!$A:$D,1,0)</f>
        <v>6722</v>
      </c>
      <c r="U414" s="153" t="str">
        <f>+VLOOKUP($L414,Data_Validation!$A:$D,3,0)</f>
        <v>Pièces</v>
      </c>
      <c r="V414" s="153" t="str">
        <f>+VLOOKUP($L414,Data_Validation!$A:$D,4,0)</f>
        <v>Salaires cadres</v>
      </c>
      <c r="W414" s="153" t="str">
        <f>+VLOOKUP($L414,Data_Validation!$A:$E,5,0)</f>
        <v>$</v>
      </c>
      <c r="X414" s="153">
        <f>+VLOOKUP($L414,Data_Validation!$A:$F,6,0)</f>
        <v>0</v>
      </c>
    </row>
    <row r="415" spans="1:24" ht="15.75" customHeight="1">
      <c r="A415" s="1236" t="s">
        <v>1339</v>
      </c>
      <c r="B415" s="1237">
        <v>6723</v>
      </c>
      <c r="C415" s="1239">
        <v>15902.1</v>
      </c>
      <c r="D415" s="1239">
        <v>4362.93</v>
      </c>
      <c r="E415" s="1239">
        <v>20265.03</v>
      </c>
      <c r="F415" s="1236" t="s">
        <v>398</v>
      </c>
      <c r="G415" s="1236" t="s">
        <v>2670</v>
      </c>
      <c r="H415" s="1241"/>
      <c r="I415" s="1249"/>
      <c r="J415" s="1249"/>
      <c r="K415" s="1249"/>
      <c r="L415" s="150">
        <f t="shared" si="18"/>
        <v>6723</v>
      </c>
      <c r="M415" s="151" t="str">
        <f t="shared" si="19"/>
        <v>SAL. &amp; RENUM. - CLERICAL</v>
      </c>
      <c r="N415" s="152">
        <f>+IF(OR($Q415=Parametres!$G$2,$Q415=Parametres!$G$3),I415,C415)</f>
        <v>15902.1</v>
      </c>
      <c r="O415" s="152">
        <f>+IF(OR($Q415=Parametres!$G$2,$Q415=Parametres!$G$3),J415,D415)</f>
        <v>4362.93</v>
      </c>
      <c r="P415" s="152">
        <f>+IF(OR($Q415=Parametres!$G$2,$Q415=Parametres!$G$3),K415,E415)</f>
        <v>20265.03</v>
      </c>
      <c r="Q415" s="151" t="str">
        <f t="shared" si="29"/>
        <v>7-Dépenses</v>
      </c>
      <c r="R415" s="150" t="str">
        <f t="shared" si="29"/>
        <v>6123</v>
      </c>
      <c r="S415" s="151">
        <f t="shared" si="29"/>
        <v>0</v>
      </c>
      <c r="T415" s="153">
        <f>+VLOOKUP($L415,Data_Validation!$A:$D,1,0)</f>
        <v>6723</v>
      </c>
      <c r="U415" s="153" t="str">
        <f>+VLOOKUP($L415,Data_Validation!$A:$D,3,0)</f>
        <v>Pièces</v>
      </c>
      <c r="V415" s="153" t="str">
        <f>+VLOOKUP($L415,Data_Validation!$A:$D,4,0)</f>
        <v>Salaires commis</v>
      </c>
      <c r="W415" s="153" t="str">
        <f>+VLOOKUP($L415,Data_Validation!$A:$E,5,0)</f>
        <v>$</v>
      </c>
      <c r="X415" s="153">
        <f>+VLOOKUP($L415,Data_Validation!$A:$F,6,0)</f>
        <v>0</v>
      </c>
    </row>
    <row r="416" spans="1:24" ht="15" customHeight="1">
      <c r="A416" s="1236" t="s">
        <v>1246</v>
      </c>
      <c r="B416" s="1237">
        <v>6724</v>
      </c>
      <c r="C416" s="1239">
        <v>78281.19</v>
      </c>
      <c r="D416" s="1239">
        <v>23595.43</v>
      </c>
      <c r="E416" s="1239">
        <v>101876.62</v>
      </c>
      <c r="F416" s="1236" t="s">
        <v>398</v>
      </c>
      <c r="G416" s="1236" t="s">
        <v>2726</v>
      </c>
      <c r="H416" s="1241"/>
      <c r="I416" s="1249"/>
      <c r="J416" s="1249"/>
      <c r="K416" s="1249"/>
      <c r="L416" s="150">
        <f t="shared" si="18"/>
        <v>6724</v>
      </c>
      <c r="M416" s="151" t="str">
        <f t="shared" si="19"/>
        <v>SALAIRES &amp; RENUM. - AUTRES</v>
      </c>
      <c r="N416" s="152">
        <f>+IF(OR($Q416=Parametres!$G$2,$Q416=Parametres!$G$3),I416,C416)</f>
        <v>78281.19</v>
      </c>
      <c r="O416" s="152">
        <f>+IF(OR($Q416=Parametres!$G$2,$Q416=Parametres!$G$3),J416,D416)</f>
        <v>23595.43</v>
      </c>
      <c r="P416" s="152">
        <f>+IF(OR($Q416=Parametres!$G$2,$Q416=Parametres!$G$3),K416,E416)</f>
        <v>101876.62</v>
      </c>
      <c r="Q416" s="151" t="str">
        <f t="shared" si="29"/>
        <v>7-Dépenses</v>
      </c>
      <c r="R416" s="150" t="str">
        <f t="shared" si="29"/>
        <v>6124</v>
      </c>
      <c r="S416" s="151">
        <f t="shared" si="29"/>
        <v>0</v>
      </c>
      <c r="T416" s="153">
        <f>+VLOOKUP($L416,Data_Validation!$A:$D,1,0)</f>
        <v>6724</v>
      </c>
      <c r="U416" s="153" t="str">
        <f>+VLOOKUP($L416,Data_Validation!$A:$D,3,0)</f>
        <v>Pièces</v>
      </c>
      <c r="V416" s="153" t="str">
        <f>+VLOOKUP($L416,Data_Validation!$A:$D,4,0)</f>
        <v>Salaires autres</v>
      </c>
      <c r="W416" s="153" t="str">
        <f>+VLOOKUP($L416,Data_Validation!$A:$E,5,0)</f>
        <v>$</v>
      </c>
      <c r="X416" s="153">
        <f>+VLOOKUP($L416,Data_Validation!$A:$F,6,0)</f>
        <v>0</v>
      </c>
    </row>
    <row r="417" spans="1:24" ht="15" customHeight="1">
      <c r="A417" s="1236" t="s">
        <v>1325</v>
      </c>
      <c r="B417" s="1237">
        <v>6729</v>
      </c>
      <c r="C417" s="1239">
        <v>11661.17</v>
      </c>
      <c r="D417" s="1239">
        <v>3534.98</v>
      </c>
      <c r="E417" s="1239">
        <v>15196.15</v>
      </c>
      <c r="F417" s="1236" t="s">
        <v>398</v>
      </c>
      <c r="G417" s="1236" t="s">
        <v>2632</v>
      </c>
      <c r="H417" s="1241"/>
      <c r="I417" s="1249"/>
      <c r="J417" s="1249"/>
      <c r="K417" s="1249"/>
      <c r="L417" s="150">
        <f t="shared" si="18"/>
        <v>6729</v>
      </c>
      <c r="M417" s="151" t="str">
        <f t="shared" si="19"/>
        <v>ABSENCES, VACANCES, ETC</v>
      </c>
      <c r="N417" s="152">
        <f>+IF(OR($Q417=Parametres!$G$2,$Q417=Parametres!$G$3),I417,C417)</f>
        <v>11661.17</v>
      </c>
      <c r="O417" s="152">
        <f>+IF(OR($Q417=Parametres!$G$2,$Q417=Parametres!$G$3),J417,D417)</f>
        <v>3534.98</v>
      </c>
      <c r="P417" s="152">
        <f>+IF(OR($Q417=Parametres!$G$2,$Q417=Parametres!$G$3),K417,E417)</f>
        <v>15196.15</v>
      </c>
      <c r="Q417" s="151" t="str">
        <f t="shared" si="29"/>
        <v>7-Dépenses</v>
      </c>
      <c r="R417" s="150" t="str">
        <f t="shared" si="29"/>
        <v>6129</v>
      </c>
      <c r="S417" s="151">
        <f t="shared" si="29"/>
        <v>0</v>
      </c>
      <c r="T417" s="153">
        <f>+VLOOKUP($L417,Data_Validation!$A:$D,1,0)</f>
        <v>6729</v>
      </c>
      <c r="U417" s="153" t="str">
        <f>+VLOOKUP($L417,Data_Validation!$A:$D,3,0)</f>
        <v>Pièces</v>
      </c>
      <c r="V417" s="153" t="str">
        <f>+VLOOKUP($L417,Data_Validation!$A:$D,4,0)</f>
        <v>Salaires en absences</v>
      </c>
      <c r="W417" s="153" t="str">
        <f>+VLOOKUP($L417,Data_Validation!$A:$E,5,0)</f>
        <v>$</v>
      </c>
      <c r="X417" s="153">
        <f>+VLOOKUP($L417,Data_Validation!$A:$F,6,0)</f>
        <v>0</v>
      </c>
    </row>
    <row r="418" spans="1:24" ht="15" customHeight="1">
      <c r="A418" s="1236" t="s">
        <v>1249</v>
      </c>
      <c r="B418" s="1237">
        <v>6731</v>
      </c>
      <c r="C418" s="1239">
        <v>-14516.6</v>
      </c>
      <c r="D418" s="1239">
        <v>-5906.4</v>
      </c>
      <c r="E418" s="1239">
        <v>-20423</v>
      </c>
      <c r="F418" s="1236" t="s">
        <v>398</v>
      </c>
      <c r="G418" s="1236" t="s">
        <v>2577</v>
      </c>
      <c r="H418" s="1241"/>
      <c r="I418" s="1249"/>
      <c r="J418" s="1249"/>
      <c r="K418" s="1249"/>
      <c r="L418" s="150">
        <f t="shared" si="18"/>
        <v>6731</v>
      </c>
      <c r="M418" s="151" t="str">
        <f t="shared" si="19"/>
        <v>CSST</v>
      </c>
      <c r="N418" s="152">
        <f>+IF(OR($Q418=Parametres!$G$2,$Q418=Parametres!$G$3),I418,C418)</f>
        <v>-14516.6</v>
      </c>
      <c r="O418" s="152">
        <f>+IF(OR($Q418=Parametres!$G$2,$Q418=Parametres!$G$3),J418,D418)</f>
        <v>-5906.4</v>
      </c>
      <c r="P418" s="152">
        <f>+IF(OR($Q418=Parametres!$G$2,$Q418=Parametres!$G$3),K418,E418)</f>
        <v>-20423</v>
      </c>
      <c r="Q418" s="151" t="str">
        <f t="shared" ref="Q418:S433" si="30">+F418</f>
        <v>7-Dépenses</v>
      </c>
      <c r="R418" s="150" t="str">
        <f t="shared" si="30"/>
        <v>6131</v>
      </c>
      <c r="S418" s="151">
        <f t="shared" si="30"/>
        <v>0</v>
      </c>
      <c r="T418" s="153">
        <f>+VLOOKUP($L418,Data_Validation!$A:$D,1,0)</f>
        <v>6731</v>
      </c>
      <c r="U418" s="153" t="str">
        <f>+VLOOKUP($L418,Data_Validation!$A:$D,3,0)</f>
        <v>Pièces</v>
      </c>
      <c r="V418" s="153" t="str">
        <f>+VLOOKUP($L418,Data_Validation!$A:$D,4,0)</f>
        <v>Csst</v>
      </c>
      <c r="W418" s="153" t="str">
        <f>+VLOOKUP($L418,Data_Validation!$A:$E,5,0)</f>
        <v>$</v>
      </c>
      <c r="X418" s="153">
        <f>+VLOOKUP($L418,Data_Validation!$A:$F,6,0)</f>
        <v>0</v>
      </c>
    </row>
    <row r="419" spans="1:24" ht="15.75" customHeight="1">
      <c r="A419" s="1236" t="s">
        <v>1280</v>
      </c>
      <c r="B419" s="1237">
        <v>6732</v>
      </c>
      <c r="C419" s="1239">
        <v>32419.42</v>
      </c>
      <c r="D419" s="1239">
        <v>10179.530000000001</v>
      </c>
      <c r="E419" s="1239">
        <v>42598.95</v>
      </c>
      <c r="F419" s="1236" t="s">
        <v>398</v>
      </c>
      <c r="G419" s="1236" t="s">
        <v>2676</v>
      </c>
      <c r="H419" s="1241"/>
      <c r="I419" s="1249"/>
      <c r="J419" s="1249"/>
      <c r="K419" s="1249"/>
      <c r="L419" s="150">
        <f t="shared" si="18"/>
        <v>6732</v>
      </c>
      <c r="M419" s="151" t="str">
        <f t="shared" si="19"/>
        <v>RRQ RAMQ AC</v>
      </c>
      <c r="N419" s="152">
        <f>+IF(OR($Q419=Parametres!$G$2,$Q419=Parametres!$G$3),I419,C419)</f>
        <v>32419.42</v>
      </c>
      <c r="O419" s="152">
        <f>+IF(OR($Q419=Parametres!$G$2,$Q419=Parametres!$G$3),J419,D419)</f>
        <v>10179.530000000001</v>
      </c>
      <c r="P419" s="152">
        <f>+IF(OR($Q419=Parametres!$G$2,$Q419=Parametres!$G$3),K419,E419)</f>
        <v>42598.95</v>
      </c>
      <c r="Q419" s="151" t="str">
        <f t="shared" si="30"/>
        <v>7-Dépenses</v>
      </c>
      <c r="R419" s="150" t="str">
        <f t="shared" si="30"/>
        <v>6132</v>
      </c>
      <c r="S419" s="151">
        <f t="shared" si="30"/>
        <v>0</v>
      </c>
      <c r="T419" s="153">
        <f>+VLOOKUP($L419,Data_Validation!$A:$D,1,0)</f>
        <v>6732</v>
      </c>
      <c r="U419" s="153" t="str">
        <f>+VLOOKUP($L419,Data_Validation!$A:$D,3,0)</f>
        <v>Pièces</v>
      </c>
      <c r="V419" s="153" t="str">
        <f>+VLOOKUP($L419,Data_Validation!$A:$D,4,0)</f>
        <v>Csst</v>
      </c>
      <c r="W419" s="153" t="str">
        <f>+VLOOKUP($L419,Data_Validation!$A:$E,5,0)</f>
        <v>$</v>
      </c>
      <c r="X419" s="153">
        <f>+VLOOKUP($L419,Data_Validation!$A:$F,6,0)</f>
        <v>0</v>
      </c>
    </row>
    <row r="420" spans="1:24" ht="15.75" customHeight="1">
      <c r="A420" s="1236" t="s">
        <v>1161</v>
      </c>
      <c r="B420" s="1237">
        <v>6733</v>
      </c>
      <c r="C420" s="1239">
        <v>163.49</v>
      </c>
      <c r="D420" s="1239">
        <v>45.44</v>
      </c>
      <c r="E420" s="1239">
        <v>208.93</v>
      </c>
      <c r="F420" s="1236" t="s">
        <v>398</v>
      </c>
      <c r="G420" s="1236" t="s">
        <v>2570</v>
      </c>
      <c r="H420" s="1241"/>
      <c r="I420" s="1249"/>
      <c r="J420" s="1249"/>
      <c r="K420" s="1249"/>
      <c r="L420" s="150">
        <f t="shared" si="18"/>
        <v>6733</v>
      </c>
      <c r="M420" s="151" t="str">
        <f t="shared" si="19"/>
        <v>FOND PENSION - PIECES</v>
      </c>
      <c r="N420" s="152">
        <f>+IF(OR($Q420=Parametres!$G$2,$Q420=Parametres!$G$3),I420,C420)</f>
        <v>163.49</v>
      </c>
      <c r="O420" s="152">
        <f>+IF(OR($Q420=Parametres!$G$2,$Q420=Parametres!$G$3),J420,D420)</f>
        <v>45.44</v>
      </c>
      <c r="P420" s="152">
        <f>+IF(OR($Q420=Parametres!$G$2,$Q420=Parametres!$G$3),K420,E420)</f>
        <v>208.93</v>
      </c>
      <c r="Q420" s="151" t="str">
        <f t="shared" si="30"/>
        <v>7-Dépenses</v>
      </c>
      <c r="R420" s="150" t="str">
        <f t="shared" si="30"/>
        <v>6133</v>
      </c>
      <c r="S420" s="151">
        <f t="shared" si="30"/>
        <v>0</v>
      </c>
      <c r="T420" s="153">
        <f>+VLOOKUP($L420,Data_Validation!$A:$D,1,0)</f>
        <v>6733</v>
      </c>
      <c r="U420" s="153" t="str">
        <f>+VLOOKUP($L420,Data_Validation!$A:$D,3,0)</f>
        <v>Pièces</v>
      </c>
      <c r="V420" s="153" t="str">
        <f>+VLOOKUP($L420,Data_Validation!$A:$D,4,0)</f>
        <v>Déduction à la source</v>
      </c>
      <c r="W420" s="153" t="str">
        <f>+VLOOKUP($L420,Data_Validation!$A:$E,5,0)</f>
        <v>$</v>
      </c>
      <c r="X420" s="153">
        <f>+VLOOKUP($L420,Data_Validation!$A:$F,6,0)</f>
        <v>0</v>
      </c>
    </row>
    <row r="421" spans="1:24" ht="15" customHeight="1">
      <c r="A421" s="1236" t="s">
        <v>1302</v>
      </c>
      <c r="B421" s="1237">
        <v>6739</v>
      </c>
      <c r="C421" s="1239">
        <v>10129.4</v>
      </c>
      <c r="D421" s="1239">
        <v>2652.84</v>
      </c>
      <c r="E421" s="1239">
        <v>12782.24</v>
      </c>
      <c r="F421" s="1236" t="s">
        <v>398</v>
      </c>
      <c r="G421" s="1236" t="s">
        <v>2685</v>
      </c>
      <c r="H421" s="1241"/>
      <c r="I421" s="1249"/>
      <c r="J421" s="1249"/>
      <c r="K421" s="1249"/>
      <c r="L421" s="150">
        <f t="shared" si="18"/>
        <v>6739</v>
      </c>
      <c r="M421" s="151" t="str">
        <f t="shared" si="19"/>
        <v>ASSURANCE GROUPE</v>
      </c>
      <c r="N421" s="152">
        <f>+IF(OR($Q421=Parametres!$G$2,$Q421=Parametres!$G$3),I421,C421)</f>
        <v>10129.4</v>
      </c>
      <c r="O421" s="152">
        <f>+IF(OR($Q421=Parametres!$G$2,$Q421=Parametres!$G$3),J421,D421)</f>
        <v>2652.84</v>
      </c>
      <c r="P421" s="152">
        <f>+IF(OR($Q421=Parametres!$G$2,$Q421=Parametres!$G$3),K421,E421)</f>
        <v>12782.24</v>
      </c>
      <c r="Q421" s="151" t="str">
        <f t="shared" si="30"/>
        <v>7-Dépenses</v>
      </c>
      <c r="R421" s="150" t="str">
        <f t="shared" si="30"/>
        <v>6139</v>
      </c>
      <c r="S421" s="151">
        <f t="shared" si="30"/>
        <v>0</v>
      </c>
      <c r="T421" s="153">
        <f>+VLOOKUP($L421,Data_Validation!$A:$D,1,0)</f>
        <v>6739</v>
      </c>
      <c r="U421" s="153" t="str">
        <f>+VLOOKUP($L421,Data_Validation!$A:$D,3,0)</f>
        <v>Pièces</v>
      </c>
      <c r="V421" s="153" t="str">
        <f>+VLOOKUP($L421,Data_Validation!$A:$D,4,0)</f>
        <v>Bénéfices marginaux</v>
      </c>
      <c r="W421" s="153" t="str">
        <f>+VLOOKUP($L421,Data_Validation!$A:$E,5,0)</f>
        <v>$</v>
      </c>
      <c r="X421" s="153">
        <f>+VLOOKUP($L421,Data_Validation!$A:$F,6,0)</f>
        <v>0</v>
      </c>
    </row>
    <row r="422" spans="1:24" ht="15" customHeight="1">
      <c r="A422" s="1236" t="s">
        <v>1154</v>
      </c>
      <c r="B422" s="1237">
        <v>6742</v>
      </c>
      <c r="C422" s="1239">
        <v>969.76</v>
      </c>
      <c r="D422" s="1239">
        <v>58.53</v>
      </c>
      <c r="E422" s="1239">
        <v>1028.29</v>
      </c>
      <c r="F422" s="1236" t="s">
        <v>398</v>
      </c>
      <c r="G422" s="1236" t="s">
        <v>2554</v>
      </c>
      <c r="H422" s="1241"/>
      <c r="I422" s="1249"/>
      <c r="J422" s="1249"/>
      <c r="K422" s="1249"/>
      <c r="L422" s="150">
        <f t="shared" si="18"/>
        <v>6742</v>
      </c>
      <c r="M422" s="151" t="str">
        <f t="shared" si="19"/>
        <v>FOURNITURES &amp; PETITS OUTILS</v>
      </c>
      <c r="N422" s="152">
        <f>+IF(OR($Q422=Parametres!$G$2,$Q422=Parametres!$G$3),I422,C422)</f>
        <v>969.76</v>
      </c>
      <c r="O422" s="152">
        <f>+IF(OR($Q422=Parametres!$G$2,$Q422=Parametres!$G$3),J422,D422)</f>
        <v>58.53</v>
      </c>
      <c r="P422" s="152">
        <f>+IF(OR($Q422=Parametres!$G$2,$Q422=Parametres!$G$3),K422,E422)</f>
        <v>1028.29</v>
      </c>
      <c r="Q422" s="151" t="str">
        <f t="shared" si="30"/>
        <v>7-Dépenses</v>
      </c>
      <c r="R422" s="150" t="str">
        <f t="shared" si="30"/>
        <v>6142</v>
      </c>
      <c r="S422" s="151">
        <f t="shared" si="30"/>
        <v>0</v>
      </c>
      <c r="T422" s="153">
        <f>+VLOOKUP($L422,Data_Validation!$A:$D,1,0)</f>
        <v>6742</v>
      </c>
      <c r="U422" s="153" t="str">
        <f>+VLOOKUP($L422,Data_Validation!$A:$D,3,0)</f>
        <v>Pièces</v>
      </c>
      <c r="V422" s="153" t="str">
        <f>+VLOOKUP($L422,Data_Validation!$A:$D,4,0)</f>
        <v>Fournitures autres</v>
      </c>
      <c r="W422" s="153" t="str">
        <f>+VLOOKUP($L422,Data_Validation!$A:$E,5,0)</f>
        <v>$</v>
      </c>
      <c r="X422" s="153">
        <f>+VLOOKUP($L422,Data_Validation!$A:$F,6,0)</f>
        <v>0</v>
      </c>
    </row>
    <row r="423" spans="1:24" ht="15" customHeight="1">
      <c r="A423" s="1236" t="s">
        <v>931</v>
      </c>
      <c r="B423" s="1237">
        <v>6744</v>
      </c>
      <c r="C423" s="1239">
        <v>88.56</v>
      </c>
      <c r="D423" s="1239">
        <v>272.14</v>
      </c>
      <c r="E423" s="1239">
        <v>360.7</v>
      </c>
      <c r="F423" s="1236" t="s">
        <v>398</v>
      </c>
      <c r="G423" s="1236" t="s">
        <v>2552</v>
      </c>
      <c r="H423" s="1241"/>
      <c r="I423" s="1249"/>
      <c r="J423" s="1249"/>
      <c r="K423" s="1249"/>
      <c r="L423" s="150">
        <f t="shared" si="18"/>
        <v>6744</v>
      </c>
      <c r="M423" s="151" t="str">
        <f t="shared" si="19"/>
        <v>FORMATION</v>
      </c>
      <c r="N423" s="152">
        <f>+IF(OR($Q423=Parametres!$G$2,$Q423=Parametres!$G$3),I423,C423)</f>
        <v>88.56</v>
      </c>
      <c r="O423" s="152">
        <f>+IF(OR($Q423=Parametres!$G$2,$Q423=Parametres!$G$3),J423,D423)</f>
        <v>272.14</v>
      </c>
      <c r="P423" s="152">
        <f>+IF(OR($Q423=Parametres!$G$2,$Q423=Parametres!$G$3),K423,E423)</f>
        <v>360.7</v>
      </c>
      <c r="Q423" s="151" t="str">
        <f t="shared" si="30"/>
        <v>7-Dépenses</v>
      </c>
      <c r="R423" s="150" t="str">
        <f t="shared" si="30"/>
        <v>6144</v>
      </c>
      <c r="S423" s="151">
        <f t="shared" si="30"/>
        <v>0</v>
      </c>
      <c r="T423" s="153">
        <f>+VLOOKUP($L423,Data_Validation!$A:$D,1,0)</f>
        <v>6744</v>
      </c>
      <c r="U423" s="153" t="str">
        <f>+VLOOKUP($L423,Data_Validation!$A:$D,3,0)</f>
        <v>Pièces</v>
      </c>
      <c r="V423" s="153" t="str">
        <f>+VLOOKUP($L423,Data_Validation!$A:$D,4,0)</f>
        <v>Formation</v>
      </c>
      <c r="W423" s="153" t="str">
        <f>+VLOOKUP($L423,Data_Validation!$A:$E,5,0)</f>
        <v>$</v>
      </c>
      <c r="X423" s="153">
        <f>+VLOOKUP($L423,Data_Validation!$A:$F,6,0)</f>
        <v>0</v>
      </c>
    </row>
    <row r="424" spans="1:24" ht="15" customHeight="1">
      <c r="A424" s="1236" t="s">
        <v>1183</v>
      </c>
      <c r="B424" s="1237">
        <v>6745</v>
      </c>
      <c r="C424" s="1239">
        <v>1102.6199999999999</v>
      </c>
      <c r="D424" s="1239">
        <v>297.88</v>
      </c>
      <c r="E424" s="1239">
        <v>1400.5</v>
      </c>
      <c r="F424" s="1236" t="s">
        <v>398</v>
      </c>
      <c r="G424" s="1236" t="s">
        <v>2623</v>
      </c>
      <c r="H424" s="1241"/>
      <c r="I424" s="1249"/>
      <c r="J424" s="1249"/>
      <c r="K424" s="1249"/>
      <c r="L424" s="150">
        <f t="shared" si="18"/>
        <v>6745</v>
      </c>
      <c r="M424" s="151" t="str">
        <f t="shared" si="19"/>
        <v>VEHICULE DE COMPAGNIE - DEPENS</v>
      </c>
      <c r="N424" s="152">
        <f>+IF(OR($Q424=Parametres!$G$2,$Q424=Parametres!$G$3),I424,C424)</f>
        <v>1102.6199999999999</v>
      </c>
      <c r="O424" s="152">
        <f>+IF(OR($Q424=Parametres!$G$2,$Q424=Parametres!$G$3),J424,D424)</f>
        <v>297.88</v>
      </c>
      <c r="P424" s="152">
        <f>+IF(OR($Q424=Parametres!$G$2,$Q424=Parametres!$G$3),K424,E424)</f>
        <v>1400.5</v>
      </c>
      <c r="Q424" s="151" t="str">
        <f t="shared" si="30"/>
        <v>7-Dépenses</v>
      </c>
      <c r="R424" s="150" t="str">
        <f t="shared" si="30"/>
        <v>6145</v>
      </c>
      <c r="S424" s="151">
        <f t="shared" si="30"/>
        <v>0</v>
      </c>
      <c r="T424" s="153">
        <f>+VLOOKUP($L424,Data_Validation!$A:$D,1,0)</f>
        <v>6745</v>
      </c>
      <c r="U424" s="153" t="str">
        <f>+VLOOKUP($L424,Data_Validation!$A:$D,3,0)</f>
        <v>Pièces</v>
      </c>
      <c r="V424" s="153" t="str">
        <f>+VLOOKUP($L424,Data_Validation!$A:$D,4,0)</f>
        <v>Frais véhicules de cie</v>
      </c>
      <c r="W424" s="153" t="str">
        <f>+VLOOKUP($L424,Data_Validation!$A:$E,5,0)</f>
        <v>$</v>
      </c>
      <c r="X424" s="153">
        <f>+VLOOKUP($L424,Data_Validation!$A:$F,6,0)</f>
        <v>0</v>
      </c>
    </row>
    <row r="425" spans="1:24" ht="15.75" customHeight="1">
      <c r="A425" s="1236" t="s">
        <v>1177</v>
      </c>
      <c r="B425" s="1237">
        <v>6747</v>
      </c>
      <c r="C425" s="1239">
        <v>57</v>
      </c>
      <c r="D425" s="1239">
        <v>-47.98</v>
      </c>
      <c r="E425" s="1239">
        <v>9.02</v>
      </c>
      <c r="F425" s="1236" t="s">
        <v>398</v>
      </c>
      <c r="G425" s="1236" t="s">
        <v>2572</v>
      </c>
      <c r="H425" s="1241"/>
      <c r="I425" s="1249"/>
      <c r="J425" s="1249"/>
      <c r="K425" s="1249"/>
      <c r="L425" s="150">
        <f t="shared" si="18"/>
        <v>6747</v>
      </c>
      <c r="M425" s="151" t="str">
        <f t="shared" si="19"/>
        <v>FRET/EXPRESS/TRANS. PAR CAMION</v>
      </c>
      <c r="N425" s="152">
        <f>+IF(OR($Q425=Parametres!$G$2,$Q425=Parametres!$G$3),I425,C425)</f>
        <v>57</v>
      </c>
      <c r="O425" s="152">
        <f>+IF(OR($Q425=Parametres!$G$2,$Q425=Parametres!$G$3),J425,D425)</f>
        <v>-47.98</v>
      </c>
      <c r="P425" s="152">
        <f>+IF(OR($Q425=Parametres!$G$2,$Q425=Parametres!$G$3),K425,E425)</f>
        <v>9.02</v>
      </c>
      <c r="Q425" s="151" t="str">
        <f t="shared" si="30"/>
        <v>7-Dépenses</v>
      </c>
      <c r="R425" s="150" t="str">
        <f t="shared" si="30"/>
        <v>6147</v>
      </c>
      <c r="S425" s="151">
        <f t="shared" si="30"/>
        <v>0</v>
      </c>
      <c r="T425" s="153">
        <f>+VLOOKUP($L425,Data_Validation!$A:$D,1,0)</f>
        <v>6747</v>
      </c>
      <c r="U425" s="153" t="str">
        <f>+VLOOKUP($L425,Data_Validation!$A:$D,3,0)</f>
        <v>Pièces</v>
      </c>
      <c r="V425" s="153" t="str">
        <f>+VLOOKUP($L425,Data_Validation!$A:$D,4,0)</f>
        <v>Frais postaux</v>
      </c>
      <c r="W425" s="153" t="str">
        <f>+VLOOKUP($L425,Data_Validation!$A:$E,5,0)</f>
        <v>$</v>
      </c>
      <c r="X425" s="153">
        <f>+VLOOKUP($L425,Data_Validation!$A:$F,6,0)</f>
        <v>0</v>
      </c>
    </row>
    <row r="426" spans="1:24" ht="15" customHeight="1">
      <c r="A426" s="1236" t="s">
        <v>1283</v>
      </c>
      <c r="B426" s="1237">
        <v>6751</v>
      </c>
      <c r="C426" s="1239">
        <v>14744.77</v>
      </c>
      <c r="D426" s="1239">
        <v>3646.53</v>
      </c>
      <c r="E426" s="1239">
        <v>18391.3</v>
      </c>
      <c r="F426" s="1236" t="s">
        <v>398</v>
      </c>
      <c r="G426" s="1236" t="s">
        <v>2693</v>
      </c>
      <c r="H426" s="1241"/>
      <c r="I426" s="1249"/>
      <c r="J426" s="1249"/>
      <c r="K426" s="1249"/>
      <c r="L426" s="150">
        <f t="shared" si="18"/>
        <v>6751</v>
      </c>
      <c r="M426" s="151" t="str">
        <f t="shared" si="19"/>
        <v>DEP. DU TRAITEMENT DES DONNEES</v>
      </c>
      <c r="N426" s="152">
        <f>+IF(OR($Q426=Parametres!$G$2,$Q426=Parametres!$G$3),I426,C426)</f>
        <v>14744.77</v>
      </c>
      <c r="O426" s="152">
        <f>+IF(OR($Q426=Parametres!$G$2,$Q426=Parametres!$G$3),J426,D426)</f>
        <v>3646.53</v>
      </c>
      <c r="P426" s="152">
        <f>+IF(OR($Q426=Parametres!$G$2,$Q426=Parametres!$G$3),K426,E426)</f>
        <v>18391.3</v>
      </c>
      <c r="Q426" s="151" t="str">
        <f t="shared" si="30"/>
        <v>7-Dépenses</v>
      </c>
      <c r="R426" s="150" t="str">
        <f t="shared" si="30"/>
        <v>6151</v>
      </c>
      <c r="S426" s="151">
        <f t="shared" si="30"/>
        <v>0</v>
      </c>
      <c r="T426" s="153">
        <f>+VLOOKUP($L426,Data_Validation!$A:$D,1,0)</f>
        <v>6751</v>
      </c>
      <c r="U426" s="153" t="str">
        <f>+VLOOKUP($L426,Data_Validation!$A:$D,3,0)</f>
        <v>Pièces</v>
      </c>
      <c r="V426" s="153" t="str">
        <f>+VLOOKUP($L426,Data_Validation!$A:$D,4,0)</f>
        <v>Informatique</v>
      </c>
      <c r="W426" s="153" t="str">
        <f>+VLOOKUP($L426,Data_Validation!$A:$E,5,0)</f>
        <v>$</v>
      </c>
      <c r="X426" s="153">
        <f>+VLOOKUP($L426,Data_Validation!$A:$F,6,0)</f>
        <v>0</v>
      </c>
    </row>
    <row r="427" spans="1:24" ht="15" customHeight="1">
      <c r="A427" s="1236" t="s">
        <v>1203</v>
      </c>
      <c r="B427" s="1237">
        <v>6752</v>
      </c>
      <c r="C427" s="1239">
        <v>1506.35</v>
      </c>
      <c r="D427" s="1239">
        <v>1034.04</v>
      </c>
      <c r="E427" s="1239">
        <v>2540.39</v>
      </c>
      <c r="F427" s="1236" t="s">
        <v>398</v>
      </c>
      <c r="G427" s="1236" t="s">
        <v>2579</v>
      </c>
      <c r="H427" s="1241"/>
      <c r="I427" s="1249"/>
      <c r="J427" s="1249"/>
      <c r="K427" s="1249"/>
      <c r="L427" s="150">
        <f t="shared" si="18"/>
        <v>6752</v>
      </c>
      <c r="M427" s="151" t="str">
        <f t="shared" si="19"/>
        <v>PAPETERIE</v>
      </c>
      <c r="N427" s="152">
        <f>+IF(OR($Q427=Parametres!$G$2,$Q427=Parametres!$G$3),I427,C427)</f>
        <v>1506.35</v>
      </c>
      <c r="O427" s="152">
        <f>+IF(OR($Q427=Parametres!$G$2,$Q427=Parametres!$G$3),J427,D427)</f>
        <v>1034.04</v>
      </c>
      <c r="P427" s="152">
        <f>+IF(OR($Q427=Parametres!$G$2,$Q427=Parametres!$G$3),K427,E427)</f>
        <v>2540.39</v>
      </c>
      <c r="Q427" s="151" t="str">
        <f t="shared" si="30"/>
        <v>7-Dépenses</v>
      </c>
      <c r="R427" s="150" t="str">
        <f t="shared" si="30"/>
        <v>6152</v>
      </c>
      <c r="S427" s="151">
        <f t="shared" si="30"/>
        <v>0</v>
      </c>
      <c r="T427" s="153">
        <f>+VLOOKUP($L427,Data_Validation!$A:$D,1,0)</f>
        <v>6752</v>
      </c>
      <c r="U427" s="153" t="str">
        <f>+VLOOKUP($L427,Data_Validation!$A:$D,3,0)</f>
        <v>Pièces</v>
      </c>
      <c r="V427" s="153" t="str">
        <f>+VLOOKUP($L427,Data_Validation!$A:$D,4,0)</f>
        <v>Papeterie</v>
      </c>
      <c r="W427" s="153" t="str">
        <f>+VLOOKUP($L427,Data_Validation!$A:$E,5,0)</f>
        <v>$</v>
      </c>
      <c r="X427" s="153">
        <f>+VLOOKUP($L427,Data_Validation!$A:$F,6,0)</f>
        <v>0</v>
      </c>
    </row>
    <row r="428" spans="1:24" ht="15" customHeight="1">
      <c r="A428" s="1236" t="s">
        <v>1151</v>
      </c>
      <c r="B428" s="1237">
        <v>6753</v>
      </c>
      <c r="C428" s="1239">
        <v>805.95</v>
      </c>
      <c r="D428" s="1239">
        <v>101.15</v>
      </c>
      <c r="E428" s="1239">
        <v>907.1</v>
      </c>
      <c r="F428" s="1236" t="s">
        <v>398</v>
      </c>
      <c r="G428" s="1236" t="s">
        <v>2583</v>
      </c>
      <c r="H428" s="1241"/>
      <c r="I428" s="1249"/>
      <c r="J428" s="1249"/>
      <c r="K428" s="1249"/>
      <c r="L428" s="150">
        <f t="shared" si="18"/>
        <v>6753</v>
      </c>
      <c r="M428" s="151" t="str">
        <f t="shared" si="19"/>
        <v>TELEPHONE ET TELEX</v>
      </c>
      <c r="N428" s="152">
        <f>+IF(OR($Q428=Parametres!$G$2,$Q428=Parametres!$G$3),I428,C428)</f>
        <v>805.95</v>
      </c>
      <c r="O428" s="152">
        <f>+IF(OR($Q428=Parametres!$G$2,$Q428=Parametres!$G$3),J428,D428)</f>
        <v>101.15</v>
      </c>
      <c r="P428" s="152">
        <f>+IF(OR($Q428=Parametres!$G$2,$Q428=Parametres!$G$3),K428,E428)</f>
        <v>907.1</v>
      </c>
      <c r="Q428" s="151" t="str">
        <f t="shared" si="30"/>
        <v>7-Dépenses</v>
      </c>
      <c r="R428" s="150" t="str">
        <f t="shared" si="30"/>
        <v>6153</v>
      </c>
      <c r="S428" s="151">
        <f t="shared" si="30"/>
        <v>0</v>
      </c>
      <c r="T428" s="153">
        <f>+VLOOKUP($L428,Data_Validation!$A:$D,1,0)</f>
        <v>6753</v>
      </c>
      <c r="U428" s="153" t="str">
        <f>+VLOOKUP($L428,Data_Validation!$A:$D,3,0)</f>
        <v>Pièces</v>
      </c>
      <c r="V428" s="153" t="str">
        <f>+VLOOKUP($L428,Data_Validation!$A:$D,4,0)</f>
        <v>Téléphone</v>
      </c>
      <c r="W428" s="153" t="str">
        <f>+VLOOKUP($L428,Data_Validation!$A:$E,5,0)</f>
        <v>$</v>
      </c>
      <c r="X428" s="153">
        <f>+VLOOKUP($L428,Data_Validation!$A:$F,6,0)</f>
        <v>0</v>
      </c>
    </row>
    <row r="429" spans="1:24" ht="15" customHeight="1">
      <c r="A429" s="1236" t="s">
        <v>1234</v>
      </c>
      <c r="B429" s="1237">
        <v>6755</v>
      </c>
      <c r="C429" s="1239">
        <v>2193.5100000000002</v>
      </c>
      <c r="D429" s="1239">
        <v>936.25</v>
      </c>
      <c r="E429" s="1239">
        <v>3129.76</v>
      </c>
      <c r="F429" s="1236" t="s">
        <v>398</v>
      </c>
      <c r="G429" s="1236" t="s">
        <v>2628</v>
      </c>
      <c r="H429" s="1241"/>
      <c r="I429" s="1249"/>
      <c r="J429" s="1249"/>
      <c r="K429" s="1249"/>
      <c r="L429" s="150">
        <f t="shared" si="18"/>
        <v>6755</v>
      </c>
      <c r="M429" s="151" t="str">
        <f t="shared" si="19"/>
        <v>DEPENSES DIVERS</v>
      </c>
      <c r="N429" s="152">
        <f>+IF(OR($Q429=Parametres!$G$2,$Q429=Parametres!$G$3),I429,C429)</f>
        <v>2193.5100000000002</v>
      </c>
      <c r="O429" s="152">
        <f>+IF(OR($Q429=Parametres!$G$2,$Q429=Parametres!$G$3),J429,D429)</f>
        <v>936.25</v>
      </c>
      <c r="P429" s="152">
        <f>+IF(OR($Q429=Parametres!$G$2,$Q429=Parametres!$G$3),K429,E429)</f>
        <v>3129.76</v>
      </c>
      <c r="Q429" s="151" t="str">
        <f t="shared" si="30"/>
        <v>7-Dépenses</v>
      </c>
      <c r="R429" s="150" t="str">
        <f t="shared" si="30"/>
        <v>6155</v>
      </c>
      <c r="S429" s="151">
        <f t="shared" si="30"/>
        <v>0</v>
      </c>
      <c r="T429" s="153">
        <f>+VLOOKUP($L429,Data_Validation!$A:$D,1,0)</f>
        <v>6755</v>
      </c>
      <c r="U429" s="153" t="str">
        <f>+VLOOKUP($L429,Data_Validation!$A:$D,3,0)</f>
        <v>Pièces</v>
      </c>
      <c r="V429" s="153" t="str">
        <f>+VLOOKUP($L429,Data_Validation!$A:$D,4,0)</f>
        <v>Divers</v>
      </c>
      <c r="W429" s="153" t="str">
        <f>+VLOOKUP($L429,Data_Validation!$A:$E,5,0)</f>
        <v>$</v>
      </c>
      <c r="X429" s="153">
        <f>+VLOOKUP($L429,Data_Validation!$A:$F,6,0)</f>
        <v>0</v>
      </c>
    </row>
    <row r="430" spans="1:24" ht="15" customHeight="1">
      <c r="A430" s="1236" t="s">
        <v>1291</v>
      </c>
      <c r="B430" s="1237">
        <v>6756</v>
      </c>
      <c r="C430" s="1239">
        <v>728.05</v>
      </c>
      <c r="D430" s="1239">
        <v>478.48</v>
      </c>
      <c r="E430" s="1239">
        <v>1206.53</v>
      </c>
      <c r="F430" s="1236" t="s">
        <v>398</v>
      </c>
      <c r="G430" s="1236" t="s">
        <v>2461</v>
      </c>
      <c r="H430" s="1241"/>
      <c r="I430" s="1249"/>
      <c r="J430" s="1249"/>
      <c r="K430" s="1249"/>
      <c r="L430" s="150">
        <f t="shared" si="18"/>
        <v>6756</v>
      </c>
      <c r="M430" s="151" t="str">
        <f t="shared" si="19"/>
        <v>FRAIS REPRESENTATION - PIECES</v>
      </c>
      <c r="N430" s="152">
        <f>+IF(OR($Q430=Parametres!$G$2,$Q430=Parametres!$G$3),I430,C430)</f>
        <v>728.05</v>
      </c>
      <c r="O430" s="152">
        <f>+IF(OR($Q430=Parametres!$G$2,$Q430=Parametres!$G$3),J430,D430)</f>
        <v>478.48</v>
      </c>
      <c r="P430" s="152">
        <f>+IF(OR($Q430=Parametres!$G$2,$Q430=Parametres!$G$3),K430,E430)</f>
        <v>1206.53</v>
      </c>
      <c r="Q430" s="151" t="str">
        <f t="shared" si="30"/>
        <v>7-Dépenses</v>
      </c>
      <c r="R430" s="150" t="str">
        <f t="shared" si="30"/>
        <v>6156</v>
      </c>
      <c r="S430" s="151">
        <f t="shared" si="30"/>
        <v>0</v>
      </c>
      <c r="T430" s="153">
        <f>+VLOOKUP($L430,Data_Validation!$A:$D,1,0)</f>
        <v>6756</v>
      </c>
      <c r="U430" s="153" t="str">
        <f>+VLOOKUP($L430,Data_Validation!$A:$D,3,0)</f>
        <v>Pièces</v>
      </c>
      <c r="V430" s="153" t="str">
        <f>+VLOOKUP($L430,Data_Validation!$A:$D,4,0)</f>
        <v>Frais de déplacement</v>
      </c>
      <c r="W430" s="153" t="str">
        <f>+VLOOKUP($L430,Data_Validation!$A:$E,5,0)</f>
        <v>$</v>
      </c>
      <c r="X430" s="153">
        <f>+VLOOKUP($L430,Data_Validation!$A:$F,6,0)</f>
        <v>0</v>
      </c>
    </row>
    <row r="431" spans="1:24" ht="15.75" customHeight="1">
      <c r="A431" s="1236" t="s">
        <v>1305</v>
      </c>
      <c r="B431" s="1237">
        <v>6759</v>
      </c>
      <c r="C431" s="1239">
        <v>24358.28</v>
      </c>
      <c r="D431" s="1239">
        <v>5740.51</v>
      </c>
      <c r="E431" s="1239">
        <v>30098.79</v>
      </c>
      <c r="F431" s="1236" t="s">
        <v>398</v>
      </c>
      <c r="G431" s="1236" t="s">
        <v>2653</v>
      </c>
      <c r="H431" s="1241"/>
      <c r="I431" s="1249"/>
      <c r="J431" s="1249"/>
      <c r="K431" s="1249"/>
      <c r="L431" s="150">
        <f t="shared" si="18"/>
        <v>6759</v>
      </c>
      <c r="M431" s="151" t="str">
        <f t="shared" si="19"/>
        <v>SERVICE EXTERIEUR</v>
      </c>
      <c r="N431" s="152">
        <f>+IF(OR($Q431=Parametres!$G$2,$Q431=Parametres!$G$3),I431,C431)</f>
        <v>24358.28</v>
      </c>
      <c r="O431" s="152">
        <f>+IF(OR($Q431=Parametres!$G$2,$Q431=Parametres!$G$3),J431,D431)</f>
        <v>5740.51</v>
      </c>
      <c r="P431" s="152">
        <f>+IF(OR($Q431=Parametres!$G$2,$Q431=Parametres!$G$3),K431,E431)</f>
        <v>30098.79</v>
      </c>
      <c r="Q431" s="151" t="str">
        <f t="shared" si="30"/>
        <v>7-Dépenses</v>
      </c>
      <c r="R431" s="150" t="str">
        <f t="shared" si="30"/>
        <v>6159</v>
      </c>
      <c r="S431" s="151">
        <f t="shared" si="30"/>
        <v>0</v>
      </c>
      <c r="T431" s="153">
        <f>+VLOOKUP($L431,Data_Validation!$A:$D,1,0)</f>
        <v>6759</v>
      </c>
      <c r="U431" s="153" t="str">
        <f>+VLOOKUP($L431,Data_Validation!$A:$D,3,0)</f>
        <v>Pièces</v>
      </c>
      <c r="V431" s="153" t="str">
        <f>+VLOOKUP($L431,Data_Validation!$A:$D,4,0)</f>
        <v>Services extérieurs</v>
      </c>
      <c r="W431" s="153" t="str">
        <f>+VLOOKUP($L431,Data_Validation!$A:$E,5,0)</f>
        <v>$</v>
      </c>
      <c r="X431" s="153">
        <f>+VLOOKUP($L431,Data_Validation!$A:$F,6,0)</f>
        <v>0</v>
      </c>
    </row>
    <row r="432" spans="1:24" ht="15" customHeight="1">
      <c r="A432" s="1236" t="s">
        <v>1330</v>
      </c>
      <c r="B432" s="1237">
        <v>6761</v>
      </c>
      <c r="C432" s="1239">
        <v>9167</v>
      </c>
      <c r="D432" s="1239">
        <v>-3575.25</v>
      </c>
      <c r="E432" s="1239">
        <v>5591.75</v>
      </c>
      <c r="F432" s="1236" t="s">
        <v>398</v>
      </c>
      <c r="G432" s="1236" t="s">
        <v>2644</v>
      </c>
      <c r="H432" s="1241"/>
      <c r="I432" s="1249"/>
      <c r="J432" s="1249"/>
      <c r="K432" s="1249"/>
      <c r="L432" s="150">
        <f t="shared" si="18"/>
        <v>6761</v>
      </c>
      <c r="M432" s="151" t="str">
        <f t="shared" si="19"/>
        <v>DEPRECIATION EQUIP. &amp; FIXTURES</v>
      </c>
      <c r="N432" s="152">
        <f>+IF(OR($Q432=Parametres!$G$2,$Q432=Parametres!$G$3),I432,C432)</f>
        <v>9167</v>
      </c>
      <c r="O432" s="152">
        <f>+IF(OR($Q432=Parametres!$G$2,$Q432=Parametres!$G$3),J432,D432)</f>
        <v>-3575.25</v>
      </c>
      <c r="P432" s="152">
        <f>+IF(OR($Q432=Parametres!$G$2,$Q432=Parametres!$G$3),K432,E432)</f>
        <v>5591.75</v>
      </c>
      <c r="Q432" s="151" t="str">
        <f t="shared" si="30"/>
        <v>7-Dépenses</v>
      </c>
      <c r="R432" s="150" t="str">
        <f t="shared" si="30"/>
        <v>6161</v>
      </c>
      <c r="S432" s="151">
        <f t="shared" si="30"/>
        <v>0</v>
      </c>
      <c r="T432" s="153">
        <f>+VLOOKUP($L432,Data_Validation!$A:$D,1,0)</f>
        <v>6761</v>
      </c>
      <c r="U432" s="153" t="str">
        <f>+VLOOKUP($L432,Data_Validation!$A:$D,3,0)</f>
        <v>Pièces</v>
      </c>
      <c r="V432" s="153" t="str">
        <f>+VLOOKUP($L432,Data_Validation!$A:$D,4,0)</f>
        <v>Amortissement</v>
      </c>
      <c r="W432" s="153" t="str">
        <f>+VLOOKUP($L432,Data_Validation!$A:$E,5,0)</f>
        <v>$</v>
      </c>
      <c r="X432" s="153">
        <f>+VLOOKUP($L432,Data_Validation!$A:$F,6,0)</f>
        <v>0</v>
      </c>
    </row>
    <row r="433" spans="1:24" ht="15" customHeight="1">
      <c r="A433" s="1236" t="s">
        <v>1313</v>
      </c>
      <c r="B433" s="1237">
        <v>6781</v>
      </c>
      <c r="C433" s="1239">
        <v>2509.33</v>
      </c>
      <c r="D433" s="1239">
        <v>852.74</v>
      </c>
      <c r="E433" s="1239">
        <v>3362.07</v>
      </c>
      <c r="F433" s="1236" t="s">
        <v>398</v>
      </c>
      <c r="G433" s="1236" t="s">
        <v>2595</v>
      </c>
      <c r="H433" s="1241"/>
      <c r="I433" s="1249"/>
      <c r="J433" s="1249"/>
      <c r="K433" s="1249"/>
      <c r="L433" s="150">
        <f t="shared" si="18"/>
        <v>6781</v>
      </c>
      <c r="M433" s="151" t="str">
        <f t="shared" si="19"/>
        <v>CHAUFFAGE,ELECTRICITE,EAU-PIECES</v>
      </c>
      <c r="N433" s="152">
        <f>+IF(OR($Q433=Parametres!$G$2,$Q433=Parametres!$G$3),I433,C433)</f>
        <v>2509.33</v>
      </c>
      <c r="O433" s="152">
        <f>+IF(OR($Q433=Parametres!$G$2,$Q433=Parametres!$G$3),J433,D433)</f>
        <v>852.74</v>
      </c>
      <c r="P433" s="152">
        <f>+IF(OR($Q433=Parametres!$G$2,$Q433=Parametres!$G$3),K433,E433)</f>
        <v>3362.07</v>
      </c>
      <c r="Q433" s="151" t="str">
        <f t="shared" si="30"/>
        <v>7-Dépenses</v>
      </c>
      <c r="R433" s="150" t="str">
        <f t="shared" si="30"/>
        <v>6181</v>
      </c>
      <c r="S433" s="151">
        <f t="shared" si="30"/>
        <v>0</v>
      </c>
      <c r="T433" s="153">
        <f>+VLOOKUP($L433,Data_Validation!$A:$D,1,0)</f>
        <v>6781</v>
      </c>
      <c r="U433" s="153" t="str">
        <f>+VLOOKUP($L433,Data_Validation!$A:$D,3,0)</f>
        <v>Pièces</v>
      </c>
      <c r="V433" s="153" t="str">
        <f>+VLOOKUP($L433,Data_Validation!$A:$D,4,0)</f>
        <v>Chauffage, éclairage</v>
      </c>
      <c r="W433" s="153" t="str">
        <f>+VLOOKUP($L433,Data_Validation!$A:$E,5,0)</f>
        <v>$</v>
      </c>
      <c r="X433" s="153">
        <f>+VLOOKUP($L433,Data_Validation!$A:$F,6,0)</f>
        <v>0</v>
      </c>
    </row>
    <row r="434" spans="1:24" ht="15" customHeight="1">
      <c r="A434" s="1236" t="s">
        <v>1454</v>
      </c>
      <c r="B434" s="1237">
        <v>6782</v>
      </c>
      <c r="C434" s="1239">
        <v>26000</v>
      </c>
      <c r="D434" s="1239">
        <v>6500</v>
      </c>
      <c r="E434" s="1239">
        <v>32500</v>
      </c>
      <c r="F434" s="1236" t="s">
        <v>398</v>
      </c>
      <c r="G434" s="1236" t="s">
        <v>2700</v>
      </c>
      <c r="H434" s="1250"/>
      <c r="I434" s="1251"/>
      <c r="J434" s="1251"/>
      <c r="K434" s="1251"/>
      <c r="L434" s="150">
        <f t="shared" si="18"/>
        <v>6782</v>
      </c>
      <c r="M434" s="151" t="str">
        <f t="shared" si="19"/>
        <v>LOYER - PIECES</v>
      </c>
      <c r="N434" s="152">
        <f>+IF(OR($Q434=Parametres!$G$2,$Q434=Parametres!$G$3),I434,C434)</f>
        <v>26000</v>
      </c>
      <c r="O434" s="152">
        <f>+IF(OR($Q434=Parametres!$G$2,$Q434=Parametres!$G$3),J434,D434)</f>
        <v>6500</v>
      </c>
      <c r="P434" s="152">
        <f>+IF(OR($Q434=Parametres!$G$2,$Q434=Parametres!$G$3),K434,E434)</f>
        <v>32500</v>
      </c>
      <c r="Q434" s="151" t="str">
        <f t="shared" ref="Q434:S449" si="31">+F434</f>
        <v>7-Dépenses</v>
      </c>
      <c r="R434" s="150" t="str">
        <f t="shared" si="31"/>
        <v>6182</v>
      </c>
      <c r="S434" s="151">
        <f t="shared" si="31"/>
        <v>0</v>
      </c>
      <c r="T434" s="153">
        <f>+VLOOKUP($L434,Data_Validation!$A:$D,1,0)</f>
        <v>6782</v>
      </c>
      <c r="U434" s="153" t="str">
        <f>+VLOOKUP($L434,Data_Validation!$A:$D,3,0)</f>
        <v>Pièces</v>
      </c>
      <c r="V434" s="153" t="str">
        <f>+VLOOKUP($L434,Data_Validation!$A:$D,4,0)</f>
        <v>Loyer</v>
      </c>
      <c r="W434" s="153" t="str">
        <f>+VLOOKUP($L434,Data_Validation!$A:$E,5,0)</f>
        <v>$</v>
      </c>
      <c r="X434" s="153">
        <f>+VLOOKUP($L434,Data_Validation!$A:$F,6,0)</f>
        <v>0</v>
      </c>
    </row>
    <row r="435" spans="1:24" ht="15.75" customHeight="1">
      <c r="A435" s="1236" t="s">
        <v>1349</v>
      </c>
      <c r="B435" s="1237">
        <v>6786</v>
      </c>
      <c r="C435" s="1239">
        <v>3708.08</v>
      </c>
      <c r="D435" s="1239">
        <v>927.02</v>
      </c>
      <c r="E435" s="1239">
        <v>4635.1000000000004</v>
      </c>
      <c r="F435" s="1236" t="s">
        <v>398</v>
      </c>
      <c r="G435" s="1236" t="s">
        <v>2585</v>
      </c>
      <c r="H435" s="1250"/>
      <c r="I435" s="1251"/>
      <c r="J435" s="1251"/>
      <c r="K435" s="1251"/>
      <c r="L435" s="150">
        <f t="shared" si="18"/>
        <v>6786</v>
      </c>
      <c r="M435" s="151" t="str">
        <f t="shared" si="19"/>
        <v>ASSURANCE BATISSE &amp; AMEL.-PIECES</v>
      </c>
      <c r="N435" s="152">
        <f>+IF(OR($Q435=Parametres!$G$2,$Q435=Parametres!$G$3),I435,C435)</f>
        <v>3708.08</v>
      </c>
      <c r="O435" s="152">
        <f>+IF(OR($Q435=Parametres!$G$2,$Q435=Parametres!$G$3),J435,D435)</f>
        <v>927.02</v>
      </c>
      <c r="P435" s="152">
        <f>+IF(OR($Q435=Parametres!$G$2,$Q435=Parametres!$G$3),K435,E435)</f>
        <v>4635.1000000000004</v>
      </c>
      <c r="Q435" s="151" t="str">
        <f t="shared" si="31"/>
        <v>7-Dépenses</v>
      </c>
      <c r="R435" s="150" t="str">
        <f t="shared" si="31"/>
        <v>6186</v>
      </c>
      <c r="S435" s="151">
        <f t="shared" si="31"/>
        <v>0</v>
      </c>
      <c r="T435" s="153">
        <f>+VLOOKUP($L435,Data_Validation!$A:$D,1,0)</f>
        <v>6786</v>
      </c>
      <c r="U435" s="153" t="str">
        <f>+VLOOKUP($L435,Data_Validation!$A:$D,3,0)</f>
        <v>Pièces</v>
      </c>
      <c r="V435" s="153" t="str">
        <f>+VLOOKUP($L435,Data_Validation!$A:$D,4,0)</f>
        <v>Assurances</v>
      </c>
      <c r="W435" s="153" t="str">
        <f>+VLOOKUP($L435,Data_Validation!$A:$E,5,0)</f>
        <v>$</v>
      </c>
      <c r="X435" s="153">
        <f>+VLOOKUP($L435,Data_Validation!$A:$F,6,0)</f>
        <v>0</v>
      </c>
    </row>
    <row r="436" spans="1:24" ht="15" customHeight="1">
      <c r="A436" s="1236" t="s">
        <v>1341</v>
      </c>
      <c r="B436" s="1237">
        <v>6787</v>
      </c>
      <c r="C436" s="1239">
        <v>4810</v>
      </c>
      <c r="D436" s="1239">
        <v>1202.5</v>
      </c>
      <c r="E436" s="1239">
        <v>6012.5</v>
      </c>
      <c r="F436" s="1236" t="s">
        <v>398</v>
      </c>
      <c r="G436" s="1236" t="s">
        <v>2605</v>
      </c>
      <c r="H436" s="1250"/>
      <c r="I436" s="1251"/>
      <c r="J436" s="1251"/>
      <c r="K436" s="1251"/>
      <c r="L436" s="150">
        <f t="shared" si="18"/>
        <v>6787</v>
      </c>
      <c r="M436" s="151" t="str">
        <f t="shared" si="19"/>
        <v>TAXES FONCIERES - PIECES</v>
      </c>
      <c r="N436" s="152">
        <f>+IF(OR($Q436=Parametres!$G$2,$Q436=Parametres!$G$3),I436,C436)</f>
        <v>4810</v>
      </c>
      <c r="O436" s="152">
        <f>+IF(OR($Q436=Parametres!$G$2,$Q436=Parametres!$G$3),J436,D436)</f>
        <v>1202.5</v>
      </c>
      <c r="P436" s="152">
        <f>+IF(OR($Q436=Parametres!$G$2,$Q436=Parametres!$G$3),K436,E436)</f>
        <v>6012.5</v>
      </c>
      <c r="Q436" s="151" t="str">
        <f t="shared" si="31"/>
        <v>7-Dépenses</v>
      </c>
      <c r="R436" s="150" t="str">
        <f t="shared" si="31"/>
        <v>6187</v>
      </c>
      <c r="S436" s="151">
        <f t="shared" si="31"/>
        <v>0</v>
      </c>
      <c r="T436" s="153">
        <f>+VLOOKUP($L436,Data_Validation!$A:$D,1,0)</f>
        <v>6787</v>
      </c>
      <c r="U436" s="153" t="str">
        <f>+VLOOKUP($L436,Data_Validation!$A:$D,3,0)</f>
        <v>Pièces</v>
      </c>
      <c r="V436" s="153" t="str">
        <f>+VLOOKUP($L436,Data_Validation!$A:$D,4,0)</f>
        <v>Taxes foncières</v>
      </c>
      <c r="W436" s="153" t="str">
        <f>+VLOOKUP($L436,Data_Validation!$A:$E,5,0)</f>
        <v>$</v>
      </c>
      <c r="X436" s="153">
        <f>+VLOOKUP($L436,Data_Validation!$A:$F,6,0)</f>
        <v>0</v>
      </c>
    </row>
    <row r="437" spans="1:24" ht="15" customHeight="1">
      <c r="A437" s="1236" t="s">
        <v>1275</v>
      </c>
      <c r="B437" s="1237">
        <v>6793</v>
      </c>
      <c r="C437" s="1239">
        <v>3200</v>
      </c>
      <c r="D437" s="1239">
        <v>800</v>
      </c>
      <c r="E437" s="1239">
        <v>4000</v>
      </c>
      <c r="F437" s="1236" t="s">
        <v>398</v>
      </c>
      <c r="G437" s="1236" t="s">
        <v>2588</v>
      </c>
      <c r="H437" s="1250"/>
      <c r="I437" s="1251"/>
      <c r="J437" s="1251"/>
      <c r="K437" s="1251"/>
      <c r="L437" s="150">
        <f t="shared" si="18"/>
        <v>6793</v>
      </c>
      <c r="M437" s="151" t="str">
        <f t="shared" si="19"/>
        <v>AUTRES TAXES - PIECES</v>
      </c>
      <c r="N437" s="152">
        <f>+IF(OR($Q437=Parametres!$G$2,$Q437=Parametres!$G$3),I437,C437)</f>
        <v>3200</v>
      </c>
      <c r="O437" s="152">
        <f>+IF(OR($Q437=Parametres!$G$2,$Q437=Parametres!$G$3),J437,D437)</f>
        <v>800</v>
      </c>
      <c r="P437" s="152">
        <f>+IF(OR($Q437=Parametres!$G$2,$Q437=Parametres!$G$3),K437,E437)</f>
        <v>4000</v>
      </c>
      <c r="Q437" s="151" t="str">
        <f t="shared" si="31"/>
        <v>7-Dépenses</v>
      </c>
      <c r="R437" s="150" t="str">
        <f t="shared" si="31"/>
        <v>6193</v>
      </c>
      <c r="S437" s="151">
        <f t="shared" si="31"/>
        <v>0</v>
      </c>
      <c r="T437" s="153">
        <f>+VLOOKUP($L437,Data_Validation!$A:$D,1,0)</f>
        <v>6793</v>
      </c>
      <c r="U437" s="153" t="str">
        <f>+VLOOKUP($L437,Data_Validation!$A:$D,3,0)</f>
        <v>Pièces</v>
      </c>
      <c r="V437" s="153" t="str">
        <f>+VLOOKUP($L437,Data_Validation!$A:$D,4,0)</f>
        <v>Taxes d`affaires</v>
      </c>
      <c r="W437" s="153" t="str">
        <f>+VLOOKUP($L437,Data_Validation!$A:$E,5,0)</f>
        <v>$</v>
      </c>
      <c r="X437" s="153">
        <f>+VLOOKUP($L437,Data_Validation!$A:$F,6,0)</f>
        <v>0</v>
      </c>
    </row>
    <row r="438" spans="1:24" ht="15" customHeight="1">
      <c r="A438" s="1236" t="s">
        <v>1368</v>
      </c>
      <c r="B438" s="1237">
        <v>6794</v>
      </c>
      <c r="C438" s="1239">
        <v>6434.82</v>
      </c>
      <c r="D438" s="1239">
        <v>1784.04</v>
      </c>
      <c r="E438" s="1239">
        <v>8218.86</v>
      </c>
      <c r="F438" s="1236" t="s">
        <v>398</v>
      </c>
      <c r="G438" s="1236" t="s">
        <v>2626</v>
      </c>
      <c r="H438" s="1250"/>
      <c r="I438" s="1251"/>
      <c r="J438" s="1251"/>
      <c r="K438" s="1251"/>
      <c r="L438" s="150">
        <f t="shared" si="18"/>
        <v>6794</v>
      </c>
      <c r="M438" s="151" t="str">
        <f t="shared" si="19"/>
        <v>FRAIS PROFESSIONNEL-PIECES</v>
      </c>
      <c r="N438" s="152">
        <f>+IF(OR($Q438=Parametres!$G$2,$Q438=Parametres!$G$3),I438,C438)</f>
        <v>6434.82</v>
      </c>
      <c r="O438" s="571">
        <f>+IF(OR($Q438=Parametres!$G$2,$Q438=Parametres!$G$3),J438,D438)</f>
        <v>1784.04</v>
      </c>
      <c r="P438" s="152">
        <f>+IF(OR($Q438=Parametres!$G$2,$Q438=Parametres!$G$3),K438,E438)</f>
        <v>8218.86</v>
      </c>
      <c r="Q438" s="151" t="str">
        <f t="shared" si="31"/>
        <v>7-Dépenses</v>
      </c>
      <c r="R438" s="150" t="str">
        <f t="shared" si="31"/>
        <v>6194</v>
      </c>
      <c r="S438" s="151">
        <f t="shared" si="31"/>
        <v>0</v>
      </c>
      <c r="T438" s="153">
        <f>+VLOOKUP($L438,Data_Validation!$A:$D,1,0)</f>
        <v>6794</v>
      </c>
      <c r="U438" s="153" t="str">
        <f>+VLOOKUP($L438,Data_Validation!$A:$D,3,0)</f>
        <v>Pièces</v>
      </c>
      <c r="V438" s="153" t="str">
        <f>+VLOOKUP($L438,Data_Validation!$A:$D,4,0)</f>
        <v>Honoraires</v>
      </c>
      <c r="W438" s="153" t="str">
        <f>+VLOOKUP($L438,Data_Validation!$A:$E,5,0)</f>
        <v>$</v>
      </c>
      <c r="X438" s="153">
        <f>+VLOOKUP($L438,Data_Validation!$A:$F,6,0)</f>
        <v>0</v>
      </c>
    </row>
    <row r="439" spans="1:24" ht="15" customHeight="1">
      <c r="A439" s="1236" t="s">
        <v>2046</v>
      </c>
      <c r="B439" s="1237">
        <v>9149</v>
      </c>
      <c r="C439" s="1239">
        <v>-294569</v>
      </c>
      <c r="D439" s="1239">
        <v>-102678</v>
      </c>
      <c r="E439" s="1239">
        <v>-397247</v>
      </c>
      <c r="F439" s="1236" t="s">
        <v>301</v>
      </c>
      <c r="G439" s="1236" t="s">
        <v>2048</v>
      </c>
      <c r="H439" s="1250"/>
      <c r="I439" s="1251"/>
      <c r="J439" s="1251"/>
      <c r="K439" s="1251"/>
      <c r="L439" s="150">
        <f t="shared" si="18"/>
        <v>9149</v>
      </c>
      <c r="M439" s="151" t="str">
        <f t="shared" si="19"/>
        <v>REVENU RESERVE VOLKS</v>
      </c>
      <c r="N439" s="152">
        <f>+IF(OR($Q439=Parametres!$G$2,$Q439=Parametres!$G$3),I439,C439)</f>
        <v>-294569</v>
      </c>
      <c r="O439" s="152">
        <f>+IF(OR($Q439=Parametres!$G$2,$Q439=Parametres!$G$3),J439,D439)</f>
        <v>-102678</v>
      </c>
      <c r="P439" s="152">
        <f>+IF(OR($Q439=Parametres!$G$2,$Q439=Parametres!$G$3),K439,E439)</f>
        <v>-397247</v>
      </c>
      <c r="Q439" s="151" t="str">
        <f t="shared" si="31"/>
        <v>8-Autres revenus</v>
      </c>
      <c r="R439" s="150" t="str">
        <f t="shared" si="31"/>
        <v>9101</v>
      </c>
      <c r="S439" s="151">
        <f t="shared" si="31"/>
        <v>0</v>
      </c>
      <c r="T439" s="153">
        <f>+VLOOKUP($L439,Data_Validation!$A:$D,1,0)</f>
        <v>9149</v>
      </c>
      <c r="U439" s="153" t="str">
        <f>+VLOOKUP($L439,Data_Validation!$A:$D,3,0)</f>
        <v>Véhicules neufs</v>
      </c>
      <c r="V439" s="153" t="str">
        <f>+VLOOKUP($L439,Data_Validation!$A:$D,4,0)</f>
        <v>Holdbacks</v>
      </c>
      <c r="W439" s="153" t="str">
        <f>+VLOOKUP($L439,Data_Validation!$A:$E,5,0)</f>
        <v>$</v>
      </c>
      <c r="X439" s="153">
        <f>+VLOOKUP($L439,Data_Validation!$A:$F,6,0)</f>
        <v>0</v>
      </c>
    </row>
    <row r="440" spans="1:24" ht="15" customHeight="1">
      <c r="A440" s="1236" t="s">
        <v>2131</v>
      </c>
      <c r="B440" s="1237">
        <v>9152</v>
      </c>
      <c r="C440" s="1239">
        <v>-21699.24</v>
      </c>
      <c r="D440" s="1239">
        <v>-8746.83</v>
      </c>
      <c r="E440" s="1239">
        <v>-30446.07</v>
      </c>
      <c r="F440" s="1236" t="s">
        <v>301</v>
      </c>
      <c r="G440" s="1236" t="s">
        <v>2132</v>
      </c>
      <c r="H440" s="1250"/>
      <c r="I440" s="1251"/>
      <c r="J440" s="1251"/>
      <c r="K440" s="1251"/>
      <c r="L440" s="150">
        <f t="shared" si="18"/>
        <v>9152</v>
      </c>
      <c r="M440" s="151" t="str">
        <f t="shared" si="19"/>
        <v>ESCOMPTES SUR ACHAT PIECES</v>
      </c>
      <c r="N440" s="152">
        <f>+IF(OR($Q440=Parametres!$G$2,$Q440=Parametres!$G$3),I440,C440)</f>
        <v>-21699.24</v>
      </c>
      <c r="O440" s="566">
        <f>+IF(OR($Q440=Parametres!$G$2,$Q440=Parametres!$G$3),J440,D440)</f>
        <v>-8746.83</v>
      </c>
      <c r="P440" s="152">
        <f>+IF(OR($Q440=Parametres!$G$2,$Q440=Parametres!$G$3),K440,E440)</f>
        <v>-30446.07</v>
      </c>
      <c r="Q440" s="151" t="str">
        <f t="shared" si="31"/>
        <v>8-Autres revenus</v>
      </c>
      <c r="R440" s="150" t="str">
        <f t="shared" si="31"/>
        <v>9152</v>
      </c>
      <c r="S440" s="151">
        <f t="shared" si="31"/>
        <v>0</v>
      </c>
      <c r="T440" s="153">
        <f>+VLOOKUP($L440,Data_Validation!$A:$D,1,0)</f>
        <v>9152</v>
      </c>
      <c r="U440" s="153" t="str">
        <f>+VLOOKUP($L440,Data_Validation!$A:$D,3,0)</f>
        <v>Pièces</v>
      </c>
      <c r="V440" s="153" t="str">
        <f>+VLOOKUP($L440,Data_Validation!$A:$D,4,0)</f>
        <v>Escomptes</v>
      </c>
      <c r="W440" s="153" t="str">
        <f>+VLOOKUP($L440,Data_Validation!$A:$E,5,0)</f>
        <v>$</v>
      </c>
      <c r="X440" s="153">
        <f>+VLOOKUP($L440,Data_Validation!$A:$F,6,0)</f>
        <v>0</v>
      </c>
    </row>
    <row r="441" spans="1:24" ht="15.75" customHeight="1">
      <c r="A441" s="1236" t="s">
        <v>2070</v>
      </c>
      <c r="B441" s="1237">
        <v>9157</v>
      </c>
      <c r="C441" s="1239">
        <v>-65776.52</v>
      </c>
      <c r="D441" s="1239">
        <v>0</v>
      </c>
      <c r="E441" s="1239">
        <v>-65776.52</v>
      </c>
      <c r="F441" s="1236" t="s">
        <v>301</v>
      </c>
      <c r="G441" s="1236" t="s">
        <v>2072</v>
      </c>
      <c r="H441" s="1250"/>
      <c r="I441" s="1251"/>
      <c r="J441" s="1251"/>
      <c r="K441" s="1251"/>
      <c r="L441" s="150">
        <f t="shared" si="18"/>
        <v>9157</v>
      </c>
      <c r="M441" s="151" t="str">
        <f t="shared" si="19"/>
        <v>PRIMES DE RENDEMENT (ToT)- BONUS EXPERIENCE +</v>
      </c>
      <c r="N441" s="152">
        <f>+IF(OR($Q441=Parametres!$G$2,$Q441=Parametres!$G$3),I441,C441)</f>
        <v>-65776.52</v>
      </c>
      <c r="O441" s="152">
        <f>+IF(OR($Q441=Parametres!$G$2,$Q441=Parametres!$G$3),J441,D441)</f>
        <v>0</v>
      </c>
      <c r="P441" s="152">
        <f>+IF(OR($Q441=Parametres!$G$2,$Q441=Parametres!$G$3),K441,E441)</f>
        <v>-65776.52</v>
      </c>
      <c r="Q441" s="151" t="str">
        <f t="shared" si="31"/>
        <v>8-Autres revenus</v>
      </c>
      <c r="R441" s="150" t="str">
        <f t="shared" si="31"/>
        <v>915</v>
      </c>
      <c r="S441" s="151">
        <f t="shared" si="31"/>
        <v>0</v>
      </c>
      <c r="T441" s="153">
        <f>+VLOOKUP($L441,Data_Validation!$A:$D,1,0)</f>
        <v>9157</v>
      </c>
      <c r="U441" s="153" t="str">
        <f>+VLOOKUP($L441,Data_Validation!$A:$D,3,0)</f>
        <v>Véhicules neufs</v>
      </c>
      <c r="V441" s="153" t="str">
        <f>+VLOOKUP($L441,Data_Validation!$A:$D,4,0)</f>
        <v>Programme neuf 1</v>
      </c>
      <c r="W441" s="153" t="str">
        <f>+VLOOKUP($L441,Data_Validation!$A:$E,5,0)</f>
        <v>$</v>
      </c>
      <c r="X441" s="153">
        <f>+VLOOKUP($L441,Data_Validation!$A:$F,6,0)</f>
        <v>0</v>
      </c>
    </row>
    <row r="442" spans="1:24" ht="15" customHeight="1">
      <c r="A442" s="1236" t="s">
        <v>2163</v>
      </c>
      <c r="B442" s="1237">
        <v>9161</v>
      </c>
      <c r="C442" s="1239">
        <v>-5305.48</v>
      </c>
      <c r="D442" s="1239">
        <v>0</v>
      </c>
      <c r="E442" s="1239">
        <v>-5305.48</v>
      </c>
      <c r="F442" s="1236" t="s">
        <v>301</v>
      </c>
      <c r="G442" s="1236" t="s">
        <v>2069</v>
      </c>
      <c r="H442" s="1250"/>
      <c r="I442" s="1251"/>
      <c r="J442" s="1251"/>
      <c r="K442" s="1251"/>
      <c r="L442" s="150">
        <f t="shared" si="18"/>
        <v>9161</v>
      </c>
      <c r="M442" s="151" t="str">
        <f t="shared" si="19"/>
        <v>REVENU FIN ET ASS NEUF</v>
      </c>
      <c r="N442" s="152">
        <f>+IF(OR($Q442=Parametres!$G$2,$Q442=Parametres!$G$3),I442,C442)</f>
        <v>-5305.48</v>
      </c>
      <c r="O442" s="152">
        <f>+IF(OR($Q442=Parametres!$G$2,$Q442=Parametres!$G$3),J442,D442)</f>
        <v>0</v>
      </c>
      <c r="P442" s="152">
        <f>+IF(OR($Q442=Parametres!$G$2,$Q442=Parametres!$G$3),K442,E442)</f>
        <v>-5305.48</v>
      </c>
      <c r="Q442" s="151" t="str">
        <f t="shared" si="31"/>
        <v>8-Autres revenus</v>
      </c>
      <c r="R442" s="150" t="str">
        <f t="shared" si="31"/>
        <v>9161</v>
      </c>
      <c r="S442" s="151">
        <f t="shared" si="31"/>
        <v>0</v>
      </c>
      <c r="T442" s="153">
        <f>+VLOOKUP($L442,Data_Validation!$A:$D,1,0)</f>
        <v>9161</v>
      </c>
      <c r="U442" s="153" t="str">
        <f>+VLOOKUP($L442,Data_Validation!$A:$D,3,0)</f>
        <v>Véhicules neufs</v>
      </c>
      <c r="V442" s="153" t="str">
        <f>+VLOOKUP($L442,Data_Validation!$A:$D,4,0)</f>
        <v>Rev. Finances</v>
      </c>
      <c r="W442" s="153" t="str">
        <f>+VLOOKUP($L442,Data_Validation!$A:$E,5,0)</f>
        <v>$</v>
      </c>
      <c r="X442" s="153" t="str">
        <f>+VLOOKUP($L442,Data_Validation!$A:$F,6,0)</f>
        <v>Oui</v>
      </c>
    </row>
    <row r="443" spans="1:24" ht="15" customHeight="1">
      <c r="A443" s="1236" t="s">
        <v>2077</v>
      </c>
      <c r="B443" s="1237">
        <v>9163</v>
      </c>
      <c r="C443" s="1239">
        <v>-65551.28</v>
      </c>
      <c r="D443" s="1239">
        <v>-31187.279999999999</v>
      </c>
      <c r="E443" s="1239">
        <v>-96738.559999999998</v>
      </c>
      <c r="F443" s="1236" t="s">
        <v>301</v>
      </c>
      <c r="G443" s="1236" t="s">
        <v>2078</v>
      </c>
      <c r="H443" s="1250"/>
      <c r="I443" s="1251"/>
      <c r="J443" s="1251"/>
      <c r="K443" s="1251"/>
      <c r="L443" s="150">
        <f t="shared" si="18"/>
        <v>9163</v>
      </c>
      <c r="M443" s="151" t="str">
        <f t="shared" si="19"/>
        <v>RESERVE FIN ET ASS VEH OCCASION</v>
      </c>
      <c r="N443" s="152">
        <f>+IF(OR($Q443=Parametres!$G$2,$Q443=Parametres!$G$3),I443,C443)</f>
        <v>-65551.28</v>
      </c>
      <c r="O443" s="152">
        <f>+IF(OR($Q443=Parametres!$G$2,$Q443=Parametres!$G$3),J443,D443)</f>
        <v>-31187.279999999999</v>
      </c>
      <c r="P443" s="152">
        <f>+IF(OR($Q443=Parametres!$G$2,$Q443=Parametres!$G$3),K443,E443)</f>
        <v>-96738.559999999998</v>
      </c>
      <c r="Q443" s="151" t="str">
        <f t="shared" si="31"/>
        <v>8-Autres revenus</v>
      </c>
      <c r="R443" s="150" t="str">
        <f t="shared" si="31"/>
        <v>9163</v>
      </c>
      <c r="S443" s="151">
        <f t="shared" si="31"/>
        <v>0</v>
      </c>
      <c r="T443" s="153">
        <f>+VLOOKUP($L443,Data_Validation!$A:$D,1,0)</f>
        <v>9163</v>
      </c>
      <c r="U443" s="153" t="str">
        <f>+VLOOKUP($L443,Data_Validation!$A:$D,3,0)</f>
        <v>Véhicules usagés</v>
      </c>
      <c r="V443" s="153" t="str">
        <f>+VLOOKUP($L443,Data_Validation!$A:$D,4,0)</f>
        <v>Rev. Finances</v>
      </c>
      <c r="W443" s="153" t="str">
        <f>+VLOOKUP($L443,Data_Validation!$A:$E,5,0)</f>
        <v>$</v>
      </c>
      <c r="X443" s="153" t="str">
        <f>+VLOOKUP($L443,Data_Validation!$A:$F,6,0)</f>
        <v>Oui</v>
      </c>
    </row>
    <row r="444" spans="1:24" ht="15" customHeight="1">
      <c r="A444" s="1236" t="s">
        <v>2164</v>
      </c>
      <c r="B444" s="1237">
        <v>9165</v>
      </c>
      <c r="C444" s="1239">
        <v>-4818.49</v>
      </c>
      <c r="D444" s="1239">
        <v>-1573.17</v>
      </c>
      <c r="E444" s="1239">
        <v>-6391.66</v>
      </c>
      <c r="F444" s="1236" t="s">
        <v>301</v>
      </c>
      <c r="G444" s="1236" t="s">
        <v>2069</v>
      </c>
      <c r="H444" s="1250"/>
      <c r="I444" s="1251"/>
      <c r="J444" s="1251"/>
      <c r="K444" s="1251"/>
      <c r="L444" s="150">
        <f t="shared" si="18"/>
        <v>9165</v>
      </c>
      <c r="M444" s="151" t="str">
        <f t="shared" si="19"/>
        <v>REV. ASSURANCES NEUF</v>
      </c>
      <c r="N444" s="152">
        <f>+IF(OR($Q444=Parametres!$G$2,$Q444=Parametres!$G$3),I444,C444)</f>
        <v>-4818.49</v>
      </c>
      <c r="O444" s="152">
        <f>+IF(OR($Q444=Parametres!$G$2,$Q444=Parametres!$G$3),J444,D444)</f>
        <v>-1573.17</v>
      </c>
      <c r="P444" s="152">
        <f>+IF(OR($Q444=Parametres!$G$2,$Q444=Parametres!$G$3),K444,E444)</f>
        <v>-6391.66</v>
      </c>
      <c r="Q444" s="151" t="str">
        <f t="shared" si="31"/>
        <v>8-Autres revenus</v>
      </c>
      <c r="R444" s="150" t="str">
        <f t="shared" si="31"/>
        <v>9161</v>
      </c>
      <c r="S444" s="151">
        <f t="shared" si="31"/>
        <v>0</v>
      </c>
      <c r="T444" s="153">
        <f>+VLOOKUP($L444,Data_Validation!$A:$D,1,0)</f>
        <v>9165</v>
      </c>
      <c r="U444" s="153" t="str">
        <f>+VLOOKUP($L444,Data_Validation!$A:$D,3,0)</f>
        <v>Véhicules neufs</v>
      </c>
      <c r="V444" s="153" t="str">
        <f>+VLOOKUP($L444,Data_Validation!$A:$D,4,0)</f>
        <v>Rev. Autres</v>
      </c>
      <c r="W444" s="153" t="str">
        <f>+VLOOKUP($L444,Data_Validation!$A:$E,5,0)</f>
        <v>$</v>
      </c>
      <c r="X444" s="153" t="str">
        <f>+VLOOKUP($L444,Data_Validation!$A:$F,6,0)</f>
        <v>Oui</v>
      </c>
    </row>
    <row r="445" spans="1:24" ht="15" customHeight="1">
      <c r="A445" s="1236" t="s">
        <v>2172</v>
      </c>
      <c r="B445" s="1237">
        <v>9167</v>
      </c>
      <c r="C445" s="1239">
        <v>-4949.87</v>
      </c>
      <c r="D445" s="1239">
        <v>-1636.38</v>
      </c>
      <c r="E445" s="1239">
        <v>-6586.25</v>
      </c>
      <c r="F445" s="1236" t="s">
        <v>301</v>
      </c>
      <c r="G445" s="1236" t="s">
        <v>2078</v>
      </c>
      <c r="H445" s="1250"/>
      <c r="I445" s="1251"/>
      <c r="J445" s="1251"/>
      <c r="K445" s="1251"/>
      <c r="L445" s="150">
        <f t="shared" si="18"/>
        <v>9167</v>
      </c>
      <c r="M445" s="151" t="str">
        <f t="shared" si="19"/>
        <v>REV ASSURANCE USAGE</v>
      </c>
      <c r="N445" s="152">
        <f>+IF(OR($Q445=Parametres!$G$2,$Q445=Parametres!$G$3),I445,C445)</f>
        <v>-4949.87</v>
      </c>
      <c r="O445" s="152">
        <f>+IF(OR($Q445=Parametres!$G$2,$Q445=Parametres!$G$3),J445,D445)</f>
        <v>-1636.38</v>
      </c>
      <c r="P445" s="152">
        <f>+IF(OR($Q445=Parametres!$G$2,$Q445=Parametres!$G$3),K445,E445)</f>
        <v>-6586.25</v>
      </c>
      <c r="Q445" s="151" t="str">
        <f t="shared" si="31"/>
        <v>8-Autres revenus</v>
      </c>
      <c r="R445" s="150" t="str">
        <f t="shared" si="31"/>
        <v>9163</v>
      </c>
      <c r="S445" s="151">
        <f t="shared" si="31"/>
        <v>0</v>
      </c>
      <c r="T445" s="153">
        <f>+VLOOKUP($L445,Data_Validation!$A:$D,1,0)</f>
        <v>9167</v>
      </c>
      <c r="U445" s="153" t="str">
        <f>+VLOOKUP($L445,Data_Validation!$A:$D,3,0)</f>
        <v>Véhicules usagés</v>
      </c>
      <c r="V445" s="153" t="str">
        <f>+VLOOKUP($L445,Data_Validation!$A:$D,4,0)</f>
        <v>Rev. Autres</v>
      </c>
      <c r="W445" s="153" t="str">
        <f>+VLOOKUP($L445,Data_Validation!$A:$E,5,0)</f>
        <v>$</v>
      </c>
      <c r="X445" s="153" t="str">
        <f>+VLOOKUP($L445,Data_Validation!$A:$F,6,0)</f>
        <v>Oui</v>
      </c>
    </row>
    <row r="446" spans="1:24" ht="15.75" customHeight="1">
      <c r="A446" s="1236" t="s">
        <v>2085</v>
      </c>
      <c r="B446" s="1237">
        <v>9169</v>
      </c>
      <c r="C446" s="1239">
        <v>-24054</v>
      </c>
      <c r="D446" s="1239">
        <v>-9325</v>
      </c>
      <c r="E446" s="1239">
        <v>-33379</v>
      </c>
      <c r="F446" s="1236" t="s">
        <v>301</v>
      </c>
      <c r="G446" s="1236" t="s">
        <v>2069</v>
      </c>
      <c r="H446" s="1250"/>
      <c r="I446" s="1251"/>
      <c r="J446" s="1251"/>
      <c r="K446" s="1251"/>
      <c r="L446" s="150">
        <f t="shared" si="18"/>
        <v>9169</v>
      </c>
      <c r="M446" s="151" t="str">
        <f t="shared" si="19"/>
        <v>REV GARANTIE PROLONGEE NEUF</v>
      </c>
      <c r="N446" s="152">
        <f>+IF(OR($Q446=Parametres!$G$2,$Q446=Parametres!$G$3),I446,C446)</f>
        <v>-24054</v>
      </c>
      <c r="O446" s="152">
        <f>+IF(OR($Q446=Parametres!$G$2,$Q446=Parametres!$G$3),J446,D446)</f>
        <v>-9325</v>
      </c>
      <c r="P446" s="152">
        <f>+IF(OR($Q446=Parametres!$G$2,$Q446=Parametres!$G$3),K446,E446)</f>
        <v>-33379</v>
      </c>
      <c r="Q446" s="151" t="str">
        <f t="shared" si="31"/>
        <v>8-Autres revenus</v>
      </c>
      <c r="R446" s="150" t="str">
        <f t="shared" si="31"/>
        <v>9161</v>
      </c>
      <c r="S446" s="151">
        <f t="shared" si="31"/>
        <v>0</v>
      </c>
      <c r="T446" s="153">
        <f>+VLOOKUP($L446,Data_Validation!$A:$D,1,0)</f>
        <v>9169</v>
      </c>
      <c r="U446" s="153" t="str">
        <f>+VLOOKUP($L446,Data_Validation!$A:$D,3,0)</f>
        <v>Véhicules neufs</v>
      </c>
      <c r="V446" s="153" t="str">
        <f>+VLOOKUP($L446,Data_Validation!$A:$D,4,0)</f>
        <v>Rev. Protections</v>
      </c>
      <c r="W446" s="153" t="str">
        <f>+VLOOKUP($L446,Data_Validation!$A:$E,5,0)</f>
        <v>$</v>
      </c>
      <c r="X446" s="153" t="str">
        <f>+VLOOKUP($L446,Data_Validation!$A:$F,6,0)</f>
        <v>Oui</v>
      </c>
    </row>
    <row r="447" spans="1:24" ht="15.75" customHeight="1">
      <c r="A447" s="1236" t="s">
        <v>2067</v>
      </c>
      <c r="B447" s="1237">
        <v>9170</v>
      </c>
      <c r="C447" s="1239">
        <v>-128044.45</v>
      </c>
      <c r="D447" s="1239">
        <v>-57250.42</v>
      </c>
      <c r="E447" s="1239">
        <v>-185294.87</v>
      </c>
      <c r="F447" s="1236" t="s">
        <v>301</v>
      </c>
      <c r="G447" s="1236" t="s">
        <v>2069</v>
      </c>
      <c r="H447" s="1250"/>
      <c r="I447" s="1251"/>
      <c r="J447" s="1251"/>
      <c r="K447" s="1251"/>
      <c r="L447" s="150">
        <f t="shared" si="18"/>
        <v>9170</v>
      </c>
      <c r="M447" s="151" t="str">
        <f t="shared" si="19"/>
        <v>PROFIT PROTECTIONS - NEUFS</v>
      </c>
      <c r="N447" s="152">
        <f>+IF(OR($Q447=Parametres!$G$2,$Q447=Parametres!$G$3),I447,C447)</f>
        <v>-128044.45</v>
      </c>
      <c r="O447" s="152">
        <f>+IF(OR($Q447=Parametres!$G$2,$Q447=Parametres!$G$3),J447,D447)</f>
        <v>-57250.42</v>
      </c>
      <c r="P447" s="152">
        <f>+IF(OR($Q447=Parametres!$G$2,$Q447=Parametres!$G$3),K447,E447)</f>
        <v>-185294.87</v>
      </c>
      <c r="Q447" s="151" t="str">
        <f t="shared" si="31"/>
        <v>8-Autres revenus</v>
      </c>
      <c r="R447" s="150" t="str">
        <f t="shared" si="31"/>
        <v>9161</v>
      </c>
      <c r="S447" s="151">
        <f t="shared" si="31"/>
        <v>0</v>
      </c>
      <c r="T447" s="153">
        <f>+VLOOKUP($L447,Data_Validation!$A:$D,1,0)</f>
        <v>9170</v>
      </c>
      <c r="U447" s="153" t="str">
        <f>+VLOOKUP($L447,Data_Validation!$A:$D,3,0)</f>
        <v>Véhicules neufs</v>
      </c>
      <c r="V447" s="153" t="str">
        <f>+VLOOKUP($L447,Data_Validation!$A:$D,4,0)</f>
        <v>Rev. Protections</v>
      </c>
      <c r="W447" s="153" t="str">
        <f>+VLOOKUP($L447,Data_Validation!$A:$E,5,0)</f>
        <v>$</v>
      </c>
      <c r="X447" s="153" t="str">
        <f>+VLOOKUP($L447,Data_Validation!$A:$F,6,0)</f>
        <v>Oui</v>
      </c>
    </row>
    <row r="448" spans="1:24" ht="15" customHeight="1">
      <c r="A448" s="1236" t="s">
        <v>2081</v>
      </c>
      <c r="B448" s="1237">
        <v>9171</v>
      </c>
      <c r="C448" s="1239">
        <v>-88219.92</v>
      </c>
      <c r="D448" s="1239">
        <v>-34193</v>
      </c>
      <c r="E448" s="1239">
        <v>-122412.92</v>
      </c>
      <c r="F448" s="1236" t="s">
        <v>301</v>
      </c>
      <c r="G448" s="1236" t="s">
        <v>2078</v>
      </c>
      <c r="H448" s="1250"/>
      <c r="I448" s="1251"/>
      <c r="J448" s="1251"/>
      <c r="K448" s="1251"/>
      <c r="L448" s="150">
        <f t="shared" si="18"/>
        <v>9171</v>
      </c>
      <c r="M448" s="151" t="str">
        <f t="shared" si="19"/>
        <v>REV GARANTIE PROLONGEE USAGE</v>
      </c>
      <c r="N448" s="152">
        <f>+IF(OR($Q448=Parametres!$G$2,$Q448=Parametres!$G$3),I448,C448)</f>
        <v>-88219.92</v>
      </c>
      <c r="O448" s="152">
        <f>+IF(OR($Q448=Parametres!$G$2,$Q448=Parametres!$G$3),J448,D448)</f>
        <v>-34193</v>
      </c>
      <c r="P448" s="152">
        <f>+IF(OR($Q448=Parametres!$G$2,$Q448=Parametres!$G$3),K448,E448)</f>
        <v>-122412.92</v>
      </c>
      <c r="Q448" s="151" t="str">
        <f t="shared" si="31"/>
        <v>8-Autres revenus</v>
      </c>
      <c r="R448" s="150" t="str">
        <f t="shared" si="31"/>
        <v>9163</v>
      </c>
      <c r="S448" s="151">
        <f t="shared" si="31"/>
        <v>0</v>
      </c>
      <c r="T448" s="153">
        <f>+VLOOKUP($L448,Data_Validation!$A:$D,1,0)</f>
        <v>9171</v>
      </c>
      <c r="U448" s="153" t="str">
        <f>+VLOOKUP($L448,Data_Validation!$A:$D,3,0)</f>
        <v>Véhicules usagés</v>
      </c>
      <c r="V448" s="153" t="str">
        <f>+VLOOKUP($L448,Data_Validation!$A:$D,4,0)</f>
        <v>Rev. Protections</v>
      </c>
      <c r="W448" s="153" t="str">
        <f>+VLOOKUP($L448,Data_Validation!$A:$E,5,0)</f>
        <v>$</v>
      </c>
      <c r="X448" s="153" t="str">
        <f>+VLOOKUP($L448,Data_Validation!$A:$F,6,0)</f>
        <v>Oui</v>
      </c>
    </row>
    <row r="449" spans="1:24" ht="15" customHeight="1">
      <c r="A449" s="1236" t="s">
        <v>2089</v>
      </c>
      <c r="B449" s="1237">
        <v>9172</v>
      </c>
      <c r="C449" s="1239">
        <v>-47424.63</v>
      </c>
      <c r="D449" s="1239">
        <v>-15938.48</v>
      </c>
      <c r="E449" s="1239">
        <v>-63363.11</v>
      </c>
      <c r="F449" s="1236" t="s">
        <v>301</v>
      </c>
      <c r="G449" s="1236" t="s">
        <v>2078</v>
      </c>
      <c r="H449" s="1250"/>
      <c r="I449" s="1252"/>
      <c r="J449" s="1252"/>
      <c r="K449" s="1252"/>
      <c r="L449" s="150">
        <f t="shared" si="18"/>
        <v>9172</v>
      </c>
      <c r="M449" s="151" t="str">
        <f t="shared" si="19"/>
        <v>PROFIT PROTECTIONS - USAGES</v>
      </c>
      <c r="N449" s="152">
        <f>+IF(OR($Q449=Parametres!$G$2,$Q449=Parametres!$G$3),I449,C449)</f>
        <v>-47424.63</v>
      </c>
      <c r="O449" s="152">
        <f>+IF(OR($Q449=Parametres!$G$2,$Q449=Parametres!$G$3),J449,D449)</f>
        <v>-15938.48</v>
      </c>
      <c r="P449" s="152">
        <f>+IF(OR($Q449=Parametres!$G$2,$Q449=Parametres!$G$3),K449,E449)</f>
        <v>-63363.11</v>
      </c>
      <c r="Q449" s="151" t="str">
        <f t="shared" si="31"/>
        <v>8-Autres revenus</v>
      </c>
      <c r="R449" s="150" t="str">
        <f t="shared" si="31"/>
        <v>9163</v>
      </c>
      <c r="S449" s="151">
        <f t="shared" si="31"/>
        <v>0</v>
      </c>
      <c r="T449" s="153">
        <f>+VLOOKUP($L449,Data_Validation!$A:$D,1,0)</f>
        <v>9172</v>
      </c>
      <c r="U449" s="153" t="str">
        <f>+VLOOKUP($L449,Data_Validation!$A:$D,3,0)</f>
        <v>Véhicules usagés</v>
      </c>
      <c r="V449" s="153" t="str">
        <f>+VLOOKUP($L449,Data_Validation!$A:$D,4,0)</f>
        <v>Rev. Protections</v>
      </c>
      <c r="W449" s="153" t="str">
        <f>+VLOOKUP($L449,Data_Validation!$A:$E,5,0)</f>
        <v>$</v>
      </c>
      <c r="X449" s="153" t="str">
        <f>+VLOOKUP($L449,Data_Validation!$A:$F,6,0)</f>
        <v>Oui</v>
      </c>
    </row>
    <row r="450" spans="1:24" ht="15" customHeight="1">
      <c r="A450" s="1236" t="s">
        <v>2073</v>
      </c>
      <c r="B450" s="1237">
        <v>9173</v>
      </c>
      <c r="C450" s="1239">
        <v>-105386.7</v>
      </c>
      <c r="D450" s="1239">
        <v>-38988</v>
      </c>
      <c r="E450" s="1239">
        <v>-144374.70000000001</v>
      </c>
      <c r="F450" s="1236" t="s">
        <v>301</v>
      </c>
      <c r="G450" s="1236" t="s">
        <v>2056</v>
      </c>
      <c r="H450" s="1250"/>
      <c r="I450" s="1252"/>
      <c r="J450" s="1252"/>
      <c r="K450" s="1252"/>
      <c r="L450" s="150">
        <f t="shared" si="18"/>
        <v>9173</v>
      </c>
      <c r="M450" s="151" t="str">
        <f t="shared" si="19"/>
        <v>FRAIS ADMIN. VOLKS</v>
      </c>
      <c r="N450" s="152">
        <f>+IF(OR($Q450=Parametres!$G$2,$Q450=Parametres!$G$3),I450,C450)</f>
        <v>-105386.7</v>
      </c>
      <c r="O450" s="152">
        <f>+IF(OR($Q450=Parametres!$G$2,$Q450=Parametres!$G$3),J450,D450)</f>
        <v>-38988</v>
      </c>
      <c r="P450" s="152">
        <f>+IF(OR($Q450=Parametres!$G$2,$Q450=Parametres!$G$3),K450,E450)</f>
        <v>-144374.70000000001</v>
      </c>
      <c r="Q450" s="151" t="str">
        <f t="shared" ref="Q450:S465" si="32">+F450</f>
        <v>8-Autres revenus</v>
      </c>
      <c r="R450" s="150" t="str">
        <f t="shared" si="32"/>
        <v>9191</v>
      </c>
      <c r="S450" s="151">
        <f t="shared" si="32"/>
        <v>0</v>
      </c>
      <c r="T450" s="153">
        <f>+VLOOKUP($L450,Data_Validation!$A:$D,1,0)</f>
        <v>9173</v>
      </c>
      <c r="U450" s="153" t="str">
        <f>+VLOOKUP($L450,Data_Validation!$A:$D,3,0)</f>
        <v>Véhicules neufs</v>
      </c>
      <c r="V450" s="153" t="str">
        <f>+VLOOKUP($L450,Data_Validation!$A:$D,4,0)</f>
        <v>Frais administration</v>
      </c>
      <c r="W450" s="153" t="str">
        <f>+VLOOKUP($L450,Data_Validation!$A:$E,5,0)</f>
        <v>$</v>
      </c>
      <c r="X450" s="153">
        <f>+VLOOKUP($L450,Data_Validation!$A:$F,6,0)</f>
        <v>0</v>
      </c>
    </row>
    <row r="451" spans="1:24" ht="15" customHeight="1">
      <c r="A451" s="1236" t="s">
        <v>2055</v>
      </c>
      <c r="B451" s="1237">
        <v>9191</v>
      </c>
      <c r="C451" s="1239">
        <v>-150653.06</v>
      </c>
      <c r="D451" s="1239">
        <v>-6192.67</v>
      </c>
      <c r="E451" s="1239">
        <v>-156845.73000000001</v>
      </c>
      <c r="F451" s="1236" t="s">
        <v>301</v>
      </c>
      <c r="G451" s="1236" t="s">
        <v>2056</v>
      </c>
      <c r="H451" s="1250"/>
      <c r="I451" s="1252"/>
      <c r="J451" s="1252"/>
      <c r="K451" s="1252"/>
      <c r="L451" s="150">
        <f t="shared" si="18"/>
        <v>9191</v>
      </c>
      <c r="M451" s="151" t="str">
        <f t="shared" si="19"/>
        <v>REVENUS DIVERS</v>
      </c>
      <c r="N451" s="152">
        <f>+IF(OR($Q451=Parametres!$G$2,$Q451=Parametres!$G$3),I451,C451)</f>
        <v>-150653.06</v>
      </c>
      <c r="O451" s="152">
        <f>+IF(OR($Q451=Parametres!$G$2,$Q451=Parametres!$G$3),J451,D451)</f>
        <v>-6192.67</v>
      </c>
      <c r="P451" s="152">
        <f>+IF(OR($Q451=Parametres!$G$2,$Q451=Parametres!$G$3),K451,E451)</f>
        <v>-156845.73000000001</v>
      </c>
      <c r="Q451" s="151" t="str">
        <f t="shared" si="32"/>
        <v>8-Autres revenus</v>
      </c>
      <c r="R451" s="150" t="str">
        <f t="shared" si="32"/>
        <v>9191</v>
      </c>
      <c r="S451" s="151">
        <f t="shared" si="32"/>
        <v>0</v>
      </c>
      <c r="T451" s="153">
        <f>+VLOOKUP($L451,Data_Validation!$A:$D,1,0)</f>
        <v>9191</v>
      </c>
      <c r="U451" s="153" t="str">
        <f>+VLOOKUP($L451,Data_Validation!$A:$D,3,0)</f>
        <v>TOTAL  DES  REVENUS  ET  DÉPENSES</v>
      </c>
      <c r="V451" s="153" t="str">
        <f>+VLOOKUP($L451,Data_Validation!$A:$D,4,0)</f>
        <v>Revenus autres</v>
      </c>
      <c r="W451" s="153" t="str">
        <f>+VLOOKUP($L451,Data_Validation!$A:$E,5,0)</f>
        <v>$</v>
      </c>
      <c r="X451" s="153">
        <f>+VLOOKUP($L451,Data_Validation!$A:$F,6,0)</f>
        <v>0</v>
      </c>
    </row>
    <row r="452" spans="1:24" ht="15.75" customHeight="1">
      <c r="A452" s="1236" t="s">
        <v>2641</v>
      </c>
      <c r="B452" s="1237">
        <v>9402</v>
      </c>
      <c r="C452" s="1239">
        <v>1593.36</v>
      </c>
      <c r="D452" s="1239">
        <v>398.34</v>
      </c>
      <c r="E452" s="1239">
        <v>1991.7</v>
      </c>
      <c r="F452" s="1236" t="s">
        <v>1232</v>
      </c>
      <c r="G452" s="1236" t="s">
        <v>2169</v>
      </c>
      <c r="H452" s="1250"/>
      <c r="I452" s="1252"/>
      <c r="J452" s="1252"/>
      <c r="K452" s="1252"/>
      <c r="L452" s="150">
        <f t="shared" si="18"/>
        <v>9402</v>
      </c>
      <c r="M452" s="151" t="str">
        <f t="shared" si="19"/>
        <v>DEPENSE D'INTERETS</v>
      </c>
      <c r="N452" s="152">
        <f>+IF(OR($Q452=Parametres!$G$2,$Q452=Parametres!$G$3),I452,C452)</f>
        <v>1593.36</v>
      </c>
      <c r="O452" s="152">
        <f>+IF(OR($Q452=Parametres!$G$2,$Q452=Parametres!$G$3),J452,D452)</f>
        <v>398.34</v>
      </c>
      <c r="P452" s="152">
        <f>+IF(OR($Q452=Parametres!$G$2,$Q452=Parametres!$G$3),K452,E452)</f>
        <v>1991.7</v>
      </c>
      <c r="Q452" s="151" t="str">
        <f t="shared" si="32"/>
        <v>9-Autres déductions</v>
      </c>
      <c r="R452" s="150" t="str">
        <f t="shared" si="32"/>
        <v>9402</v>
      </c>
      <c r="S452" s="151">
        <f t="shared" si="32"/>
        <v>0</v>
      </c>
      <c r="T452" s="153">
        <f>+VLOOKUP($L452,Data_Validation!$A:$D,1,0)</f>
        <v>9402</v>
      </c>
      <c r="U452" s="153" t="str">
        <f>+VLOOKUP($L452,Data_Validation!$A:$D,3,0)</f>
        <v>TOTAL  DES  REVENUS  ET  DÉPENSES</v>
      </c>
      <c r="V452" s="153" t="str">
        <f>+VLOOKUP($L452,Data_Validation!$A:$D,4,0)</f>
        <v>Intérêts sur prêt</v>
      </c>
      <c r="W452" s="153" t="str">
        <f>+VLOOKUP($L452,Data_Validation!$A:$E,5,0)</f>
        <v>$</v>
      </c>
      <c r="X452" s="153">
        <f>+VLOOKUP($L452,Data_Validation!$A:$F,6,0)</f>
        <v>0</v>
      </c>
    </row>
    <row r="453" spans="1:24" ht="15" customHeight="1">
      <c r="A453" s="1236" t="s">
        <v>2167</v>
      </c>
      <c r="B453" s="1237">
        <v>9403</v>
      </c>
      <c r="C453" s="1239">
        <v>-5761.76</v>
      </c>
      <c r="D453" s="1239">
        <v>268.04000000000002</v>
      </c>
      <c r="E453" s="1239">
        <v>-5493.72</v>
      </c>
      <c r="F453" s="1236" t="s">
        <v>1232</v>
      </c>
      <c r="G453" s="1236" t="s">
        <v>2169</v>
      </c>
      <c r="H453" s="1250"/>
      <c r="I453" s="1252"/>
      <c r="J453" s="1252"/>
      <c r="K453" s="1252"/>
      <c r="L453" s="150">
        <f t="shared" si="18"/>
        <v>9403</v>
      </c>
      <c r="M453" s="151" t="str">
        <f t="shared" si="19"/>
        <v>INTERETS SUR MARGE CREDIT</v>
      </c>
      <c r="N453" s="152">
        <f>+IF(OR($Q453=Parametres!$G$2,$Q453=Parametres!$G$3),I453,C453)</f>
        <v>-5761.76</v>
      </c>
      <c r="O453" s="152">
        <f>+IF(OR($Q453=Parametres!$G$2,$Q453=Parametres!$G$3),J453,D453)</f>
        <v>268.04000000000002</v>
      </c>
      <c r="P453" s="152">
        <f>+IF(OR($Q453=Parametres!$G$2,$Q453=Parametres!$G$3),K453,E453)</f>
        <v>-5493.72</v>
      </c>
      <c r="Q453" s="151" t="str">
        <f t="shared" si="32"/>
        <v>9-Autres déductions</v>
      </c>
      <c r="R453" s="150" t="str">
        <f t="shared" si="32"/>
        <v>9402</v>
      </c>
      <c r="S453" s="151">
        <f t="shared" si="32"/>
        <v>0</v>
      </c>
      <c r="T453" s="153">
        <f>+VLOOKUP($L453,Data_Validation!$A:$D,1,0)</f>
        <v>9403</v>
      </c>
      <c r="U453" s="153" t="str">
        <f>+VLOOKUP($L453,Data_Validation!$A:$D,3,0)</f>
        <v>TOTAL  DES  REVENUS  ET  DÉPENSES</v>
      </c>
      <c r="V453" s="153" t="str">
        <f>+VLOOKUP($L453,Data_Validation!$A:$D,4,0)</f>
        <v>Intérêts sur marge</v>
      </c>
      <c r="W453" s="153" t="str">
        <f>+VLOOKUP($L453,Data_Validation!$A:$E,5,0)</f>
        <v>$</v>
      </c>
      <c r="X453" s="153">
        <f>+VLOOKUP($L453,Data_Validation!$A:$F,6,0)</f>
        <v>0</v>
      </c>
    </row>
    <row r="454" spans="1:24" ht="15" customHeight="1">
      <c r="A454" s="1253" t="s">
        <v>1386</v>
      </c>
      <c r="B454" s="1254">
        <v>9404</v>
      </c>
      <c r="C454" s="1255">
        <v>689</v>
      </c>
      <c r="D454" s="1255">
        <v>172.25</v>
      </c>
      <c r="E454" s="1255">
        <v>861.25</v>
      </c>
      <c r="F454" s="1253" t="s">
        <v>1232</v>
      </c>
      <c r="G454" s="1253" t="s">
        <v>2169</v>
      </c>
      <c r="H454" s="1112"/>
      <c r="I454" s="1113"/>
      <c r="J454" s="1113"/>
      <c r="K454" s="1113"/>
      <c r="L454" s="150">
        <f t="shared" si="18"/>
        <v>9404</v>
      </c>
      <c r="M454" s="151" t="str">
        <f t="shared" si="19"/>
        <v>INTERETS SUR PRET</v>
      </c>
      <c r="N454" s="152">
        <f>+IF(OR($Q454=Parametres!$G$2,$Q454=Parametres!$G$3),I454,C454)</f>
        <v>689</v>
      </c>
      <c r="O454" s="152">
        <f>+IF(OR($Q454=Parametres!$G$2,$Q454=Parametres!$G$3),J454,D454)</f>
        <v>172.25</v>
      </c>
      <c r="P454" s="152">
        <f>+IF(OR($Q454=Parametres!$G$2,$Q454=Parametres!$G$3),K454,E454)</f>
        <v>861.25</v>
      </c>
      <c r="Q454" s="151" t="str">
        <f t="shared" si="32"/>
        <v>9-Autres déductions</v>
      </c>
      <c r="R454" s="150" t="str">
        <f t="shared" si="32"/>
        <v>9402</v>
      </c>
      <c r="S454" s="151">
        <f t="shared" si="32"/>
        <v>0</v>
      </c>
      <c r="T454" s="153">
        <f>+VLOOKUP($L454,Data_Validation!$A:$D,1,0)</f>
        <v>9404</v>
      </c>
      <c r="U454" s="153" t="str">
        <f>+VLOOKUP($L454,Data_Validation!$A:$D,3,0)</f>
        <v>TOTAL  DES  REVENUS  ET  DÉPENSES</v>
      </c>
      <c r="V454" s="153" t="str">
        <f>+VLOOKUP($L454,Data_Validation!$A:$D,4,0)</f>
        <v>Intérêts sur prêt</v>
      </c>
      <c r="W454" s="153" t="str">
        <f>+VLOOKUP($L454,Data_Validation!$A:$E,5,0)</f>
        <v>$</v>
      </c>
      <c r="X454" s="153">
        <f>+VLOOKUP($L454,Data_Validation!$A:$F,6,0)</f>
        <v>0</v>
      </c>
    </row>
    <row r="455" spans="1:24" ht="15" customHeight="1">
      <c r="A455" s="1253" t="s">
        <v>1382</v>
      </c>
      <c r="B455" s="1254">
        <v>9406</v>
      </c>
      <c r="C455" s="1255">
        <v>25260.63</v>
      </c>
      <c r="D455" s="1255">
        <v>6895.21</v>
      </c>
      <c r="E455" s="1255">
        <v>32155.84</v>
      </c>
      <c r="F455" s="1253" t="s">
        <v>1232</v>
      </c>
      <c r="G455" s="1253" t="s">
        <v>2169</v>
      </c>
      <c r="H455" s="1112"/>
      <c r="I455" s="1113"/>
      <c r="J455" s="1113"/>
      <c r="K455" s="1113"/>
      <c r="L455" s="150">
        <f t="shared" si="18"/>
        <v>9406</v>
      </c>
      <c r="M455" s="151" t="str">
        <f t="shared" si="19"/>
        <v>FRAIS BANCAIRES</v>
      </c>
      <c r="N455" s="152">
        <f>+IF(OR($Q455=Parametres!$G$2,$Q455=Parametres!$G$3),I455,C455)</f>
        <v>25260.63</v>
      </c>
      <c r="O455" s="152">
        <f>+IF(OR($Q455=Parametres!$G$2,$Q455=Parametres!$G$3),J455,D455)</f>
        <v>6895.21</v>
      </c>
      <c r="P455" s="152">
        <f>+IF(OR($Q455=Parametres!$G$2,$Q455=Parametres!$G$3),K455,E455)</f>
        <v>32155.84</v>
      </c>
      <c r="Q455" s="151" t="str">
        <f t="shared" si="32"/>
        <v>9-Autres déductions</v>
      </c>
      <c r="R455" s="150" t="str">
        <f t="shared" si="32"/>
        <v>9402</v>
      </c>
      <c r="S455" s="151">
        <f t="shared" si="32"/>
        <v>0</v>
      </c>
      <c r="T455" s="153">
        <f>+VLOOKUP($L455,Data_Validation!$A:$D,1,0)</f>
        <v>9406</v>
      </c>
      <c r="U455" s="153" t="str">
        <f>+VLOOKUP($L455,Data_Validation!$A:$D,3,0)</f>
        <v>Véhicules neufs</v>
      </c>
      <c r="V455" s="153" t="str">
        <f>+VLOOKUP($L455,Data_Validation!$A:$D,4,0)</f>
        <v>Frais bancaires</v>
      </c>
      <c r="W455" s="153" t="str">
        <f>+VLOOKUP($L455,Data_Validation!$A:$E,5,0)</f>
        <v>$</v>
      </c>
      <c r="X455" s="153">
        <f>+VLOOKUP($L455,Data_Validation!$A:$F,6,0)</f>
        <v>0</v>
      </c>
    </row>
    <row r="456" spans="1:24" ht="15.75" customHeight="1">
      <c r="A456" s="1253"/>
      <c r="B456" s="1254"/>
      <c r="C456" s="1255"/>
      <c r="D456" s="1255"/>
      <c r="E456" s="1255"/>
      <c r="F456" s="1253"/>
      <c r="G456" s="1253"/>
      <c r="H456" s="1112"/>
      <c r="I456" s="1113"/>
      <c r="J456" s="1113"/>
      <c r="K456" s="1113"/>
      <c r="L456" s="150">
        <f t="shared" si="18"/>
        <v>0</v>
      </c>
      <c r="M456" s="151">
        <f t="shared" si="19"/>
        <v>0</v>
      </c>
      <c r="N456" s="152">
        <f>+IF(OR($Q456=Parametres!$G$2,$Q456=Parametres!$G$3),I456,C456)</f>
        <v>0</v>
      </c>
      <c r="O456" s="152">
        <f>+IF(OR($Q456=Parametres!$G$2,$Q456=Parametres!$G$3),J456,D456)</f>
        <v>0</v>
      </c>
      <c r="P456" s="152">
        <f>+IF(OR($Q456=Parametres!$G$2,$Q456=Parametres!$G$3),K456,E456)</f>
        <v>0</v>
      </c>
      <c r="Q456" s="151">
        <f t="shared" si="32"/>
        <v>0</v>
      </c>
      <c r="R456" s="150">
        <f t="shared" si="32"/>
        <v>0</v>
      </c>
      <c r="S456" s="151">
        <f t="shared" si="32"/>
        <v>0</v>
      </c>
      <c r="T456" s="153" t="e">
        <f>+VLOOKUP($L456,Data_Validation!$A:$D,1,0)</f>
        <v>#N/A</v>
      </c>
      <c r="U456" s="153" t="e">
        <f>+VLOOKUP($L456,Data_Validation!$A:$D,3,0)</f>
        <v>#N/A</v>
      </c>
      <c r="V456" s="153" t="e">
        <f>+VLOOKUP($L456,Data_Validation!$A:$D,4,0)</f>
        <v>#N/A</v>
      </c>
      <c r="W456" s="153" t="e">
        <f>+VLOOKUP($L456,Data_Validation!$A:$E,5,0)</f>
        <v>#N/A</v>
      </c>
      <c r="X456" s="153" t="e">
        <f>+VLOOKUP($L456,Data_Validation!$A:$F,6,0)</f>
        <v>#N/A</v>
      </c>
    </row>
    <row r="457" spans="1:24" ht="15" customHeight="1">
      <c r="A457" s="1253"/>
      <c r="B457" s="1254"/>
      <c r="C457" s="1255"/>
      <c r="D457" s="1255"/>
      <c r="E457" s="1255"/>
      <c r="F457" s="1253"/>
      <c r="G457" s="1253"/>
      <c r="H457" s="1112"/>
      <c r="I457" s="1113"/>
      <c r="J457" s="1113"/>
      <c r="K457" s="1113"/>
      <c r="L457" s="150">
        <f t="shared" si="18"/>
        <v>0</v>
      </c>
      <c r="M457" s="151">
        <f t="shared" si="19"/>
        <v>0</v>
      </c>
      <c r="N457" s="152">
        <f>+IF(OR($Q457=Parametres!$G$2,$Q457=Parametres!$G$3),I457,C457)</f>
        <v>0</v>
      </c>
      <c r="O457" s="152">
        <f>+IF(OR($Q457=Parametres!$G$2,$Q457=Parametres!$G$3),J457,D457)</f>
        <v>0</v>
      </c>
      <c r="P457" s="152">
        <f>+IF(OR($Q457=Parametres!$G$2,$Q457=Parametres!$G$3),K457,E457)</f>
        <v>0</v>
      </c>
      <c r="Q457" s="151">
        <f t="shared" si="32"/>
        <v>0</v>
      </c>
      <c r="R457" s="150">
        <f t="shared" si="32"/>
        <v>0</v>
      </c>
      <c r="S457" s="151">
        <f t="shared" si="32"/>
        <v>0</v>
      </c>
      <c r="T457" s="153" t="e">
        <f>+VLOOKUP($L457,Data_Validation!$A:$D,1,0)</f>
        <v>#N/A</v>
      </c>
      <c r="U457" s="153" t="e">
        <f>+VLOOKUP($L457,Data_Validation!$A:$D,3,0)</f>
        <v>#N/A</v>
      </c>
      <c r="V457" s="153" t="e">
        <f>+VLOOKUP($L457,Data_Validation!$A:$D,4,0)</f>
        <v>#N/A</v>
      </c>
      <c r="W457" s="153" t="e">
        <f>+VLOOKUP($L457,Data_Validation!$A:$E,5,0)</f>
        <v>#N/A</v>
      </c>
      <c r="X457" s="153" t="e">
        <f>+VLOOKUP($L457,Data_Validation!$A:$F,6,0)</f>
        <v>#N/A</v>
      </c>
    </row>
    <row r="458" spans="1:24" ht="15" customHeight="1">
      <c r="A458" s="1117"/>
      <c r="B458" s="1118"/>
      <c r="C458" s="1116"/>
      <c r="D458" s="1116"/>
      <c r="E458" s="1116"/>
      <c r="F458" s="1117"/>
      <c r="G458" s="1117"/>
      <c r="H458" s="1112"/>
      <c r="I458" s="1113"/>
      <c r="J458" s="1113"/>
      <c r="K458" s="1113"/>
      <c r="L458" s="150">
        <f t="shared" si="18"/>
        <v>0</v>
      </c>
      <c r="M458" s="151">
        <f t="shared" si="19"/>
        <v>0</v>
      </c>
      <c r="N458" s="152">
        <f>+IF(OR($Q458=Parametres!$G$2,$Q458=Parametres!$G$3),I458,C458)</f>
        <v>0</v>
      </c>
      <c r="O458" s="152">
        <f>+IF(OR($Q458=Parametres!$G$2,$Q458=Parametres!$G$3),J458,D458)</f>
        <v>0</v>
      </c>
      <c r="P458" s="152">
        <f>+IF(OR($Q458=Parametres!$G$2,$Q458=Parametres!$G$3),K458,E458)</f>
        <v>0</v>
      </c>
      <c r="Q458" s="151">
        <f t="shared" si="32"/>
        <v>0</v>
      </c>
      <c r="R458" s="150">
        <f t="shared" si="32"/>
        <v>0</v>
      </c>
      <c r="S458" s="151">
        <f t="shared" si="32"/>
        <v>0</v>
      </c>
      <c r="T458" s="153" t="e">
        <f>+VLOOKUP($L458,Data_Validation!$A:$D,1,0)</f>
        <v>#N/A</v>
      </c>
      <c r="U458" s="153" t="e">
        <f>+VLOOKUP($L458,Data_Validation!$A:$D,3,0)</f>
        <v>#N/A</v>
      </c>
      <c r="V458" s="153" t="e">
        <f>+VLOOKUP($L458,Data_Validation!$A:$D,4,0)</f>
        <v>#N/A</v>
      </c>
      <c r="W458" s="153" t="e">
        <f>+VLOOKUP($L458,Data_Validation!$A:$E,5,0)</f>
        <v>#N/A</v>
      </c>
      <c r="X458" s="153" t="e">
        <f>+VLOOKUP($L458,Data_Validation!$A:$F,6,0)</f>
        <v>#N/A</v>
      </c>
    </row>
    <row r="459" spans="1:24" ht="15" customHeight="1">
      <c r="A459" s="1117"/>
      <c r="B459" s="1118"/>
      <c r="C459" s="1116"/>
      <c r="D459" s="1116"/>
      <c r="E459" s="1116"/>
      <c r="F459" s="1117"/>
      <c r="G459" s="1117"/>
      <c r="H459" s="1112"/>
      <c r="I459" s="1113"/>
      <c r="J459" s="1113"/>
      <c r="K459" s="1113"/>
      <c r="L459" s="150">
        <f t="shared" si="18"/>
        <v>0</v>
      </c>
      <c r="M459" s="151">
        <f t="shared" si="19"/>
        <v>0</v>
      </c>
      <c r="N459" s="152">
        <f>+IF(OR($Q459=Parametres!$G$2,$Q459=Parametres!$G$3),I459,C459)</f>
        <v>0</v>
      </c>
      <c r="O459" s="152">
        <f>+IF(OR($Q459=Parametres!$G$2,$Q459=Parametres!$G$3),J459,D459)</f>
        <v>0</v>
      </c>
      <c r="P459" s="152">
        <f>+IF(OR($Q459=Parametres!$G$2,$Q459=Parametres!$G$3),K459,E459)</f>
        <v>0</v>
      </c>
      <c r="Q459" s="151">
        <f t="shared" si="32"/>
        <v>0</v>
      </c>
      <c r="R459" s="150">
        <f t="shared" si="32"/>
        <v>0</v>
      </c>
      <c r="S459" s="151">
        <f t="shared" si="32"/>
        <v>0</v>
      </c>
      <c r="T459" s="153" t="e">
        <f>+VLOOKUP($L459,Data_Validation!$A:$D,1,0)</f>
        <v>#N/A</v>
      </c>
      <c r="U459" s="153" t="e">
        <f>+VLOOKUP($L459,Data_Validation!$A:$D,3,0)</f>
        <v>#N/A</v>
      </c>
      <c r="V459" s="153" t="e">
        <f>+VLOOKUP($L459,Data_Validation!$A:$D,4,0)</f>
        <v>#N/A</v>
      </c>
      <c r="W459" s="153" t="e">
        <f>+VLOOKUP($L459,Data_Validation!$A:$E,5,0)</f>
        <v>#N/A</v>
      </c>
      <c r="X459" s="153" t="e">
        <f>+VLOOKUP($L459,Data_Validation!$A:$F,6,0)</f>
        <v>#N/A</v>
      </c>
    </row>
    <row r="460" spans="1:24" ht="15" customHeight="1">
      <c r="A460" s="1117"/>
      <c r="B460" s="1118"/>
      <c r="C460" s="1116"/>
      <c r="D460" s="1116"/>
      <c r="E460" s="1116"/>
      <c r="F460" s="1117"/>
      <c r="G460" s="1117"/>
      <c r="H460" s="1112"/>
      <c r="I460" s="1113"/>
      <c r="J460" s="1113"/>
      <c r="K460" s="1113"/>
      <c r="L460" s="150">
        <f t="shared" si="18"/>
        <v>0</v>
      </c>
      <c r="M460" s="151">
        <f t="shared" si="19"/>
        <v>0</v>
      </c>
      <c r="N460" s="152">
        <f>+IF(OR($Q460=Parametres!$G$2,$Q460=Parametres!$G$3),I460,C460)</f>
        <v>0</v>
      </c>
      <c r="O460" s="152">
        <f>+IF(OR($Q460=Parametres!$G$2,$Q460=Parametres!$G$3),J460,D460)</f>
        <v>0</v>
      </c>
      <c r="P460" s="152">
        <f>+IF(OR($Q460=Parametres!$G$2,$Q460=Parametres!$G$3),K460,E460)</f>
        <v>0</v>
      </c>
      <c r="Q460" s="151">
        <f t="shared" si="32"/>
        <v>0</v>
      </c>
      <c r="R460" s="150">
        <f t="shared" si="32"/>
        <v>0</v>
      </c>
      <c r="S460" s="151">
        <f t="shared" si="32"/>
        <v>0</v>
      </c>
      <c r="T460" s="153" t="e">
        <f>+VLOOKUP($L460,Data_Validation!$A:$D,1,0)</f>
        <v>#N/A</v>
      </c>
      <c r="U460" s="153" t="e">
        <f>+VLOOKUP($L460,Data_Validation!$A:$D,3,0)</f>
        <v>#N/A</v>
      </c>
      <c r="V460" s="153" t="e">
        <f>+VLOOKUP($L460,Data_Validation!$A:$D,4,0)</f>
        <v>#N/A</v>
      </c>
      <c r="W460" s="153" t="e">
        <f>+VLOOKUP($L460,Data_Validation!$A:$E,5,0)</f>
        <v>#N/A</v>
      </c>
      <c r="X460" s="153" t="e">
        <f>+VLOOKUP($L460,Data_Validation!$A:$F,6,0)</f>
        <v>#N/A</v>
      </c>
    </row>
    <row r="461" spans="1:24" ht="15" customHeight="1">
      <c r="A461" s="1117"/>
      <c r="B461" s="1118"/>
      <c r="C461" s="1116"/>
      <c r="D461" s="1116"/>
      <c r="E461" s="1116"/>
      <c r="F461" s="1117"/>
      <c r="G461" s="1117"/>
      <c r="H461" s="1112"/>
      <c r="I461" s="1113"/>
      <c r="J461" s="1113"/>
      <c r="K461" s="1113"/>
      <c r="L461" s="150">
        <f t="shared" si="18"/>
        <v>0</v>
      </c>
      <c r="M461" s="151">
        <f t="shared" si="19"/>
        <v>0</v>
      </c>
      <c r="N461" s="152">
        <f>+IF(OR($Q461=Parametres!$G$2,$Q461=Parametres!$G$3),I461,C461)</f>
        <v>0</v>
      </c>
      <c r="O461" s="152">
        <f>+IF(OR($Q461=Parametres!$G$2,$Q461=Parametres!$G$3),J461,D461)</f>
        <v>0</v>
      </c>
      <c r="P461" s="152">
        <f>+IF(OR($Q461=Parametres!$G$2,$Q461=Parametres!$G$3),K461,E461)</f>
        <v>0</v>
      </c>
      <c r="Q461" s="151">
        <f t="shared" si="32"/>
        <v>0</v>
      </c>
      <c r="R461" s="150">
        <f t="shared" si="32"/>
        <v>0</v>
      </c>
      <c r="S461" s="151">
        <f t="shared" si="32"/>
        <v>0</v>
      </c>
      <c r="T461" s="153" t="e">
        <f>+VLOOKUP($L461,Data_Validation!$A:$D,1,0)</f>
        <v>#N/A</v>
      </c>
      <c r="U461" s="153" t="e">
        <f>+VLOOKUP($L461,Data_Validation!$A:$D,3,0)</f>
        <v>#N/A</v>
      </c>
      <c r="V461" s="153" t="e">
        <f>+VLOOKUP($L461,Data_Validation!$A:$D,4,0)</f>
        <v>#N/A</v>
      </c>
      <c r="W461" s="153" t="e">
        <f>+VLOOKUP($L461,Data_Validation!$A:$E,5,0)</f>
        <v>#N/A</v>
      </c>
      <c r="X461" s="153" t="e">
        <f>+VLOOKUP($L461,Data_Validation!$A:$F,6,0)</f>
        <v>#N/A</v>
      </c>
    </row>
    <row r="462" spans="1:24" ht="15.75" customHeight="1">
      <c r="A462" s="1117"/>
      <c r="B462" s="1118"/>
      <c r="C462" s="1116"/>
      <c r="D462" s="1116"/>
      <c r="E462" s="1116"/>
      <c r="F462" s="1117"/>
      <c r="G462" s="1117"/>
      <c r="H462" s="1112"/>
      <c r="I462" s="1113"/>
      <c r="J462" s="1113"/>
      <c r="K462" s="1113"/>
      <c r="L462" s="150">
        <f t="shared" si="18"/>
        <v>0</v>
      </c>
      <c r="M462" s="151">
        <f t="shared" si="19"/>
        <v>0</v>
      </c>
      <c r="N462" s="152">
        <f>+IF(OR($Q462=Parametres!$G$2,$Q462=Parametres!$G$3),I462,C462)</f>
        <v>0</v>
      </c>
      <c r="O462" s="152">
        <f>+IF(OR($Q462=Parametres!$G$2,$Q462=Parametres!$G$3),J462,D462)</f>
        <v>0</v>
      </c>
      <c r="P462" s="152">
        <f>+IF(OR($Q462=Parametres!$G$2,$Q462=Parametres!$G$3),K462,E462)</f>
        <v>0</v>
      </c>
      <c r="Q462" s="151">
        <f t="shared" si="32"/>
        <v>0</v>
      </c>
      <c r="R462" s="150">
        <f t="shared" si="32"/>
        <v>0</v>
      </c>
      <c r="S462" s="151">
        <f t="shared" si="32"/>
        <v>0</v>
      </c>
      <c r="T462" s="153" t="e">
        <f>+VLOOKUP($L462,Data_Validation!$A:$D,1,0)</f>
        <v>#N/A</v>
      </c>
      <c r="U462" s="153" t="e">
        <f>+VLOOKUP($L462,Data_Validation!$A:$D,3,0)</f>
        <v>#N/A</v>
      </c>
      <c r="V462" s="153" t="e">
        <f>+VLOOKUP($L462,Data_Validation!$A:$D,4,0)</f>
        <v>#N/A</v>
      </c>
      <c r="W462" s="153" t="e">
        <f>+VLOOKUP($L462,Data_Validation!$A:$E,5,0)</f>
        <v>#N/A</v>
      </c>
      <c r="X462" s="153" t="e">
        <f>+VLOOKUP($L462,Data_Validation!$A:$F,6,0)</f>
        <v>#N/A</v>
      </c>
    </row>
    <row r="463" spans="1:24" ht="15" customHeight="1">
      <c r="A463" s="1117"/>
      <c r="B463" s="1118"/>
      <c r="C463" s="1116"/>
      <c r="D463" s="1116"/>
      <c r="E463" s="1116"/>
      <c r="F463" s="1117"/>
      <c r="G463" s="1117"/>
      <c r="H463" s="1112"/>
      <c r="I463" s="1113"/>
      <c r="J463" s="1113"/>
      <c r="K463" s="1113"/>
      <c r="L463" s="150">
        <f t="shared" si="18"/>
        <v>0</v>
      </c>
      <c r="M463" s="151">
        <f t="shared" si="19"/>
        <v>0</v>
      </c>
      <c r="N463" s="152">
        <f>+IF(OR($Q463=Parametres!$G$2,$Q463=Parametres!$G$3),I463,C463)</f>
        <v>0</v>
      </c>
      <c r="O463" s="152">
        <f>+IF(OR($Q463=Parametres!$G$2,$Q463=Parametres!$G$3),J463,D463)</f>
        <v>0</v>
      </c>
      <c r="P463" s="152">
        <f>+IF(OR($Q463=Parametres!$G$2,$Q463=Parametres!$G$3),K463,E463)</f>
        <v>0</v>
      </c>
      <c r="Q463" s="151">
        <f t="shared" si="32"/>
        <v>0</v>
      </c>
      <c r="R463" s="150">
        <f t="shared" si="32"/>
        <v>0</v>
      </c>
      <c r="S463" s="151">
        <f t="shared" si="32"/>
        <v>0</v>
      </c>
      <c r="T463" s="153" t="e">
        <f>+VLOOKUP($L463,Data_Validation!$A:$D,1,0)</f>
        <v>#N/A</v>
      </c>
      <c r="U463" s="153" t="e">
        <f>+VLOOKUP($L463,Data_Validation!$A:$D,3,0)</f>
        <v>#N/A</v>
      </c>
      <c r="V463" s="153" t="e">
        <f>+VLOOKUP($L463,Data_Validation!$A:$D,4,0)</f>
        <v>#N/A</v>
      </c>
      <c r="W463" s="153" t="e">
        <f>+VLOOKUP($L463,Data_Validation!$A:$E,5,0)</f>
        <v>#N/A</v>
      </c>
      <c r="X463" s="153" t="e">
        <f>+VLOOKUP($L463,Data_Validation!$A:$F,6,0)</f>
        <v>#N/A</v>
      </c>
    </row>
    <row r="464" spans="1:24" ht="15" customHeight="1">
      <c r="A464" s="1117"/>
      <c r="B464" s="1118"/>
      <c r="C464" s="1116"/>
      <c r="D464" s="1116"/>
      <c r="E464" s="1116"/>
      <c r="F464" s="1117"/>
      <c r="G464" s="1117"/>
      <c r="H464" s="1112"/>
      <c r="I464" s="1113"/>
      <c r="J464" s="1113"/>
      <c r="K464" s="1113"/>
      <c r="L464" s="150">
        <f t="shared" si="18"/>
        <v>0</v>
      </c>
      <c r="M464" s="151">
        <f t="shared" si="19"/>
        <v>0</v>
      </c>
      <c r="N464" s="152">
        <f>+IF(OR($Q464=Parametres!$G$2,$Q464=Parametres!$G$3),I464,C464)</f>
        <v>0</v>
      </c>
      <c r="O464" s="152">
        <f>+IF(OR($Q464=Parametres!$G$2,$Q464=Parametres!$G$3),J464,D464)</f>
        <v>0</v>
      </c>
      <c r="P464" s="152">
        <f>+IF(OR($Q464=Parametres!$G$2,$Q464=Parametres!$G$3),K464,E464)</f>
        <v>0</v>
      </c>
      <c r="Q464" s="151">
        <f t="shared" si="32"/>
        <v>0</v>
      </c>
      <c r="R464" s="150">
        <f t="shared" si="32"/>
        <v>0</v>
      </c>
      <c r="S464" s="151">
        <f t="shared" si="32"/>
        <v>0</v>
      </c>
      <c r="T464" s="153" t="e">
        <f>+VLOOKUP($L464,Data_Validation!$A:$D,1,0)</f>
        <v>#N/A</v>
      </c>
      <c r="U464" s="153" t="e">
        <f>+VLOOKUP($L464,Data_Validation!$A:$D,3,0)</f>
        <v>#N/A</v>
      </c>
      <c r="V464" s="153" t="e">
        <f>+VLOOKUP($L464,Data_Validation!$A:$D,4,0)</f>
        <v>#N/A</v>
      </c>
      <c r="W464" s="153" t="e">
        <f>+VLOOKUP($L464,Data_Validation!$A:$E,5,0)</f>
        <v>#N/A</v>
      </c>
      <c r="X464" s="153" t="e">
        <f>+VLOOKUP($L464,Data_Validation!$A:$F,6,0)</f>
        <v>#N/A</v>
      </c>
    </row>
    <row r="465" spans="1:24" ht="15" customHeight="1">
      <c r="A465" s="1117"/>
      <c r="B465" s="1118"/>
      <c r="C465" s="1116"/>
      <c r="D465" s="1116"/>
      <c r="E465" s="1116"/>
      <c r="F465" s="1117"/>
      <c r="G465" s="1117"/>
      <c r="H465" s="1112"/>
      <c r="I465" s="1113"/>
      <c r="J465" s="1113"/>
      <c r="K465" s="1113"/>
      <c r="L465" s="150">
        <f t="shared" si="18"/>
        <v>0</v>
      </c>
      <c r="M465" s="151">
        <f t="shared" si="19"/>
        <v>0</v>
      </c>
      <c r="N465" s="152">
        <f>+IF(OR($Q465=Parametres!$G$2,$Q465=Parametres!$G$3),I465,C465)</f>
        <v>0</v>
      </c>
      <c r="O465" s="152">
        <f>+IF(OR($Q465=Parametres!$G$2,$Q465=Parametres!$G$3),J465,D465)</f>
        <v>0</v>
      </c>
      <c r="P465" s="152">
        <f>+IF(OR($Q465=Parametres!$G$2,$Q465=Parametres!$G$3),K465,E465)</f>
        <v>0</v>
      </c>
      <c r="Q465" s="151">
        <f t="shared" si="32"/>
        <v>0</v>
      </c>
      <c r="R465" s="150">
        <f t="shared" si="32"/>
        <v>0</v>
      </c>
      <c r="S465" s="151">
        <f t="shared" si="32"/>
        <v>0</v>
      </c>
      <c r="T465" s="153" t="e">
        <f>+VLOOKUP($L465,Data_Validation!$A:$D,1,0)</f>
        <v>#N/A</v>
      </c>
      <c r="U465" s="153" t="e">
        <f>+VLOOKUP($L465,Data_Validation!$A:$D,3,0)</f>
        <v>#N/A</v>
      </c>
      <c r="V465" s="153" t="e">
        <f>+VLOOKUP($L465,Data_Validation!$A:$D,4,0)</f>
        <v>#N/A</v>
      </c>
      <c r="W465" s="153" t="e">
        <f>+VLOOKUP($L465,Data_Validation!$A:$E,5,0)</f>
        <v>#N/A</v>
      </c>
      <c r="X465" s="153" t="e">
        <f>+VLOOKUP($L465,Data_Validation!$A:$F,6,0)</f>
        <v>#N/A</v>
      </c>
    </row>
    <row r="466" spans="1:24" ht="15" customHeight="1">
      <c r="A466" s="1117"/>
      <c r="B466" s="1118"/>
      <c r="C466" s="1116"/>
      <c r="D466" s="1116"/>
      <c r="E466" s="1116"/>
      <c r="F466" s="1117"/>
      <c r="G466" s="1117"/>
      <c r="H466" s="1112"/>
      <c r="I466" s="1113"/>
      <c r="J466" s="1113"/>
      <c r="K466" s="1113"/>
      <c r="L466" s="150">
        <f t="shared" si="18"/>
        <v>0</v>
      </c>
      <c r="M466" s="151">
        <f t="shared" si="19"/>
        <v>0</v>
      </c>
      <c r="N466" s="152">
        <f>+IF(OR($Q466=Parametres!$G$2,$Q466=Parametres!$G$3),I466,C466)</f>
        <v>0</v>
      </c>
      <c r="O466" s="152">
        <f>+IF(OR($Q466=Parametres!$G$2,$Q466=Parametres!$G$3),J466,D466)</f>
        <v>0</v>
      </c>
      <c r="P466" s="152">
        <f>+IF(OR($Q466=Parametres!$G$2,$Q466=Parametres!$G$3),K466,E466)</f>
        <v>0</v>
      </c>
      <c r="Q466" s="151">
        <f t="shared" ref="Q466:S481" si="33">+F466</f>
        <v>0</v>
      </c>
      <c r="R466" s="150">
        <f t="shared" si="33"/>
        <v>0</v>
      </c>
      <c r="S466" s="151">
        <f t="shared" si="33"/>
        <v>0</v>
      </c>
      <c r="T466" s="153" t="e">
        <f>+VLOOKUP($L466,Data_Validation!$A:$D,1,0)</f>
        <v>#N/A</v>
      </c>
      <c r="U466" s="153" t="e">
        <f>+VLOOKUP($L466,Data_Validation!$A:$D,3,0)</f>
        <v>#N/A</v>
      </c>
      <c r="V466" s="153" t="e">
        <f>+VLOOKUP($L466,Data_Validation!$A:$D,4,0)</f>
        <v>#N/A</v>
      </c>
      <c r="W466" s="153" t="e">
        <f>+VLOOKUP($L466,Data_Validation!$A:$E,5,0)</f>
        <v>#N/A</v>
      </c>
      <c r="X466" s="153" t="e">
        <f>+VLOOKUP($L466,Data_Validation!$A:$F,6,0)</f>
        <v>#N/A</v>
      </c>
    </row>
    <row r="467" spans="1:24" ht="15.75" customHeight="1">
      <c r="A467" s="1117"/>
      <c r="B467" s="1118"/>
      <c r="C467" s="1116"/>
      <c r="D467" s="1116"/>
      <c r="E467" s="1116"/>
      <c r="F467" s="1117"/>
      <c r="G467" s="1117"/>
      <c r="H467" s="1112"/>
      <c r="I467" s="1113"/>
      <c r="J467" s="1113"/>
      <c r="K467" s="1113"/>
      <c r="L467" s="150">
        <f t="shared" si="18"/>
        <v>0</v>
      </c>
      <c r="M467" s="151">
        <f t="shared" si="19"/>
        <v>0</v>
      </c>
      <c r="N467" s="152">
        <f>+IF(OR($Q467=Parametres!$G$2,$Q467=Parametres!$G$3),I467,C467)</f>
        <v>0</v>
      </c>
      <c r="O467" s="152">
        <f>+IF(OR($Q467=Parametres!$G$2,$Q467=Parametres!$G$3),J467,D467)</f>
        <v>0</v>
      </c>
      <c r="P467" s="152">
        <f>+IF(OR($Q467=Parametres!$G$2,$Q467=Parametres!$G$3),K467,E467)</f>
        <v>0</v>
      </c>
      <c r="Q467" s="151">
        <f t="shared" si="33"/>
        <v>0</v>
      </c>
      <c r="R467" s="150">
        <f t="shared" si="33"/>
        <v>0</v>
      </c>
      <c r="S467" s="151">
        <f t="shared" si="33"/>
        <v>0</v>
      </c>
      <c r="T467" s="153" t="e">
        <f>+VLOOKUP($L467,Data_Validation!$A:$D,1,0)</f>
        <v>#N/A</v>
      </c>
      <c r="U467" s="153" t="e">
        <f>+VLOOKUP($L467,Data_Validation!$A:$D,3,0)</f>
        <v>#N/A</v>
      </c>
      <c r="V467" s="153" t="e">
        <f>+VLOOKUP($L467,Data_Validation!$A:$D,4,0)</f>
        <v>#N/A</v>
      </c>
      <c r="W467" s="153" t="e">
        <f>+VLOOKUP($L467,Data_Validation!$A:$E,5,0)</f>
        <v>#N/A</v>
      </c>
      <c r="X467" s="153" t="e">
        <f>+VLOOKUP($L467,Data_Validation!$A:$F,6,0)</f>
        <v>#N/A</v>
      </c>
    </row>
    <row r="468" spans="1:24" ht="15" customHeight="1">
      <c r="A468" s="1117"/>
      <c r="B468" s="1118"/>
      <c r="C468" s="1116"/>
      <c r="D468" s="1116"/>
      <c r="E468" s="1116"/>
      <c r="F468" s="1117"/>
      <c r="G468" s="1117"/>
      <c r="H468" s="1112"/>
      <c r="I468" s="1113"/>
      <c r="J468" s="1113"/>
      <c r="K468" s="1113"/>
      <c r="L468" s="150">
        <f t="shared" si="18"/>
        <v>0</v>
      </c>
      <c r="M468" s="151">
        <f t="shared" si="19"/>
        <v>0</v>
      </c>
      <c r="N468" s="152">
        <f>+IF(OR($Q468=Parametres!$G$2,$Q468=Parametres!$G$3),I468,C468)</f>
        <v>0</v>
      </c>
      <c r="O468" s="152">
        <f>+IF(OR($Q468=Parametres!$G$2,$Q468=Parametres!$G$3),J468,D468)</f>
        <v>0</v>
      </c>
      <c r="P468" s="152">
        <f>+IF(OR($Q468=Parametres!$G$2,$Q468=Parametres!$G$3),K468,E468)</f>
        <v>0</v>
      </c>
      <c r="Q468" s="151">
        <f t="shared" si="33"/>
        <v>0</v>
      </c>
      <c r="R468" s="150">
        <f t="shared" si="33"/>
        <v>0</v>
      </c>
      <c r="S468" s="151">
        <f t="shared" si="33"/>
        <v>0</v>
      </c>
      <c r="T468" s="153" t="e">
        <f>+VLOOKUP($L468,Data_Validation!$A:$D,1,0)</f>
        <v>#N/A</v>
      </c>
      <c r="U468" s="153" t="e">
        <f>+VLOOKUP($L468,Data_Validation!$A:$D,3,0)</f>
        <v>#N/A</v>
      </c>
      <c r="V468" s="153" t="e">
        <f>+VLOOKUP($L468,Data_Validation!$A:$D,4,0)</f>
        <v>#N/A</v>
      </c>
      <c r="W468" s="153" t="e">
        <f>+VLOOKUP($L468,Data_Validation!$A:$E,5,0)</f>
        <v>#N/A</v>
      </c>
      <c r="X468" s="153" t="e">
        <f>+VLOOKUP($L468,Data_Validation!$A:$F,6,0)</f>
        <v>#N/A</v>
      </c>
    </row>
    <row r="469" spans="1:24" ht="15" customHeight="1">
      <c r="A469" s="1117"/>
      <c r="B469" s="1118"/>
      <c r="C469" s="1116"/>
      <c r="D469" s="1116"/>
      <c r="E469" s="1116"/>
      <c r="F469" s="1117"/>
      <c r="G469" s="1117"/>
      <c r="H469" s="1112"/>
      <c r="I469" s="1113"/>
      <c r="J469" s="1113"/>
      <c r="K469" s="1113"/>
      <c r="L469" s="150">
        <f t="shared" si="18"/>
        <v>0</v>
      </c>
      <c r="M469" s="151">
        <f t="shared" si="19"/>
        <v>0</v>
      </c>
      <c r="N469" s="152">
        <f>+IF(OR($Q469=Parametres!$G$2,$Q469=Parametres!$G$3),I469,C469)</f>
        <v>0</v>
      </c>
      <c r="O469" s="152">
        <f>+IF(OR($Q469=Parametres!$G$2,$Q469=Parametres!$G$3),J469,D469)</f>
        <v>0</v>
      </c>
      <c r="P469" s="152">
        <f>+IF(OR($Q469=Parametres!$G$2,$Q469=Parametres!$G$3),K469,E469)</f>
        <v>0</v>
      </c>
      <c r="Q469" s="151">
        <f t="shared" si="33"/>
        <v>0</v>
      </c>
      <c r="R469" s="150">
        <f t="shared" si="33"/>
        <v>0</v>
      </c>
      <c r="S469" s="151">
        <f t="shared" si="33"/>
        <v>0</v>
      </c>
      <c r="T469" s="153" t="e">
        <f>+VLOOKUP($L469,Data_Validation!$A:$D,1,0)</f>
        <v>#N/A</v>
      </c>
      <c r="U469" s="153" t="e">
        <f>+VLOOKUP($L469,Data_Validation!$A:$D,3,0)</f>
        <v>#N/A</v>
      </c>
      <c r="V469" s="153" t="e">
        <f>+VLOOKUP($L469,Data_Validation!$A:$D,4,0)</f>
        <v>#N/A</v>
      </c>
      <c r="W469" s="153" t="e">
        <f>+VLOOKUP($L469,Data_Validation!$A:$E,5,0)</f>
        <v>#N/A</v>
      </c>
      <c r="X469" s="153" t="e">
        <f>+VLOOKUP($L469,Data_Validation!$A:$F,6,0)</f>
        <v>#N/A</v>
      </c>
    </row>
    <row r="470" spans="1:24" ht="15" customHeight="1">
      <c r="A470" s="1117"/>
      <c r="B470" s="1118"/>
      <c r="C470" s="1116"/>
      <c r="D470" s="1116"/>
      <c r="E470" s="1116"/>
      <c r="F470" s="1117"/>
      <c r="G470" s="1117"/>
      <c r="H470" s="1112"/>
      <c r="I470" s="1113"/>
      <c r="J470" s="1113"/>
      <c r="K470" s="1113"/>
      <c r="L470" s="150">
        <f t="shared" si="18"/>
        <v>0</v>
      </c>
      <c r="M470" s="151">
        <f t="shared" si="19"/>
        <v>0</v>
      </c>
      <c r="N470" s="152">
        <f>+IF(OR($Q470=Parametres!$G$2,$Q470=Parametres!$G$3),I470,C470)</f>
        <v>0</v>
      </c>
      <c r="O470" s="152">
        <f>+IF(OR($Q470=Parametres!$G$2,$Q470=Parametres!$G$3),J470,D470)</f>
        <v>0</v>
      </c>
      <c r="P470" s="152">
        <f>+IF(OR($Q470=Parametres!$G$2,$Q470=Parametres!$G$3),K470,E470)</f>
        <v>0</v>
      </c>
      <c r="Q470" s="151">
        <f t="shared" si="33"/>
        <v>0</v>
      </c>
      <c r="R470" s="150">
        <f t="shared" si="33"/>
        <v>0</v>
      </c>
      <c r="S470" s="151">
        <f t="shared" si="33"/>
        <v>0</v>
      </c>
      <c r="T470" s="153" t="e">
        <f>+VLOOKUP($L470,Data_Validation!$A:$D,1,0)</f>
        <v>#N/A</v>
      </c>
      <c r="U470" s="153" t="e">
        <f>+VLOOKUP($L470,Data_Validation!$A:$D,3,0)</f>
        <v>#N/A</v>
      </c>
      <c r="V470" s="153" t="e">
        <f>+VLOOKUP($L470,Data_Validation!$A:$D,4,0)</f>
        <v>#N/A</v>
      </c>
      <c r="W470" s="153" t="e">
        <f>+VLOOKUP($L470,Data_Validation!$A:$E,5,0)</f>
        <v>#N/A</v>
      </c>
      <c r="X470" s="153" t="e">
        <f>+VLOOKUP($L470,Data_Validation!$A:$F,6,0)</f>
        <v>#N/A</v>
      </c>
    </row>
    <row r="471" spans="1:24" ht="15" customHeight="1">
      <c r="A471" s="1117"/>
      <c r="B471" s="1118"/>
      <c r="C471" s="1116"/>
      <c r="D471" s="1116"/>
      <c r="E471" s="1116"/>
      <c r="F471" s="1117"/>
      <c r="G471" s="1117"/>
      <c r="H471" s="1112"/>
      <c r="I471" s="1113"/>
      <c r="J471" s="1113"/>
      <c r="K471" s="1113"/>
      <c r="L471" s="150">
        <f t="shared" si="18"/>
        <v>0</v>
      </c>
      <c r="M471" s="151">
        <f t="shared" si="19"/>
        <v>0</v>
      </c>
      <c r="N471" s="152">
        <f>+IF(OR($Q471=Parametres!$G$2,$Q471=Parametres!$G$3),I471,C471)</f>
        <v>0</v>
      </c>
      <c r="O471" s="569">
        <f>+IF(OR($Q471=Parametres!$G$2,$Q471=Parametres!$G$3),J471,D471)</f>
        <v>0</v>
      </c>
      <c r="P471" s="152">
        <f>+IF(OR($Q471=Parametres!$G$2,$Q471=Parametres!$G$3),K471,E471)</f>
        <v>0</v>
      </c>
      <c r="Q471" s="151">
        <f t="shared" si="33"/>
        <v>0</v>
      </c>
      <c r="R471" s="150">
        <f t="shared" si="33"/>
        <v>0</v>
      </c>
      <c r="S471" s="151">
        <f t="shared" si="33"/>
        <v>0</v>
      </c>
      <c r="T471" s="153" t="e">
        <f>+VLOOKUP($L471,Data_Validation!$A:$D,1,0)</f>
        <v>#N/A</v>
      </c>
      <c r="U471" s="153" t="e">
        <f>+VLOOKUP($L471,Data_Validation!$A:$D,3,0)</f>
        <v>#N/A</v>
      </c>
      <c r="V471" s="153" t="e">
        <f>+VLOOKUP($L471,Data_Validation!$A:$D,4,0)</f>
        <v>#N/A</v>
      </c>
      <c r="W471" s="153" t="e">
        <f>+VLOOKUP($L471,Data_Validation!$A:$E,5,0)</f>
        <v>#N/A</v>
      </c>
      <c r="X471" s="153" t="e">
        <f>+VLOOKUP($L471,Data_Validation!$A:$F,6,0)</f>
        <v>#N/A</v>
      </c>
    </row>
    <row r="472" spans="1:24" ht="15" customHeight="1">
      <c r="A472" s="1117"/>
      <c r="B472" s="1118"/>
      <c r="C472" s="1116"/>
      <c r="D472" s="1116"/>
      <c r="E472" s="1116"/>
      <c r="F472" s="1117"/>
      <c r="G472" s="1117"/>
      <c r="H472" s="1112"/>
      <c r="I472" s="1113"/>
      <c r="J472" s="1113"/>
      <c r="K472" s="1113"/>
      <c r="L472" s="150">
        <f t="shared" si="18"/>
        <v>0</v>
      </c>
      <c r="M472" s="151">
        <f t="shared" si="19"/>
        <v>0</v>
      </c>
      <c r="N472" s="152">
        <f>+IF(OR($Q472=Parametres!$G$2,$Q472=Parametres!$G$3),I472,C472)</f>
        <v>0</v>
      </c>
      <c r="O472" s="152">
        <f>+IF(OR($Q472=Parametres!$G$2,$Q472=Parametres!$G$3),J472,D472)</f>
        <v>0</v>
      </c>
      <c r="P472" s="152">
        <f>+IF(OR($Q472=Parametres!$G$2,$Q472=Parametres!$G$3),K472,E472)</f>
        <v>0</v>
      </c>
      <c r="Q472" s="151">
        <f t="shared" si="33"/>
        <v>0</v>
      </c>
      <c r="R472" s="150">
        <f t="shared" si="33"/>
        <v>0</v>
      </c>
      <c r="S472" s="151">
        <f t="shared" si="33"/>
        <v>0</v>
      </c>
      <c r="T472" s="153" t="e">
        <f>+VLOOKUP($L472,Data_Validation!$A:$D,1,0)</f>
        <v>#N/A</v>
      </c>
      <c r="U472" s="153" t="e">
        <f>+VLOOKUP($L472,Data_Validation!$A:$D,3,0)</f>
        <v>#N/A</v>
      </c>
      <c r="V472" s="153" t="e">
        <f>+VLOOKUP($L472,Data_Validation!$A:$D,4,0)</f>
        <v>#N/A</v>
      </c>
      <c r="W472" s="153" t="e">
        <f>+VLOOKUP($L472,Data_Validation!$A:$E,5,0)</f>
        <v>#N/A</v>
      </c>
      <c r="X472" s="153" t="e">
        <f>+VLOOKUP($L472,Data_Validation!$A:$F,6,0)</f>
        <v>#N/A</v>
      </c>
    </row>
    <row r="473" spans="1:24" ht="15.75" customHeight="1">
      <c r="A473" s="1117"/>
      <c r="B473" s="1118"/>
      <c r="C473" s="1116"/>
      <c r="D473" s="1116"/>
      <c r="E473" s="1116"/>
      <c r="F473" s="1117"/>
      <c r="G473" s="1117"/>
      <c r="H473" s="1112"/>
      <c r="I473" s="1113"/>
      <c r="J473" s="1113"/>
      <c r="K473" s="1113"/>
      <c r="L473" s="150">
        <f t="shared" si="18"/>
        <v>0</v>
      </c>
      <c r="M473" s="151">
        <f t="shared" si="19"/>
        <v>0</v>
      </c>
      <c r="N473" s="152">
        <f>+IF(OR($Q473=Parametres!$G$2,$Q473=Parametres!$G$3),I473,C473)</f>
        <v>0</v>
      </c>
      <c r="O473" s="152">
        <f>+IF(OR($Q473=Parametres!$G$2,$Q473=Parametres!$G$3),J473,D473)</f>
        <v>0</v>
      </c>
      <c r="P473" s="152">
        <f>+IF(OR($Q473=Parametres!$G$2,$Q473=Parametres!$G$3),K473,E473)</f>
        <v>0</v>
      </c>
      <c r="Q473" s="151">
        <f t="shared" si="33"/>
        <v>0</v>
      </c>
      <c r="R473" s="150">
        <f t="shared" si="33"/>
        <v>0</v>
      </c>
      <c r="S473" s="151">
        <f t="shared" si="33"/>
        <v>0</v>
      </c>
      <c r="T473" s="153" t="e">
        <f>+VLOOKUP($L473,Data_Validation!$A:$D,1,0)</f>
        <v>#N/A</v>
      </c>
      <c r="U473" s="153" t="e">
        <f>+VLOOKUP($L473,Data_Validation!$A:$D,3,0)</f>
        <v>#N/A</v>
      </c>
      <c r="V473" s="153" t="e">
        <f>+VLOOKUP($L473,Data_Validation!$A:$D,4,0)</f>
        <v>#N/A</v>
      </c>
      <c r="W473" s="153" t="e">
        <f>+VLOOKUP($L473,Data_Validation!$A:$E,5,0)</f>
        <v>#N/A</v>
      </c>
      <c r="X473" s="153" t="e">
        <f>+VLOOKUP($L473,Data_Validation!$A:$F,6,0)</f>
        <v>#N/A</v>
      </c>
    </row>
    <row r="474" spans="1:24" ht="15" customHeight="1">
      <c r="A474" s="1117"/>
      <c r="B474" s="1118"/>
      <c r="C474" s="1116"/>
      <c r="D474" s="1116"/>
      <c r="E474" s="1116"/>
      <c r="F474" s="1117"/>
      <c r="G474" s="1117"/>
      <c r="H474" s="1112"/>
      <c r="I474" s="1113"/>
      <c r="J474" s="1113"/>
      <c r="K474" s="1113"/>
      <c r="L474" s="150">
        <f t="shared" si="18"/>
        <v>0</v>
      </c>
      <c r="M474" s="151">
        <f t="shared" si="19"/>
        <v>0</v>
      </c>
      <c r="N474" s="152">
        <f>+IF(OR($Q474=Parametres!$G$2,$Q474=Parametres!$G$3),I474,C474)</f>
        <v>0</v>
      </c>
      <c r="O474" s="152">
        <f>+IF(OR($Q474=Parametres!$G$2,$Q474=Parametres!$G$3),J474,D474)</f>
        <v>0</v>
      </c>
      <c r="P474" s="152">
        <f>+IF(OR($Q474=Parametres!$G$2,$Q474=Parametres!$G$3),K474,E474)</f>
        <v>0</v>
      </c>
      <c r="Q474" s="151">
        <f t="shared" si="33"/>
        <v>0</v>
      </c>
      <c r="R474" s="150">
        <f t="shared" si="33"/>
        <v>0</v>
      </c>
      <c r="S474" s="151">
        <f t="shared" si="33"/>
        <v>0</v>
      </c>
      <c r="T474" s="153" t="e">
        <f>+VLOOKUP($L474,Data_Validation!$A:$D,1,0)</f>
        <v>#N/A</v>
      </c>
      <c r="U474" s="153" t="e">
        <f>+VLOOKUP($L474,Data_Validation!$A:$D,3,0)</f>
        <v>#N/A</v>
      </c>
      <c r="V474" s="153" t="e">
        <f>+VLOOKUP($L474,Data_Validation!$A:$D,4,0)</f>
        <v>#N/A</v>
      </c>
      <c r="W474" s="153" t="e">
        <f>+VLOOKUP($L474,Data_Validation!$A:$E,5,0)</f>
        <v>#N/A</v>
      </c>
      <c r="X474" s="153" t="e">
        <f>+VLOOKUP($L474,Data_Validation!$A:$F,6,0)</f>
        <v>#N/A</v>
      </c>
    </row>
    <row r="475" spans="1:24" ht="15" customHeight="1">
      <c r="A475" s="1117"/>
      <c r="B475" s="1118"/>
      <c r="C475" s="1116"/>
      <c r="D475" s="1116"/>
      <c r="E475" s="1116"/>
      <c r="F475" s="1117"/>
      <c r="G475" s="1117"/>
      <c r="H475" s="1112"/>
      <c r="I475" s="1113"/>
      <c r="J475" s="1113"/>
      <c r="K475" s="1113"/>
      <c r="L475" s="150">
        <f t="shared" si="18"/>
        <v>0</v>
      </c>
      <c r="M475" s="151">
        <f t="shared" si="19"/>
        <v>0</v>
      </c>
      <c r="N475" s="152">
        <f>+IF(OR($Q475=Parametres!$G$2,$Q475=Parametres!$G$3),I475,C475)</f>
        <v>0</v>
      </c>
      <c r="O475" s="152">
        <f>+IF(OR($Q475=Parametres!$G$2,$Q475=Parametres!$G$3),J475,D475)</f>
        <v>0</v>
      </c>
      <c r="P475" s="152">
        <f>+IF(OR($Q475=Parametres!$G$2,$Q475=Parametres!$G$3),K475,E475)</f>
        <v>0</v>
      </c>
      <c r="Q475" s="151">
        <f t="shared" si="33"/>
        <v>0</v>
      </c>
      <c r="R475" s="150">
        <f t="shared" si="33"/>
        <v>0</v>
      </c>
      <c r="S475" s="151">
        <f t="shared" si="33"/>
        <v>0</v>
      </c>
      <c r="T475" s="153" t="e">
        <f>+VLOOKUP($L475,Data_Validation!$A:$D,1,0)</f>
        <v>#N/A</v>
      </c>
      <c r="U475" s="153" t="e">
        <f>+VLOOKUP($L475,Data_Validation!$A:$D,3,0)</f>
        <v>#N/A</v>
      </c>
      <c r="V475" s="153" t="e">
        <f>+VLOOKUP($L475,Data_Validation!$A:$D,4,0)</f>
        <v>#N/A</v>
      </c>
      <c r="W475" s="153" t="e">
        <f>+VLOOKUP($L475,Data_Validation!$A:$E,5,0)</f>
        <v>#N/A</v>
      </c>
      <c r="X475" s="153" t="e">
        <f>+VLOOKUP($L475,Data_Validation!$A:$F,6,0)</f>
        <v>#N/A</v>
      </c>
    </row>
    <row r="476" spans="1:24" ht="15" customHeight="1">
      <c r="A476" s="1117"/>
      <c r="B476" s="1118"/>
      <c r="C476" s="1116"/>
      <c r="D476" s="1116"/>
      <c r="E476" s="1116"/>
      <c r="F476" s="1117"/>
      <c r="G476" s="1117"/>
      <c r="H476" s="1112"/>
      <c r="I476" s="1113"/>
      <c r="J476" s="1113"/>
      <c r="K476" s="1113"/>
      <c r="L476" s="150">
        <f t="shared" si="18"/>
        <v>0</v>
      </c>
      <c r="M476" s="151">
        <f t="shared" si="19"/>
        <v>0</v>
      </c>
      <c r="N476" s="152">
        <f>+IF(OR($Q476=Parametres!$G$2,$Q476=Parametres!$G$3),I476,C476)</f>
        <v>0</v>
      </c>
      <c r="O476" s="152">
        <f>+IF(OR($Q476=Parametres!$G$2,$Q476=Parametres!$G$3),J476,D476)</f>
        <v>0</v>
      </c>
      <c r="P476" s="152">
        <f>+IF(OR($Q476=Parametres!$G$2,$Q476=Parametres!$G$3),K476,E476)</f>
        <v>0</v>
      </c>
      <c r="Q476" s="151">
        <f t="shared" si="33"/>
        <v>0</v>
      </c>
      <c r="R476" s="150">
        <f t="shared" si="33"/>
        <v>0</v>
      </c>
      <c r="S476" s="151">
        <f t="shared" si="33"/>
        <v>0</v>
      </c>
      <c r="T476" s="153" t="e">
        <f>+VLOOKUP($L476,Data_Validation!$A:$D,1,0)</f>
        <v>#N/A</v>
      </c>
      <c r="U476" s="153" t="e">
        <f>+VLOOKUP($L476,Data_Validation!$A:$D,3,0)</f>
        <v>#N/A</v>
      </c>
      <c r="V476" s="153" t="e">
        <f>+VLOOKUP($L476,Data_Validation!$A:$D,4,0)</f>
        <v>#N/A</v>
      </c>
      <c r="W476" s="153" t="e">
        <f>+VLOOKUP($L476,Data_Validation!$A:$E,5,0)</f>
        <v>#N/A</v>
      </c>
      <c r="X476" s="153" t="e">
        <f>+VLOOKUP($L476,Data_Validation!$A:$F,6,0)</f>
        <v>#N/A</v>
      </c>
    </row>
    <row r="477" spans="1:24" ht="15.75" customHeight="1">
      <c r="A477" s="1117"/>
      <c r="B477" s="1118"/>
      <c r="C477" s="1116"/>
      <c r="D477" s="1116"/>
      <c r="E477" s="1116"/>
      <c r="F477" s="1117"/>
      <c r="G477" s="1117"/>
      <c r="H477" s="1112"/>
      <c r="I477" s="1113"/>
      <c r="J477" s="1113"/>
      <c r="K477" s="1113"/>
      <c r="L477" s="150">
        <f t="shared" si="18"/>
        <v>0</v>
      </c>
      <c r="M477" s="151">
        <f t="shared" si="19"/>
        <v>0</v>
      </c>
      <c r="N477" s="152">
        <f>+IF(OR($Q477=Parametres!$G$2,$Q477=Parametres!$G$3),I477,C477)</f>
        <v>0</v>
      </c>
      <c r="O477" s="152">
        <f>+IF(OR($Q477=Parametres!$G$2,$Q477=Parametres!$G$3),J477,D477)</f>
        <v>0</v>
      </c>
      <c r="P477" s="152">
        <f>+IF(OR($Q477=Parametres!$G$2,$Q477=Parametres!$G$3),K477,E477)</f>
        <v>0</v>
      </c>
      <c r="Q477" s="151">
        <f t="shared" si="33"/>
        <v>0</v>
      </c>
      <c r="R477" s="150">
        <f t="shared" si="33"/>
        <v>0</v>
      </c>
      <c r="S477" s="151">
        <f t="shared" si="33"/>
        <v>0</v>
      </c>
      <c r="T477" s="153" t="e">
        <f>+VLOOKUP($L477,Data_Validation!$A:$D,1,0)</f>
        <v>#N/A</v>
      </c>
      <c r="U477" s="153" t="e">
        <f>+VLOOKUP($L477,Data_Validation!$A:$D,3,0)</f>
        <v>#N/A</v>
      </c>
      <c r="V477" s="153" t="e">
        <f>+VLOOKUP($L477,Data_Validation!$A:$D,4,0)</f>
        <v>#N/A</v>
      </c>
      <c r="W477" s="153" t="e">
        <f>+VLOOKUP($L477,Data_Validation!$A:$E,5,0)</f>
        <v>#N/A</v>
      </c>
      <c r="X477" s="153" t="e">
        <f>+VLOOKUP($L477,Data_Validation!$A:$F,6,0)</f>
        <v>#N/A</v>
      </c>
    </row>
    <row r="478" spans="1:24" ht="15" customHeight="1">
      <c r="A478" s="1117"/>
      <c r="B478" s="1118"/>
      <c r="C478" s="1116"/>
      <c r="D478" s="1116"/>
      <c r="E478" s="1116"/>
      <c r="F478" s="1117"/>
      <c r="G478" s="1117"/>
      <c r="H478" s="1112"/>
      <c r="I478" s="1113"/>
      <c r="J478" s="1113"/>
      <c r="K478" s="1113"/>
      <c r="L478" s="150">
        <f t="shared" si="18"/>
        <v>0</v>
      </c>
      <c r="M478" s="151">
        <f t="shared" si="19"/>
        <v>0</v>
      </c>
      <c r="N478" s="152">
        <f>+IF(OR($Q478=Parametres!$G$2,$Q478=Parametres!$G$3),I478,C478)</f>
        <v>0</v>
      </c>
      <c r="O478" s="152">
        <f>+IF(OR($Q478=Parametres!$G$2,$Q478=Parametres!$G$3),J478,D478)</f>
        <v>0</v>
      </c>
      <c r="P478" s="152">
        <f>+IF(OR($Q478=Parametres!$G$2,$Q478=Parametres!$G$3),K478,E478)</f>
        <v>0</v>
      </c>
      <c r="Q478" s="151">
        <f t="shared" si="33"/>
        <v>0</v>
      </c>
      <c r="R478" s="150">
        <f t="shared" si="33"/>
        <v>0</v>
      </c>
      <c r="S478" s="151">
        <f t="shared" si="33"/>
        <v>0</v>
      </c>
      <c r="T478" s="153" t="e">
        <f>+VLOOKUP($L478,Data_Validation!$A:$D,1,0)</f>
        <v>#N/A</v>
      </c>
      <c r="U478" s="153" t="e">
        <f>+VLOOKUP($L478,Data_Validation!$A:$D,3,0)</f>
        <v>#N/A</v>
      </c>
      <c r="V478" s="153" t="e">
        <f>+VLOOKUP($L478,Data_Validation!$A:$D,4,0)</f>
        <v>#N/A</v>
      </c>
      <c r="W478" s="153" t="e">
        <f>+VLOOKUP($L478,Data_Validation!$A:$E,5,0)</f>
        <v>#N/A</v>
      </c>
      <c r="X478" s="153" t="e">
        <f>+VLOOKUP($L478,Data_Validation!$A:$F,6,0)</f>
        <v>#N/A</v>
      </c>
    </row>
    <row r="479" spans="1:24" ht="15" customHeight="1">
      <c r="A479" s="1117"/>
      <c r="B479" s="1118"/>
      <c r="C479" s="1116"/>
      <c r="D479" s="1116"/>
      <c r="E479" s="1116"/>
      <c r="F479" s="1117"/>
      <c r="G479" s="1117"/>
      <c r="H479" s="1112"/>
      <c r="I479" s="1113"/>
      <c r="J479" s="1113"/>
      <c r="K479" s="1113"/>
      <c r="L479" s="150">
        <f t="shared" si="18"/>
        <v>0</v>
      </c>
      <c r="M479" s="151">
        <f t="shared" si="19"/>
        <v>0</v>
      </c>
      <c r="N479" s="152">
        <f>+IF(OR($Q479=Parametres!$G$2,$Q479=Parametres!$G$3),I479,C479)</f>
        <v>0</v>
      </c>
      <c r="O479" s="152">
        <f>+IF(OR($Q479=Parametres!$G$2,$Q479=Parametres!$G$3),J479,D479)</f>
        <v>0</v>
      </c>
      <c r="P479" s="152">
        <f>+IF(OR($Q479=Parametres!$G$2,$Q479=Parametres!$G$3),K479,E479)</f>
        <v>0</v>
      </c>
      <c r="Q479" s="151">
        <f t="shared" si="33"/>
        <v>0</v>
      </c>
      <c r="R479" s="150">
        <f t="shared" si="33"/>
        <v>0</v>
      </c>
      <c r="S479" s="151">
        <f t="shared" si="33"/>
        <v>0</v>
      </c>
      <c r="T479" s="153" t="e">
        <f>+VLOOKUP($L479,Data_Validation!$A:$D,1,0)</f>
        <v>#N/A</v>
      </c>
      <c r="U479" s="153" t="e">
        <f>+VLOOKUP($L479,Data_Validation!$A:$D,3,0)</f>
        <v>#N/A</v>
      </c>
      <c r="V479" s="153" t="e">
        <f>+VLOOKUP($L479,Data_Validation!$A:$D,4,0)</f>
        <v>#N/A</v>
      </c>
      <c r="W479" s="153" t="e">
        <f>+VLOOKUP($L479,Data_Validation!$A:$E,5,0)</f>
        <v>#N/A</v>
      </c>
      <c r="X479" s="153" t="e">
        <f>+VLOOKUP($L479,Data_Validation!$A:$F,6,0)</f>
        <v>#N/A</v>
      </c>
    </row>
    <row r="480" spans="1:24" ht="15" customHeight="1">
      <c r="A480" s="1117"/>
      <c r="B480" s="1118"/>
      <c r="C480" s="1116"/>
      <c r="D480" s="1116"/>
      <c r="E480" s="1116"/>
      <c r="F480" s="1117"/>
      <c r="G480" s="1117"/>
      <c r="H480" s="1112"/>
      <c r="I480" s="1113"/>
      <c r="J480" s="1113"/>
      <c r="K480" s="1113"/>
      <c r="L480" s="150">
        <f t="shared" si="18"/>
        <v>0</v>
      </c>
      <c r="M480" s="151">
        <f t="shared" si="19"/>
        <v>0</v>
      </c>
      <c r="N480" s="152">
        <f>+IF(OR($Q480=Parametres!$G$2,$Q480=Parametres!$G$3),I480,C480)</f>
        <v>0</v>
      </c>
      <c r="O480" s="152">
        <f>+IF(OR($Q480=Parametres!$G$2,$Q480=Parametres!$G$3),J480,D480)</f>
        <v>0</v>
      </c>
      <c r="P480" s="152">
        <f>+IF(OR($Q480=Parametres!$G$2,$Q480=Parametres!$G$3),K480,E480)</f>
        <v>0</v>
      </c>
      <c r="Q480" s="151">
        <f t="shared" si="33"/>
        <v>0</v>
      </c>
      <c r="R480" s="150">
        <f t="shared" si="33"/>
        <v>0</v>
      </c>
      <c r="S480" s="151">
        <f t="shared" si="33"/>
        <v>0</v>
      </c>
      <c r="T480" s="153" t="e">
        <f>+VLOOKUP($L480,Data_Validation!$A:$D,1,0)</f>
        <v>#N/A</v>
      </c>
      <c r="U480" s="153" t="e">
        <f>+VLOOKUP($L480,Data_Validation!$A:$D,3,0)</f>
        <v>#N/A</v>
      </c>
      <c r="V480" s="153" t="e">
        <f>+VLOOKUP($L480,Data_Validation!$A:$D,4,0)</f>
        <v>#N/A</v>
      </c>
      <c r="W480" s="153" t="e">
        <f>+VLOOKUP($L480,Data_Validation!$A:$E,5,0)</f>
        <v>#N/A</v>
      </c>
      <c r="X480" s="153" t="e">
        <f>+VLOOKUP($L480,Data_Validation!$A:$F,6,0)</f>
        <v>#N/A</v>
      </c>
    </row>
    <row r="481" spans="1:24" ht="15" customHeight="1">
      <c r="A481" s="1117"/>
      <c r="B481" s="1118"/>
      <c r="C481" s="1116"/>
      <c r="D481" s="1116"/>
      <c r="E481" s="1116"/>
      <c r="F481" s="1117"/>
      <c r="G481" s="1117"/>
      <c r="H481" s="1112"/>
      <c r="I481" s="1113"/>
      <c r="J481" s="1113"/>
      <c r="K481" s="1113"/>
      <c r="L481" s="150">
        <f t="shared" si="18"/>
        <v>0</v>
      </c>
      <c r="M481" s="151">
        <f t="shared" si="19"/>
        <v>0</v>
      </c>
      <c r="N481" s="152">
        <f>+IF(OR($Q481=Parametres!$G$2,$Q481=Parametres!$G$3),I481,C481)</f>
        <v>0</v>
      </c>
      <c r="O481" s="152">
        <f>+IF(OR($Q481=Parametres!$G$2,$Q481=Parametres!$G$3),J481,D481)</f>
        <v>0</v>
      </c>
      <c r="P481" s="152">
        <f>+IF(OR($Q481=Parametres!$G$2,$Q481=Parametres!$G$3),K481,E481)</f>
        <v>0</v>
      </c>
      <c r="Q481" s="151">
        <f t="shared" si="33"/>
        <v>0</v>
      </c>
      <c r="R481" s="150">
        <f t="shared" si="33"/>
        <v>0</v>
      </c>
      <c r="S481" s="151">
        <f t="shared" si="33"/>
        <v>0</v>
      </c>
      <c r="T481" s="153" t="e">
        <f>+VLOOKUP($L481,Data_Validation!$A:$D,1,0)</f>
        <v>#N/A</v>
      </c>
      <c r="U481" s="153" t="e">
        <f>+VLOOKUP($L481,Data_Validation!$A:$D,3,0)</f>
        <v>#N/A</v>
      </c>
      <c r="V481" s="153" t="e">
        <f>+VLOOKUP($L481,Data_Validation!$A:$D,4,0)</f>
        <v>#N/A</v>
      </c>
      <c r="W481" s="153" t="e">
        <f>+VLOOKUP($L481,Data_Validation!$A:$E,5,0)</f>
        <v>#N/A</v>
      </c>
      <c r="X481" s="153" t="e">
        <f>+VLOOKUP($L481,Data_Validation!$A:$F,6,0)</f>
        <v>#N/A</v>
      </c>
    </row>
    <row r="482" spans="1:24" ht="15.75" customHeight="1">
      <c r="A482" s="1117"/>
      <c r="B482" s="1118"/>
      <c r="C482" s="1116"/>
      <c r="D482" s="1116"/>
      <c r="E482" s="1116"/>
      <c r="F482" s="1117"/>
      <c r="G482" s="1117"/>
      <c r="H482" s="1112"/>
      <c r="I482" s="1113"/>
      <c r="J482" s="1113"/>
      <c r="K482" s="1113"/>
      <c r="L482" s="150">
        <f t="shared" si="18"/>
        <v>0</v>
      </c>
      <c r="M482" s="151">
        <f t="shared" si="19"/>
        <v>0</v>
      </c>
      <c r="N482" s="152">
        <f>+IF(OR($Q482=Parametres!$G$2,$Q482=Parametres!$G$3),I482,C482)</f>
        <v>0</v>
      </c>
      <c r="O482" s="152">
        <f>+IF(OR($Q482=Parametres!$G$2,$Q482=Parametres!$G$3),J482,D482)</f>
        <v>0</v>
      </c>
      <c r="P482" s="152">
        <f>+IF(OR($Q482=Parametres!$G$2,$Q482=Parametres!$G$3),K482,E482)</f>
        <v>0</v>
      </c>
      <c r="Q482" s="151">
        <f t="shared" ref="Q482:S497" si="34">+F482</f>
        <v>0</v>
      </c>
      <c r="R482" s="150">
        <f t="shared" si="34"/>
        <v>0</v>
      </c>
      <c r="S482" s="151">
        <f t="shared" si="34"/>
        <v>0</v>
      </c>
      <c r="T482" s="153" t="e">
        <f>+VLOOKUP($L482,Data_Validation!$A:$D,1,0)</f>
        <v>#N/A</v>
      </c>
      <c r="U482" s="153" t="e">
        <f>+VLOOKUP($L482,Data_Validation!$A:$D,3,0)</f>
        <v>#N/A</v>
      </c>
      <c r="V482" s="153" t="e">
        <f>+VLOOKUP($L482,Data_Validation!$A:$D,4,0)</f>
        <v>#N/A</v>
      </c>
      <c r="W482" s="153" t="e">
        <f>+VLOOKUP($L482,Data_Validation!$A:$E,5,0)</f>
        <v>#N/A</v>
      </c>
      <c r="X482" s="153" t="e">
        <f>+VLOOKUP($L482,Data_Validation!$A:$F,6,0)</f>
        <v>#N/A</v>
      </c>
    </row>
    <row r="483" spans="1:24" ht="15" customHeight="1">
      <c r="A483" s="1117"/>
      <c r="B483" s="1118"/>
      <c r="C483" s="1116"/>
      <c r="D483" s="1116"/>
      <c r="E483" s="1116"/>
      <c r="F483" s="1117"/>
      <c r="G483" s="1117"/>
      <c r="H483" s="1112"/>
      <c r="I483" s="1113"/>
      <c r="J483" s="1113"/>
      <c r="K483" s="1113"/>
      <c r="L483" s="150">
        <f t="shared" si="18"/>
        <v>0</v>
      </c>
      <c r="M483" s="151">
        <f t="shared" si="19"/>
        <v>0</v>
      </c>
      <c r="N483" s="152">
        <f>+IF(OR($Q483=Parametres!$G$2,$Q483=Parametres!$G$3),I483,C483)</f>
        <v>0</v>
      </c>
      <c r="O483" s="152">
        <f>+IF(OR($Q483=Parametres!$G$2,$Q483=Parametres!$G$3),J483,D483)</f>
        <v>0</v>
      </c>
      <c r="P483" s="152">
        <f>+IF(OR($Q483=Parametres!$G$2,$Q483=Parametres!$G$3),K483,E483)</f>
        <v>0</v>
      </c>
      <c r="Q483" s="151">
        <f t="shared" si="34"/>
        <v>0</v>
      </c>
      <c r="R483" s="150">
        <f t="shared" si="34"/>
        <v>0</v>
      </c>
      <c r="S483" s="151">
        <f t="shared" si="34"/>
        <v>0</v>
      </c>
      <c r="T483" s="153" t="e">
        <f>+VLOOKUP($L483,Data_Validation!$A:$D,1,0)</f>
        <v>#N/A</v>
      </c>
      <c r="U483" s="153" t="e">
        <f>+VLOOKUP($L483,Data_Validation!$A:$D,3,0)</f>
        <v>#N/A</v>
      </c>
      <c r="V483" s="153" t="e">
        <f>+VLOOKUP($L483,Data_Validation!$A:$D,4,0)</f>
        <v>#N/A</v>
      </c>
      <c r="W483" s="153" t="e">
        <f>+VLOOKUP($L483,Data_Validation!$A:$E,5,0)</f>
        <v>#N/A</v>
      </c>
      <c r="X483" s="153" t="e">
        <f>+VLOOKUP($L483,Data_Validation!$A:$F,6,0)</f>
        <v>#N/A</v>
      </c>
    </row>
    <row r="484" spans="1:24" ht="15" customHeight="1">
      <c r="A484" s="1117"/>
      <c r="B484" s="1118"/>
      <c r="C484" s="1116"/>
      <c r="D484" s="1116"/>
      <c r="E484" s="1116"/>
      <c r="F484" s="1117"/>
      <c r="G484" s="1117"/>
      <c r="H484" s="1112"/>
      <c r="I484" s="1113"/>
      <c r="J484" s="1113"/>
      <c r="K484" s="1113"/>
      <c r="L484" s="150">
        <f t="shared" si="18"/>
        <v>0</v>
      </c>
      <c r="M484" s="151">
        <f t="shared" si="19"/>
        <v>0</v>
      </c>
      <c r="N484" s="152">
        <f>+IF(OR($Q484=Parametres!$G$2,$Q484=Parametres!$G$3),I484,C484)</f>
        <v>0</v>
      </c>
      <c r="O484" s="152">
        <f>+IF(OR($Q484=Parametres!$G$2,$Q484=Parametres!$G$3),J484,D484)</f>
        <v>0</v>
      </c>
      <c r="P484" s="152">
        <f>+IF(OR($Q484=Parametres!$G$2,$Q484=Parametres!$G$3),K484,E484)</f>
        <v>0</v>
      </c>
      <c r="Q484" s="151">
        <f t="shared" si="34"/>
        <v>0</v>
      </c>
      <c r="R484" s="150">
        <f t="shared" si="34"/>
        <v>0</v>
      </c>
      <c r="S484" s="151">
        <f t="shared" si="34"/>
        <v>0</v>
      </c>
      <c r="T484" s="153" t="e">
        <f>+VLOOKUP($L484,Data_Validation!$A:$D,1,0)</f>
        <v>#N/A</v>
      </c>
      <c r="U484" s="153" t="e">
        <f>+VLOOKUP($L484,Data_Validation!$A:$D,3,0)</f>
        <v>#N/A</v>
      </c>
      <c r="V484" s="153" t="e">
        <f>+VLOOKUP($L484,Data_Validation!$A:$D,4,0)</f>
        <v>#N/A</v>
      </c>
      <c r="W484" s="153" t="e">
        <f>+VLOOKUP($L484,Data_Validation!$A:$E,5,0)</f>
        <v>#N/A</v>
      </c>
      <c r="X484" s="153" t="e">
        <f>+VLOOKUP($L484,Data_Validation!$A:$F,6,0)</f>
        <v>#N/A</v>
      </c>
    </row>
    <row r="485" spans="1:24" ht="15" customHeight="1">
      <c r="A485" s="1117"/>
      <c r="B485" s="1118"/>
      <c r="C485" s="1116"/>
      <c r="D485" s="1116"/>
      <c r="E485" s="1116"/>
      <c r="F485" s="1117"/>
      <c r="G485" s="1117"/>
      <c r="H485" s="1112"/>
      <c r="I485" s="1113"/>
      <c r="J485" s="1113"/>
      <c r="K485" s="1113"/>
      <c r="L485" s="150">
        <f t="shared" si="18"/>
        <v>0</v>
      </c>
      <c r="M485" s="151">
        <f t="shared" si="19"/>
        <v>0</v>
      </c>
      <c r="N485" s="152">
        <f>+IF(OR($Q485=Parametres!$G$2,$Q485=Parametres!$G$3),I485,C485)</f>
        <v>0</v>
      </c>
      <c r="O485" s="152">
        <f>+IF(OR($Q485=Parametres!$G$2,$Q485=Parametres!$G$3),J485,D485)</f>
        <v>0</v>
      </c>
      <c r="P485" s="152">
        <f>+IF(OR($Q485=Parametres!$G$2,$Q485=Parametres!$G$3),K485,E485)</f>
        <v>0</v>
      </c>
      <c r="Q485" s="151">
        <f t="shared" si="34"/>
        <v>0</v>
      </c>
      <c r="R485" s="150">
        <f t="shared" si="34"/>
        <v>0</v>
      </c>
      <c r="S485" s="151">
        <f t="shared" si="34"/>
        <v>0</v>
      </c>
      <c r="T485" s="153" t="e">
        <f>+VLOOKUP($L485,Data_Validation!$A:$D,1,0)</f>
        <v>#N/A</v>
      </c>
      <c r="U485" s="153" t="e">
        <f>+VLOOKUP($L485,Data_Validation!$A:$D,3,0)</f>
        <v>#N/A</v>
      </c>
      <c r="V485" s="153" t="e">
        <f>+VLOOKUP($L485,Data_Validation!$A:$D,4,0)</f>
        <v>#N/A</v>
      </c>
      <c r="W485" s="153" t="e">
        <f>+VLOOKUP($L485,Data_Validation!$A:$E,5,0)</f>
        <v>#N/A</v>
      </c>
      <c r="X485" s="153" t="e">
        <f>+VLOOKUP($L485,Data_Validation!$A:$F,6,0)</f>
        <v>#N/A</v>
      </c>
    </row>
    <row r="486" spans="1:24" ht="15.75" customHeight="1">
      <c r="A486" s="1117"/>
      <c r="B486" s="1118"/>
      <c r="C486" s="1116"/>
      <c r="D486" s="1116"/>
      <c r="E486" s="1116"/>
      <c r="F486" s="1117"/>
      <c r="G486" s="1117"/>
      <c r="H486" s="1112"/>
      <c r="I486" s="1113"/>
      <c r="J486" s="1113"/>
      <c r="K486" s="1113"/>
      <c r="L486" s="150">
        <f t="shared" si="18"/>
        <v>0</v>
      </c>
      <c r="M486" s="151">
        <f t="shared" si="19"/>
        <v>0</v>
      </c>
      <c r="N486" s="152">
        <f>+IF(OR($Q486=Parametres!$G$2,$Q486=Parametres!$G$3),I486,C486)</f>
        <v>0</v>
      </c>
      <c r="O486" s="152">
        <f>+IF(OR($Q486=Parametres!$G$2,$Q486=Parametres!$G$3),J486,D486)</f>
        <v>0</v>
      </c>
      <c r="P486" s="152">
        <f>+IF(OR($Q486=Parametres!$G$2,$Q486=Parametres!$G$3),K486,E486)</f>
        <v>0</v>
      </c>
      <c r="Q486" s="151">
        <f t="shared" si="34"/>
        <v>0</v>
      </c>
      <c r="R486" s="150">
        <f t="shared" si="34"/>
        <v>0</v>
      </c>
      <c r="S486" s="151">
        <f t="shared" si="34"/>
        <v>0</v>
      </c>
      <c r="T486" s="153" t="e">
        <f>+VLOOKUP($L486,Data_Validation!$A:$D,1,0)</f>
        <v>#N/A</v>
      </c>
      <c r="U486" s="153" t="e">
        <f>+VLOOKUP($L486,Data_Validation!$A:$D,3,0)</f>
        <v>#N/A</v>
      </c>
      <c r="V486" s="153" t="e">
        <f>+VLOOKUP($L486,Data_Validation!$A:$D,4,0)</f>
        <v>#N/A</v>
      </c>
      <c r="W486" s="153" t="e">
        <f>+VLOOKUP($L486,Data_Validation!$A:$E,5,0)</f>
        <v>#N/A</v>
      </c>
      <c r="X486" s="153" t="e">
        <f>+VLOOKUP($L486,Data_Validation!$A:$F,6,0)</f>
        <v>#N/A</v>
      </c>
    </row>
    <row r="487" spans="1:24" ht="15" customHeight="1">
      <c r="A487" s="1117"/>
      <c r="B487" s="1118"/>
      <c r="C487" s="1116"/>
      <c r="D487" s="1116"/>
      <c r="E487" s="1116"/>
      <c r="F487" s="1117"/>
      <c r="G487" s="1117"/>
      <c r="H487" s="1112"/>
      <c r="I487" s="1113"/>
      <c r="J487" s="1113"/>
      <c r="K487" s="1113"/>
      <c r="L487" s="150">
        <f t="shared" si="18"/>
        <v>0</v>
      </c>
      <c r="M487" s="151">
        <f t="shared" si="19"/>
        <v>0</v>
      </c>
      <c r="N487" s="152">
        <f>+IF(OR($Q487=Parametres!$G$2,$Q487=Parametres!$G$3),I487,C487)</f>
        <v>0</v>
      </c>
      <c r="O487" s="152">
        <f>+IF(OR($Q487=Parametres!$G$2,$Q487=Parametres!$G$3),J487,D487)</f>
        <v>0</v>
      </c>
      <c r="P487" s="152">
        <f>+IF(OR($Q487=Parametres!$G$2,$Q487=Parametres!$G$3),K487,E487)</f>
        <v>0</v>
      </c>
      <c r="Q487" s="151">
        <f t="shared" si="34"/>
        <v>0</v>
      </c>
      <c r="R487" s="150">
        <f t="shared" si="34"/>
        <v>0</v>
      </c>
      <c r="S487" s="151">
        <f t="shared" si="34"/>
        <v>0</v>
      </c>
      <c r="T487" s="153" t="e">
        <f>+VLOOKUP($L487,Data_Validation!$A:$D,1,0)</f>
        <v>#N/A</v>
      </c>
      <c r="U487" s="153" t="e">
        <f>+VLOOKUP($L487,Data_Validation!$A:$D,3,0)</f>
        <v>#N/A</v>
      </c>
      <c r="V487" s="153" t="e">
        <f>+VLOOKUP($L487,Data_Validation!$A:$D,4,0)</f>
        <v>#N/A</v>
      </c>
      <c r="W487" s="153" t="e">
        <f>+VLOOKUP($L487,Data_Validation!$A:$E,5,0)</f>
        <v>#N/A</v>
      </c>
      <c r="X487" s="153" t="e">
        <f>+VLOOKUP($L487,Data_Validation!$A:$F,6,0)</f>
        <v>#N/A</v>
      </c>
    </row>
    <row r="488" spans="1:24" ht="15" customHeight="1">
      <c r="A488" s="1117"/>
      <c r="B488" s="1118"/>
      <c r="C488" s="1116"/>
      <c r="D488" s="1116"/>
      <c r="E488" s="1116"/>
      <c r="F488" s="1117"/>
      <c r="G488" s="1117"/>
      <c r="H488" s="1112"/>
      <c r="I488" s="1113"/>
      <c r="J488" s="1113"/>
      <c r="K488" s="1113"/>
      <c r="L488" s="150">
        <f t="shared" si="18"/>
        <v>0</v>
      </c>
      <c r="M488" s="151">
        <f t="shared" si="19"/>
        <v>0</v>
      </c>
      <c r="N488" s="152">
        <f>+IF(OR($Q488=Parametres!$G$2,$Q488=Parametres!$G$3),I488,C488)</f>
        <v>0</v>
      </c>
      <c r="O488" s="152">
        <f>+IF(OR($Q488=Parametres!$G$2,$Q488=Parametres!$G$3),J488,D488)</f>
        <v>0</v>
      </c>
      <c r="P488" s="152">
        <f>+IF(OR($Q488=Parametres!$G$2,$Q488=Parametres!$G$3),K488,E488)</f>
        <v>0</v>
      </c>
      <c r="Q488" s="151">
        <f t="shared" si="34"/>
        <v>0</v>
      </c>
      <c r="R488" s="150">
        <f t="shared" si="34"/>
        <v>0</v>
      </c>
      <c r="S488" s="151">
        <f t="shared" si="34"/>
        <v>0</v>
      </c>
      <c r="T488" s="153" t="e">
        <f>+VLOOKUP($L488,Data_Validation!$A:$D,1,0)</f>
        <v>#N/A</v>
      </c>
      <c r="U488" s="153" t="e">
        <f>+VLOOKUP($L488,Data_Validation!$A:$D,3,0)</f>
        <v>#N/A</v>
      </c>
      <c r="V488" s="153" t="e">
        <f>+VLOOKUP($L488,Data_Validation!$A:$D,4,0)</f>
        <v>#N/A</v>
      </c>
      <c r="W488" s="153" t="e">
        <f>+VLOOKUP($L488,Data_Validation!$A:$E,5,0)</f>
        <v>#N/A</v>
      </c>
      <c r="X488" s="153" t="e">
        <f>+VLOOKUP($L488,Data_Validation!$A:$F,6,0)</f>
        <v>#N/A</v>
      </c>
    </row>
    <row r="489" spans="1:24" ht="15" customHeight="1">
      <c r="A489" s="1117"/>
      <c r="B489" s="1118"/>
      <c r="C489" s="1116"/>
      <c r="D489" s="1116"/>
      <c r="E489" s="1116"/>
      <c r="F489" s="1117"/>
      <c r="G489" s="1117"/>
      <c r="H489" s="1112"/>
      <c r="I489" s="1113"/>
      <c r="J489" s="1113"/>
      <c r="K489" s="1113"/>
      <c r="L489" s="150">
        <f t="shared" si="18"/>
        <v>0</v>
      </c>
      <c r="M489" s="151">
        <f t="shared" si="19"/>
        <v>0</v>
      </c>
      <c r="N489" s="152">
        <f>+IF(OR($Q489=Parametres!$G$2,$Q489=Parametres!$G$3),I489,C489)</f>
        <v>0</v>
      </c>
      <c r="O489" s="152">
        <f>+IF(OR($Q489=Parametres!$G$2,$Q489=Parametres!$G$3),J489,D489)</f>
        <v>0</v>
      </c>
      <c r="P489" s="152">
        <f>+IF(OR($Q489=Parametres!$G$2,$Q489=Parametres!$G$3),K489,E489)</f>
        <v>0</v>
      </c>
      <c r="Q489" s="151">
        <f t="shared" si="34"/>
        <v>0</v>
      </c>
      <c r="R489" s="150">
        <f t="shared" si="34"/>
        <v>0</v>
      </c>
      <c r="S489" s="151">
        <f t="shared" si="34"/>
        <v>0</v>
      </c>
      <c r="T489" s="153" t="e">
        <f>+VLOOKUP($L489,Data_Validation!$A:$D,1,0)</f>
        <v>#N/A</v>
      </c>
      <c r="U489" s="153" t="e">
        <f>+VLOOKUP($L489,Data_Validation!$A:$D,3,0)</f>
        <v>#N/A</v>
      </c>
      <c r="V489" s="153" t="e">
        <f>+VLOOKUP($L489,Data_Validation!$A:$D,4,0)</f>
        <v>#N/A</v>
      </c>
      <c r="W489" s="153" t="e">
        <f>+VLOOKUP($L489,Data_Validation!$A:$E,5,0)</f>
        <v>#N/A</v>
      </c>
      <c r="X489" s="153" t="e">
        <f>+VLOOKUP($L489,Data_Validation!$A:$F,6,0)</f>
        <v>#N/A</v>
      </c>
    </row>
    <row r="490" spans="1:24" ht="15" customHeight="1">
      <c r="A490" s="1117"/>
      <c r="B490" s="1118"/>
      <c r="C490" s="1116"/>
      <c r="D490" s="1116"/>
      <c r="E490" s="1116"/>
      <c r="F490" s="1117"/>
      <c r="G490" s="1117"/>
      <c r="H490" s="1112"/>
      <c r="I490" s="1113"/>
      <c r="J490" s="1113"/>
      <c r="K490" s="1113"/>
      <c r="L490" s="150">
        <f t="shared" si="18"/>
        <v>0</v>
      </c>
      <c r="M490" s="151">
        <f t="shared" si="19"/>
        <v>0</v>
      </c>
      <c r="N490" s="152">
        <f>+IF(OR($Q490=Parametres!$G$2,$Q490=Parametres!$G$3),I490,C490)</f>
        <v>0</v>
      </c>
      <c r="O490" s="152">
        <f>+IF(OR($Q490=Parametres!$G$2,$Q490=Parametres!$G$3),J490,D490)</f>
        <v>0</v>
      </c>
      <c r="P490" s="152">
        <f>+IF(OR($Q490=Parametres!$G$2,$Q490=Parametres!$G$3),K490,E490)</f>
        <v>0</v>
      </c>
      <c r="Q490" s="151">
        <f t="shared" si="34"/>
        <v>0</v>
      </c>
      <c r="R490" s="150">
        <f t="shared" si="34"/>
        <v>0</v>
      </c>
      <c r="S490" s="151">
        <f t="shared" si="34"/>
        <v>0</v>
      </c>
      <c r="T490" s="153" t="e">
        <f>+VLOOKUP($L490,Data_Validation!$A:$D,1,0)</f>
        <v>#N/A</v>
      </c>
      <c r="U490" s="153" t="e">
        <f>+VLOOKUP($L490,Data_Validation!$A:$D,3,0)</f>
        <v>#N/A</v>
      </c>
      <c r="V490" s="153" t="e">
        <f>+VLOOKUP($L490,Data_Validation!$A:$D,4,0)</f>
        <v>#N/A</v>
      </c>
      <c r="W490" s="153" t="e">
        <f>+VLOOKUP($L490,Data_Validation!$A:$E,5,0)</f>
        <v>#N/A</v>
      </c>
      <c r="X490" s="153" t="e">
        <f>+VLOOKUP($L490,Data_Validation!$A:$F,6,0)</f>
        <v>#N/A</v>
      </c>
    </row>
    <row r="491" spans="1:24" ht="15.75" customHeight="1">
      <c r="A491" s="1117"/>
      <c r="B491" s="1118"/>
      <c r="C491" s="1116"/>
      <c r="D491" s="1116"/>
      <c r="E491" s="1116"/>
      <c r="F491" s="1117"/>
      <c r="G491" s="1117"/>
      <c r="H491" s="1112"/>
      <c r="I491" s="1113"/>
      <c r="J491" s="1113"/>
      <c r="K491" s="1113"/>
      <c r="L491" s="150">
        <f t="shared" si="18"/>
        <v>0</v>
      </c>
      <c r="M491" s="151">
        <f t="shared" si="19"/>
        <v>0</v>
      </c>
      <c r="N491" s="152">
        <f>+IF(OR($Q491=Parametres!$G$2,$Q491=Parametres!$G$3),I491,C491)</f>
        <v>0</v>
      </c>
      <c r="O491" s="152">
        <f>+IF(OR($Q491=Parametres!$G$2,$Q491=Parametres!$G$3),J491,D491)</f>
        <v>0</v>
      </c>
      <c r="P491" s="152">
        <f>+IF(OR($Q491=Parametres!$G$2,$Q491=Parametres!$G$3),K491,E491)</f>
        <v>0</v>
      </c>
      <c r="Q491" s="151">
        <f t="shared" si="34"/>
        <v>0</v>
      </c>
      <c r="R491" s="150">
        <f t="shared" si="34"/>
        <v>0</v>
      </c>
      <c r="S491" s="151">
        <f t="shared" si="34"/>
        <v>0</v>
      </c>
      <c r="T491" s="153" t="e">
        <f>+VLOOKUP($L491,Data_Validation!$A:$D,1,0)</f>
        <v>#N/A</v>
      </c>
      <c r="U491" s="153" t="e">
        <f>+VLOOKUP($L491,Data_Validation!$A:$D,3,0)</f>
        <v>#N/A</v>
      </c>
      <c r="V491" s="153" t="e">
        <f>+VLOOKUP($L491,Data_Validation!$A:$D,4,0)</f>
        <v>#N/A</v>
      </c>
      <c r="W491" s="153" t="e">
        <f>+VLOOKUP($L491,Data_Validation!$A:$E,5,0)</f>
        <v>#N/A</v>
      </c>
      <c r="X491" s="153" t="e">
        <f>+VLOOKUP($L491,Data_Validation!$A:$F,6,0)</f>
        <v>#N/A</v>
      </c>
    </row>
    <row r="492" spans="1:24" ht="15" customHeight="1">
      <c r="A492" s="1117"/>
      <c r="B492" s="1118"/>
      <c r="C492" s="1116"/>
      <c r="D492" s="1116"/>
      <c r="E492" s="1116"/>
      <c r="F492" s="1117"/>
      <c r="G492" s="1117"/>
      <c r="H492" s="1112"/>
      <c r="I492" s="1113"/>
      <c r="J492" s="1113"/>
      <c r="K492" s="1113"/>
      <c r="L492" s="150">
        <f t="shared" si="18"/>
        <v>0</v>
      </c>
      <c r="M492" s="151">
        <f t="shared" si="19"/>
        <v>0</v>
      </c>
      <c r="N492" s="152">
        <f>+IF(OR($Q492=Parametres!$G$2,$Q492=Parametres!$G$3),I492,C492)</f>
        <v>0</v>
      </c>
      <c r="O492" s="152">
        <f>+IF(OR($Q492=Parametres!$G$2,$Q492=Parametres!$G$3),J492,D492)</f>
        <v>0</v>
      </c>
      <c r="P492" s="152">
        <f>+IF(OR($Q492=Parametres!$G$2,$Q492=Parametres!$G$3),K492,E492)</f>
        <v>0</v>
      </c>
      <c r="Q492" s="151">
        <f t="shared" si="34"/>
        <v>0</v>
      </c>
      <c r="R492" s="150">
        <f t="shared" si="34"/>
        <v>0</v>
      </c>
      <c r="S492" s="151">
        <f t="shared" si="34"/>
        <v>0</v>
      </c>
      <c r="T492" s="153" t="e">
        <f>+VLOOKUP($L492,Data_Validation!$A:$D,1,0)</f>
        <v>#N/A</v>
      </c>
      <c r="U492" s="153" t="e">
        <f>+VLOOKUP($L492,Data_Validation!$A:$D,3,0)</f>
        <v>#N/A</v>
      </c>
      <c r="V492" s="153" t="e">
        <f>+VLOOKUP($L492,Data_Validation!$A:$D,4,0)</f>
        <v>#N/A</v>
      </c>
      <c r="W492" s="153" t="e">
        <f>+VLOOKUP($L492,Data_Validation!$A:$E,5,0)</f>
        <v>#N/A</v>
      </c>
      <c r="X492" s="153" t="e">
        <f>+VLOOKUP($L492,Data_Validation!$A:$F,6,0)</f>
        <v>#N/A</v>
      </c>
    </row>
    <row r="493" spans="1:24" ht="15" customHeight="1">
      <c r="A493" s="1117"/>
      <c r="B493" s="1118"/>
      <c r="C493" s="1116"/>
      <c r="D493" s="1116"/>
      <c r="E493" s="1116"/>
      <c r="F493" s="1117"/>
      <c r="G493" s="1117"/>
      <c r="H493" s="1112"/>
      <c r="I493" s="1113"/>
      <c r="J493" s="1113"/>
      <c r="K493" s="1113"/>
      <c r="L493" s="150">
        <f t="shared" si="18"/>
        <v>0</v>
      </c>
      <c r="M493" s="151">
        <f t="shared" si="19"/>
        <v>0</v>
      </c>
      <c r="N493" s="152">
        <f>+IF(OR($Q493=Parametres!$G$2,$Q493=Parametres!$G$3),I493,C493)</f>
        <v>0</v>
      </c>
      <c r="O493" s="152">
        <f>+IF(OR($Q493=Parametres!$G$2,$Q493=Parametres!$G$3),J493,D493)</f>
        <v>0</v>
      </c>
      <c r="P493" s="152">
        <f>+IF(OR($Q493=Parametres!$G$2,$Q493=Parametres!$G$3),K493,E493)</f>
        <v>0</v>
      </c>
      <c r="Q493" s="151">
        <f t="shared" si="34"/>
        <v>0</v>
      </c>
      <c r="R493" s="150">
        <f t="shared" si="34"/>
        <v>0</v>
      </c>
      <c r="S493" s="151">
        <f t="shared" si="34"/>
        <v>0</v>
      </c>
      <c r="T493" s="153" t="e">
        <f>+VLOOKUP($L493,Data_Validation!$A:$D,1,0)</f>
        <v>#N/A</v>
      </c>
      <c r="U493" s="153" t="e">
        <f>+VLOOKUP($L493,Data_Validation!$A:$D,3,0)</f>
        <v>#N/A</v>
      </c>
      <c r="V493" s="153" t="e">
        <f>+VLOOKUP($L493,Data_Validation!$A:$D,4,0)</f>
        <v>#N/A</v>
      </c>
      <c r="W493" s="153" t="e">
        <f>+VLOOKUP($L493,Data_Validation!$A:$E,5,0)</f>
        <v>#N/A</v>
      </c>
      <c r="X493" s="153" t="e">
        <f>+VLOOKUP($L493,Data_Validation!$A:$F,6,0)</f>
        <v>#N/A</v>
      </c>
    </row>
    <row r="494" spans="1:24" ht="15" customHeight="1">
      <c r="A494" s="1117"/>
      <c r="B494" s="1118"/>
      <c r="C494" s="1116"/>
      <c r="D494" s="1116"/>
      <c r="E494" s="1116"/>
      <c r="F494" s="1117"/>
      <c r="G494" s="1117"/>
      <c r="H494" s="1112"/>
      <c r="I494" s="1113"/>
      <c r="J494" s="1113"/>
      <c r="K494" s="1113"/>
      <c r="L494" s="150">
        <f t="shared" si="18"/>
        <v>0</v>
      </c>
      <c r="M494" s="151">
        <f t="shared" si="19"/>
        <v>0</v>
      </c>
      <c r="N494" s="152">
        <f>+IF(OR($Q494=Parametres!$G$2,$Q494=Parametres!$G$3),I494,C494)</f>
        <v>0</v>
      </c>
      <c r="O494" s="152">
        <f>+IF(OR($Q494=Parametres!$G$2,$Q494=Parametres!$G$3),J494,D494)</f>
        <v>0</v>
      </c>
      <c r="P494" s="152">
        <f>+IF(OR($Q494=Parametres!$G$2,$Q494=Parametres!$G$3),K494,E494)</f>
        <v>0</v>
      </c>
      <c r="Q494" s="151">
        <f t="shared" si="34"/>
        <v>0</v>
      </c>
      <c r="R494" s="150">
        <f t="shared" si="34"/>
        <v>0</v>
      </c>
      <c r="S494" s="151">
        <f t="shared" si="34"/>
        <v>0</v>
      </c>
      <c r="T494" s="153" t="e">
        <f>+VLOOKUP($L494,Data_Validation!$A:$D,1,0)</f>
        <v>#N/A</v>
      </c>
      <c r="U494" s="153" t="e">
        <f>+VLOOKUP($L494,Data_Validation!$A:$D,3,0)</f>
        <v>#N/A</v>
      </c>
      <c r="V494" s="153" t="e">
        <f>+VLOOKUP($L494,Data_Validation!$A:$D,4,0)</f>
        <v>#N/A</v>
      </c>
      <c r="W494" s="153" t="e">
        <f>+VLOOKUP($L494,Data_Validation!$A:$E,5,0)</f>
        <v>#N/A</v>
      </c>
      <c r="X494" s="153" t="e">
        <f>+VLOOKUP($L494,Data_Validation!$A:$F,6,0)</f>
        <v>#N/A</v>
      </c>
    </row>
    <row r="495" spans="1:24" ht="15.75" customHeight="1">
      <c r="A495" s="1117"/>
      <c r="B495" s="1118"/>
      <c r="C495" s="1116"/>
      <c r="D495" s="1116"/>
      <c r="E495" s="1116"/>
      <c r="F495" s="1117"/>
      <c r="G495" s="1117"/>
      <c r="H495" s="1112"/>
      <c r="I495" s="1113"/>
      <c r="J495" s="1113"/>
      <c r="K495" s="1113"/>
      <c r="L495" s="150">
        <f t="shared" si="18"/>
        <v>0</v>
      </c>
      <c r="M495" s="151">
        <f t="shared" si="19"/>
        <v>0</v>
      </c>
      <c r="N495" s="152">
        <f>+IF(OR($Q495=Parametres!$G$2,$Q495=Parametres!$G$3),I495,C495)</f>
        <v>0</v>
      </c>
      <c r="O495" s="152">
        <f>+IF(OR($Q495=Parametres!$G$2,$Q495=Parametres!$G$3),J495,D495)</f>
        <v>0</v>
      </c>
      <c r="P495" s="152">
        <f>+IF(OR($Q495=Parametres!$G$2,$Q495=Parametres!$G$3),K495,E495)</f>
        <v>0</v>
      </c>
      <c r="Q495" s="151">
        <f t="shared" si="34"/>
        <v>0</v>
      </c>
      <c r="R495" s="150">
        <f t="shared" si="34"/>
        <v>0</v>
      </c>
      <c r="S495" s="151">
        <f t="shared" si="34"/>
        <v>0</v>
      </c>
      <c r="T495" s="153" t="e">
        <f>+VLOOKUP($L495,Data_Validation!$A:$D,1,0)</f>
        <v>#N/A</v>
      </c>
      <c r="U495" s="153" t="e">
        <f>+VLOOKUP($L495,Data_Validation!$A:$D,3,0)</f>
        <v>#N/A</v>
      </c>
      <c r="V495" s="153" t="e">
        <f>+VLOOKUP($L495,Data_Validation!$A:$D,4,0)</f>
        <v>#N/A</v>
      </c>
      <c r="W495" s="153" t="e">
        <f>+VLOOKUP($L495,Data_Validation!$A:$E,5,0)</f>
        <v>#N/A</v>
      </c>
      <c r="X495" s="153" t="e">
        <f>+VLOOKUP($L495,Data_Validation!$A:$F,6,0)</f>
        <v>#N/A</v>
      </c>
    </row>
    <row r="496" spans="1:24" ht="15" customHeight="1">
      <c r="A496" s="1117"/>
      <c r="B496" s="1118"/>
      <c r="C496" s="1116"/>
      <c r="D496" s="1116"/>
      <c r="E496" s="1116"/>
      <c r="F496" s="1117"/>
      <c r="G496" s="1117"/>
      <c r="H496" s="1112"/>
      <c r="I496" s="1113"/>
      <c r="J496" s="1113"/>
      <c r="K496" s="1113"/>
      <c r="L496" s="150">
        <f t="shared" si="18"/>
        <v>0</v>
      </c>
      <c r="M496" s="151">
        <f t="shared" si="19"/>
        <v>0</v>
      </c>
      <c r="N496" s="152">
        <f>+IF(OR($Q496=Parametres!$G$2,$Q496=Parametres!$G$3),I496,C496)</f>
        <v>0</v>
      </c>
      <c r="O496" s="152">
        <f>+IF(OR($Q496=Parametres!$G$2,$Q496=Parametres!$G$3),J496,D496)</f>
        <v>0</v>
      </c>
      <c r="P496" s="152">
        <f>+IF(OR($Q496=Parametres!$G$2,$Q496=Parametres!$G$3),K496,E496)</f>
        <v>0</v>
      </c>
      <c r="Q496" s="151">
        <f t="shared" si="34"/>
        <v>0</v>
      </c>
      <c r="R496" s="150">
        <f t="shared" si="34"/>
        <v>0</v>
      </c>
      <c r="S496" s="151">
        <f t="shared" si="34"/>
        <v>0</v>
      </c>
      <c r="T496" s="153" t="e">
        <f>+VLOOKUP($L496,Data_Validation!$A:$D,1,0)</f>
        <v>#N/A</v>
      </c>
      <c r="U496" s="153" t="e">
        <f>+VLOOKUP($L496,Data_Validation!$A:$D,3,0)</f>
        <v>#N/A</v>
      </c>
      <c r="V496" s="153" t="e">
        <f>+VLOOKUP($L496,Data_Validation!$A:$D,4,0)</f>
        <v>#N/A</v>
      </c>
      <c r="W496" s="153" t="e">
        <f>+VLOOKUP($L496,Data_Validation!$A:$E,5,0)</f>
        <v>#N/A</v>
      </c>
      <c r="X496" s="153" t="e">
        <f>+VLOOKUP($L496,Data_Validation!$A:$F,6,0)</f>
        <v>#N/A</v>
      </c>
    </row>
    <row r="497" spans="1:24" ht="15" customHeight="1">
      <c r="A497" s="1117"/>
      <c r="B497" s="1118"/>
      <c r="C497" s="1116"/>
      <c r="D497" s="1116"/>
      <c r="E497" s="1116"/>
      <c r="F497" s="1117"/>
      <c r="G497" s="1117"/>
      <c r="H497" s="1112"/>
      <c r="I497" s="1113"/>
      <c r="J497" s="1113"/>
      <c r="K497" s="1113"/>
      <c r="L497" s="150">
        <f t="shared" si="18"/>
        <v>0</v>
      </c>
      <c r="M497" s="151">
        <f t="shared" si="19"/>
        <v>0</v>
      </c>
      <c r="N497" s="152">
        <f>+IF(OR($Q497=Parametres!$G$2,$Q497=Parametres!$G$3),I497,C497)</f>
        <v>0</v>
      </c>
      <c r="O497" s="152">
        <f>+IF(OR($Q497=Parametres!$G$2,$Q497=Parametres!$G$3),J497,D497)</f>
        <v>0</v>
      </c>
      <c r="P497" s="152">
        <f>+IF(OR($Q497=Parametres!$G$2,$Q497=Parametres!$G$3),K497,E497)</f>
        <v>0</v>
      </c>
      <c r="Q497" s="151">
        <f t="shared" si="34"/>
        <v>0</v>
      </c>
      <c r="R497" s="150">
        <f t="shared" si="34"/>
        <v>0</v>
      </c>
      <c r="S497" s="151">
        <f t="shared" si="34"/>
        <v>0</v>
      </c>
      <c r="T497" s="153" t="e">
        <f>+VLOOKUP($L497,Data_Validation!$A:$D,1,0)</f>
        <v>#N/A</v>
      </c>
      <c r="U497" s="153" t="e">
        <f>+VLOOKUP($L497,Data_Validation!$A:$D,3,0)</f>
        <v>#N/A</v>
      </c>
      <c r="V497" s="153" t="e">
        <f>+VLOOKUP($L497,Data_Validation!$A:$D,4,0)</f>
        <v>#N/A</v>
      </c>
      <c r="W497" s="153" t="e">
        <f>+VLOOKUP($L497,Data_Validation!$A:$E,5,0)</f>
        <v>#N/A</v>
      </c>
      <c r="X497" s="153" t="e">
        <f>+VLOOKUP($L497,Data_Validation!$A:$F,6,0)</f>
        <v>#N/A</v>
      </c>
    </row>
    <row r="498" spans="1:24" ht="15" customHeight="1">
      <c r="A498" s="1117"/>
      <c r="B498" s="1118"/>
      <c r="C498" s="1116"/>
      <c r="D498" s="1116"/>
      <c r="E498" s="1116"/>
      <c r="F498" s="1117"/>
      <c r="G498" s="1117"/>
      <c r="H498" s="1112"/>
      <c r="I498" s="1113"/>
      <c r="J498" s="1113"/>
      <c r="K498" s="1113"/>
      <c r="L498" s="150">
        <f t="shared" si="18"/>
        <v>0</v>
      </c>
      <c r="M498" s="151">
        <f t="shared" si="19"/>
        <v>0</v>
      </c>
      <c r="N498" s="152">
        <f>+IF(OR($Q498=Parametres!$G$2,$Q498=Parametres!$G$3),I498,C498)</f>
        <v>0</v>
      </c>
      <c r="O498" s="152">
        <f>+IF(OR($Q498=Parametres!$G$2,$Q498=Parametres!$G$3),J498,D498)</f>
        <v>0</v>
      </c>
      <c r="P498" s="152">
        <f>+IF(OR($Q498=Parametres!$G$2,$Q498=Parametres!$G$3),K498,E498)</f>
        <v>0</v>
      </c>
      <c r="Q498" s="151">
        <f t="shared" ref="Q498:S513" si="35">+F498</f>
        <v>0</v>
      </c>
      <c r="R498" s="150">
        <f t="shared" si="35"/>
        <v>0</v>
      </c>
      <c r="S498" s="151">
        <f t="shared" si="35"/>
        <v>0</v>
      </c>
      <c r="T498" s="153" t="e">
        <f>+VLOOKUP($L498,Data_Validation!$A:$D,1,0)</f>
        <v>#N/A</v>
      </c>
      <c r="U498" s="153" t="e">
        <f>+VLOOKUP($L498,Data_Validation!$A:$D,3,0)</f>
        <v>#N/A</v>
      </c>
      <c r="V498" s="153" t="e">
        <f>+VLOOKUP($L498,Data_Validation!$A:$D,4,0)</f>
        <v>#N/A</v>
      </c>
      <c r="W498" s="153" t="e">
        <f>+VLOOKUP($L498,Data_Validation!$A:$E,5,0)</f>
        <v>#N/A</v>
      </c>
      <c r="X498" s="153" t="e">
        <f>+VLOOKUP($L498,Data_Validation!$A:$F,6,0)</f>
        <v>#N/A</v>
      </c>
    </row>
    <row r="499" spans="1:24" ht="15" customHeight="1">
      <c r="A499" s="1117"/>
      <c r="B499" s="1118"/>
      <c r="C499" s="1116"/>
      <c r="D499" s="1116"/>
      <c r="E499" s="1116"/>
      <c r="F499" s="1117"/>
      <c r="G499" s="1117"/>
      <c r="H499" s="1112"/>
      <c r="I499" s="1113"/>
      <c r="J499" s="1113"/>
      <c r="K499" s="1113"/>
      <c r="L499" s="150">
        <f t="shared" si="18"/>
        <v>0</v>
      </c>
      <c r="M499" s="151">
        <f t="shared" si="19"/>
        <v>0</v>
      </c>
      <c r="N499" s="152">
        <f>+IF(OR($Q499=Parametres!$G$2,$Q499=Parametres!$G$3),I499,C499)</f>
        <v>0</v>
      </c>
      <c r="O499" s="152">
        <f>+IF(OR($Q499=Parametres!$G$2,$Q499=Parametres!$G$3),J499,D499)</f>
        <v>0</v>
      </c>
      <c r="P499" s="152">
        <f>+IF(OR($Q499=Parametres!$G$2,$Q499=Parametres!$G$3),K499,E499)</f>
        <v>0</v>
      </c>
      <c r="Q499" s="151">
        <f t="shared" si="35"/>
        <v>0</v>
      </c>
      <c r="R499" s="150">
        <f t="shared" si="35"/>
        <v>0</v>
      </c>
      <c r="S499" s="151">
        <f t="shared" si="35"/>
        <v>0</v>
      </c>
      <c r="T499" s="153" t="e">
        <f>+VLOOKUP($L499,Data_Validation!$A:$D,1,0)</f>
        <v>#N/A</v>
      </c>
      <c r="U499" s="153" t="e">
        <f>+VLOOKUP($L499,Data_Validation!$A:$D,3,0)</f>
        <v>#N/A</v>
      </c>
      <c r="V499" s="153" t="e">
        <f>+VLOOKUP($L499,Data_Validation!$A:$D,4,0)</f>
        <v>#N/A</v>
      </c>
      <c r="W499" s="153" t="e">
        <f>+VLOOKUP($L499,Data_Validation!$A:$E,5,0)</f>
        <v>#N/A</v>
      </c>
      <c r="X499" s="153" t="e">
        <f>+VLOOKUP($L499,Data_Validation!$A:$F,6,0)</f>
        <v>#N/A</v>
      </c>
    </row>
    <row r="500" spans="1:24" ht="15.75" customHeight="1">
      <c r="A500" s="1117"/>
      <c r="B500" s="1118"/>
      <c r="C500" s="1116"/>
      <c r="D500" s="1116"/>
      <c r="E500" s="1116"/>
      <c r="F500" s="1117"/>
      <c r="G500" s="1117"/>
      <c r="H500" s="1112"/>
      <c r="I500" s="1113"/>
      <c r="J500" s="1113"/>
      <c r="K500" s="1113"/>
      <c r="L500" s="150">
        <f t="shared" si="18"/>
        <v>0</v>
      </c>
      <c r="M500" s="151">
        <f t="shared" si="19"/>
        <v>0</v>
      </c>
      <c r="N500" s="152">
        <f>+IF(OR($Q500=Parametres!$G$2,$Q500=Parametres!$G$3),I500,C500)</f>
        <v>0</v>
      </c>
      <c r="O500" s="152">
        <f>+IF(OR($Q500=Parametres!$G$2,$Q500=Parametres!$G$3),J500,D500)</f>
        <v>0</v>
      </c>
      <c r="P500" s="152">
        <f>+IF(OR($Q500=Parametres!$G$2,$Q500=Parametres!$G$3),K500,E500)</f>
        <v>0</v>
      </c>
      <c r="Q500" s="151">
        <f t="shared" si="35"/>
        <v>0</v>
      </c>
      <c r="R500" s="150">
        <f t="shared" si="35"/>
        <v>0</v>
      </c>
      <c r="S500" s="151">
        <f t="shared" si="35"/>
        <v>0</v>
      </c>
      <c r="T500" s="153" t="e">
        <f>+VLOOKUP($L500,Data_Validation!$A:$D,1,0)</f>
        <v>#N/A</v>
      </c>
      <c r="U500" s="153" t="e">
        <f>+VLOOKUP($L500,Data_Validation!$A:$D,3,0)</f>
        <v>#N/A</v>
      </c>
      <c r="V500" s="153" t="e">
        <f>+VLOOKUP($L500,Data_Validation!$A:$D,4,0)</f>
        <v>#N/A</v>
      </c>
      <c r="W500" s="153" t="e">
        <f>+VLOOKUP($L500,Data_Validation!$A:$E,5,0)</f>
        <v>#N/A</v>
      </c>
      <c r="X500" s="153" t="e">
        <f>+VLOOKUP($L500,Data_Validation!$A:$F,6,0)</f>
        <v>#N/A</v>
      </c>
    </row>
    <row r="501" spans="1:24" ht="15" customHeight="1">
      <c r="A501" s="1117"/>
      <c r="B501" s="1117"/>
      <c r="C501" s="1116"/>
      <c r="D501" s="1116"/>
      <c r="E501" s="1116"/>
      <c r="F501" s="1117"/>
      <c r="G501" s="1117"/>
      <c r="H501" s="1112"/>
      <c r="I501" s="1113"/>
      <c r="J501" s="1113"/>
      <c r="K501" s="1113"/>
      <c r="L501" s="150">
        <f t="shared" si="18"/>
        <v>0</v>
      </c>
      <c r="M501" s="151">
        <f t="shared" si="19"/>
        <v>0</v>
      </c>
      <c r="N501" s="152">
        <f>+IF(OR($Q501=Parametres!$G$2,$Q501=Parametres!$G$3),I501,C501)</f>
        <v>0</v>
      </c>
      <c r="O501" s="152">
        <f>+IF(OR($Q501=Parametres!$G$2,$Q501=Parametres!$G$3),J501,D501)</f>
        <v>0</v>
      </c>
      <c r="P501" s="152">
        <f>+IF(OR($Q501=Parametres!$G$2,$Q501=Parametres!$G$3),K501,E501)</f>
        <v>0</v>
      </c>
      <c r="Q501" s="151">
        <f t="shared" si="35"/>
        <v>0</v>
      </c>
      <c r="R501" s="150">
        <f t="shared" si="35"/>
        <v>0</v>
      </c>
      <c r="S501" s="151">
        <f t="shared" si="35"/>
        <v>0</v>
      </c>
      <c r="T501" s="153" t="e">
        <f>+VLOOKUP($L501,Data_Validation!$A:$D,1,0)</f>
        <v>#N/A</v>
      </c>
      <c r="U501" s="153" t="e">
        <f>+VLOOKUP($L501,Data_Validation!$A:$D,3,0)</f>
        <v>#N/A</v>
      </c>
      <c r="V501" s="153" t="e">
        <f>+VLOOKUP($L501,Data_Validation!$A:$D,4,0)</f>
        <v>#N/A</v>
      </c>
      <c r="W501" s="153" t="e">
        <f>+VLOOKUP($L501,Data_Validation!$A:$E,5,0)</f>
        <v>#N/A</v>
      </c>
      <c r="X501" s="153" t="e">
        <f>+VLOOKUP($L501,Data_Validation!$A:$F,6,0)</f>
        <v>#N/A</v>
      </c>
    </row>
    <row r="502" spans="1:24" ht="15" customHeight="1">
      <c r="A502" s="1117"/>
      <c r="B502" s="1117"/>
      <c r="C502" s="1116"/>
      <c r="D502" s="1116"/>
      <c r="E502" s="1116"/>
      <c r="F502" s="1117"/>
      <c r="G502" s="1117"/>
      <c r="H502" s="1112"/>
      <c r="I502" s="1113"/>
      <c r="J502" s="1113"/>
      <c r="K502" s="1113"/>
      <c r="L502" s="150">
        <f t="shared" si="18"/>
        <v>0</v>
      </c>
      <c r="M502" s="151">
        <f t="shared" si="19"/>
        <v>0</v>
      </c>
      <c r="N502" s="152">
        <f>+IF(OR($Q502=Parametres!$G$2,$Q502=Parametres!$G$3),I502,C502)</f>
        <v>0</v>
      </c>
      <c r="O502" s="152">
        <f>+IF(OR($Q502=Parametres!$G$2,$Q502=Parametres!$G$3),J502,D502)</f>
        <v>0</v>
      </c>
      <c r="P502" s="152">
        <f>+IF(OR($Q502=Parametres!$G$2,$Q502=Parametres!$G$3),K502,E502)</f>
        <v>0</v>
      </c>
      <c r="Q502" s="151">
        <f t="shared" si="35"/>
        <v>0</v>
      </c>
      <c r="R502" s="150">
        <f t="shared" si="35"/>
        <v>0</v>
      </c>
      <c r="S502" s="151">
        <f t="shared" si="35"/>
        <v>0</v>
      </c>
      <c r="T502" s="153" t="e">
        <f>+VLOOKUP($L502,Data_Validation!$A:$D,1,0)</f>
        <v>#N/A</v>
      </c>
      <c r="U502" s="153" t="e">
        <f>+VLOOKUP($L502,Data_Validation!$A:$D,3,0)</f>
        <v>#N/A</v>
      </c>
      <c r="V502" s="153" t="e">
        <f>+VLOOKUP($L502,Data_Validation!$A:$D,4,0)</f>
        <v>#N/A</v>
      </c>
      <c r="W502" s="153" t="e">
        <f>+VLOOKUP($L502,Data_Validation!$A:$E,5,0)</f>
        <v>#N/A</v>
      </c>
      <c r="X502" s="153" t="e">
        <f>+VLOOKUP($L502,Data_Validation!$A:$F,6,0)</f>
        <v>#N/A</v>
      </c>
    </row>
    <row r="503" spans="1:24" ht="15" customHeight="1">
      <c r="A503" s="1117"/>
      <c r="B503" s="1117"/>
      <c r="C503" s="1116"/>
      <c r="D503" s="1116"/>
      <c r="E503" s="1116"/>
      <c r="F503" s="1117"/>
      <c r="G503" s="1117"/>
      <c r="H503" s="1112"/>
      <c r="I503" s="1113"/>
      <c r="J503" s="1113"/>
      <c r="K503" s="1113"/>
      <c r="L503" s="150">
        <f t="shared" si="18"/>
        <v>0</v>
      </c>
      <c r="M503" s="151">
        <f t="shared" si="19"/>
        <v>0</v>
      </c>
      <c r="N503" s="152">
        <f>+IF(OR($Q503=Parametres!$G$2,$Q503=Parametres!$G$3),I503,C503)</f>
        <v>0</v>
      </c>
      <c r="O503" s="152">
        <f>+IF(OR($Q503=Parametres!$G$2,$Q503=Parametres!$G$3),J503,D503)</f>
        <v>0</v>
      </c>
      <c r="P503" s="152">
        <f>+IF(OR($Q503=Parametres!$G$2,$Q503=Parametres!$G$3),K503,E503)</f>
        <v>0</v>
      </c>
      <c r="Q503" s="151">
        <f t="shared" si="35"/>
        <v>0</v>
      </c>
      <c r="R503" s="150">
        <f t="shared" si="35"/>
        <v>0</v>
      </c>
      <c r="S503" s="151">
        <f t="shared" si="35"/>
        <v>0</v>
      </c>
      <c r="T503" s="153" t="e">
        <f>+VLOOKUP($L503,Data_Validation!$A:$D,1,0)</f>
        <v>#N/A</v>
      </c>
      <c r="U503" s="153" t="e">
        <f>+VLOOKUP($L503,Data_Validation!$A:$D,3,0)</f>
        <v>#N/A</v>
      </c>
      <c r="V503" s="153" t="e">
        <f>+VLOOKUP($L503,Data_Validation!$A:$D,4,0)</f>
        <v>#N/A</v>
      </c>
      <c r="W503" s="153" t="e">
        <f>+VLOOKUP($L503,Data_Validation!$A:$E,5,0)</f>
        <v>#N/A</v>
      </c>
      <c r="X503" s="153" t="e">
        <f>+VLOOKUP($L503,Data_Validation!$A:$F,6,0)</f>
        <v>#N/A</v>
      </c>
    </row>
    <row r="504" spans="1:24" ht="15" customHeight="1">
      <c r="A504" s="1117"/>
      <c r="B504" s="1117"/>
      <c r="C504" s="1116"/>
      <c r="D504" s="1116"/>
      <c r="E504" s="1116"/>
      <c r="F504" s="1117"/>
      <c r="G504" s="1117"/>
      <c r="H504" s="1112"/>
      <c r="I504" s="1113"/>
      <c r="J504" s="1113"/>
      <c r="K504" s="1113"/>
      <c r="L504" s="150">
        <f t="shared" si="18"/>
        <v>0</v>
      </c>
      <c r="M504" s="151">
        <f t="shared" si="19"/>
        <v>0</v>
      </c>
      <c r="N504" s="152">
        <f>+IF(OR($Q504=Parametres!$G$2,$Q504=Parametres!$G$3),I504,C504)</f>
        <v>0</v>
      </c>
      <c r="O504" s="152">
        <f>+IF(OR($Q504=Parametres!$G$2,$Q504=Parametres!$G$3),J504,D504)</f>
        <v>0</v>
      </c>
      <c r="P504" s="152">
        <f>+IF(OR($Q504=Parametres!$G$2,$Q504=Parametres!$G$3),K504,E504)</f>
        <v>0</v>
      </c>
      <c r="Q504" s="151">
        <f t="shared" si="35"/>
        <v>0</v>
      </c>
      <c r="R504" s="150">
        <f t="shared" si="35"/>
        <v>0</v>
      </c>
      <c r="S504" s="151">
        <f t="shared" si="35"/>
        <v>0</v>
      </c>
      <c r="T504" s="153" t="e">
        <f>+VLOOKUP($L504,Data_Validation!$A:$D,1,0)</f>
        <v>#N/A</v>
      </c>
      <c r="U504" s="153" t="e">
        <f>+VLOOKUP($L504,Data_Validation!$A:$D,3,0)</f>
        <v>#N/A</v>
      </c>
      <c r="V504" s="153" t="e">
        <f>+VLOOKUP($L504,Data_Validation!$A:$D,4,0)</f>
        <v>#N/A</v>
      </c>
      <c r="W504" s="153" t="e">
        <f>+VLOOKUP($L504,Data_Validation!$A:$E,5,0)</f>
        <v>#N/A</v>
      </c>
      <c r="X504" s="153" t="e">
        <f>+VLOOKUP($L504,Data_Validation!$A:$F,6,0)</f>
        <v>#N/A</v>
      </c>
    </row>
    <row r="505" spans="1:24" ht="15.75" customHeight="1">
      <c r="A505" s="1117"/>
      <c r="B505" s="1117"/>
      <c r="C505" s="1116"/>
      <c r="D505" s="1116"/>
      <c r="E505" s="1116"/>
      <c r="F505" s="1117"/>
      <c r="G505" s="1117"/>
      <c r="H505" s="1112"/>
      <c r="I505" s="1113"/>
      <c r="J505" s="1113"/>
      <c r="K505" s="1113"/>
      <c r="L505" s="150">
        <f t="shared" si="18"/>
        <v>0</v>
      </c>
      <c r="M505" s="151">
        <f t="shared" si="19"/>
        <v>0</v>
      </c>
      <c r="N505" s="152">
        <f>+IF(OR($Q505=Parametres!$G$2,$Q505=Parametres!$G$3),I505,C505)</f>
        <v>0</v>
      </c>
      <c r="O505" s="152">
        <f>+IF(OR($Q505=Parametres!$G$2,$Q505=Parametres!$G$3),J505,D505)</f>
        <v>0</v>
      </c>
      <c r="P505" s="152">
        <f>+IF(OR($Q505=Parametres!$G$2,$Q505=Parametres!$G$3),K505,E505)</f>
        <v>0</v>
      </c>
      <c r="Q505" s="151">
        <f t="shared" si="35"/>
        <v>0</v>
      </c>
      <c r="R505" s="150">
        <f t="shared" si="35"/>
        <v>0</v>
      </c>
      <c r="S505" s="151">
        <f t="shared" si="35"/>
        <v>0</v>
      </c>
      <c r="T505" s="153" t="e">
        <f>+VLOOKUP($L505,Data_Validation!$A:$D,1,0)</f>
        <v>#N/A</v>
      </c>
      <c r="U505" s="153" t="e">
        <f>+VLOOKUP($L505,Data_Validation!$A:$D,3,0)</f>
        <v>#N/A</v>
      </c>
      <c r="V505" s="153" t="e">
        <f>+VLOOKUP($L505,Data_Validation!$A:$D,4,0)</f>
        <v>#N/A</v>
      </c>
      <c r="W505" s="153" t="e">
        <f>+VLOOKUP($L505,Data_Validation!$A:$E,5,0)</f>
        <v>#N/A</v>
      </c>
      <c r="X505" s="153" t="e">
        <f>+VLOOKUP($L505,Data_Validation!$A:$F,6,0)</f>
        <v>#N/A</v>
      </c>
    </row>
    <row r="506" spans="1:24" ht="15" customHeight="1">
      <c r="A506" s="1117"/>
      <c r="B506" s="1117"/>
      <c r="C506" s="1116"/>
      <c r="D506" s="1116"/>
      <c r="E506" s="1116"/>
      <c r="F506" s="1117"/>
      <c r="G506" s="1117"/>
      <c r="H506" s="1112"/>
      <c r="I506" s="1113"/>
      <c r="J506" s="1113"/>
      <c r="K506" s="1113"/>
      <c r="L506" s="150">
        <f t="shared" si="18"/>
        <v>0</v>
      </c>
      <c r="M506" s="151">
        <f t="shared" si="19"/>
        <v>0</v>
      </c>
      <c r="N506" s="152">
        <f>+IF(OR($Q506=Parametres!$G$2,$Q506=Parametres!$G$3),I506,C506)</f>
        <v>0</v>
      </c>
      <c r="O506" s="152">
        <f>+IF(OR($Q506=Parametres!$G$2,$Q506=Parametres!$G$3),J506,D506)</f>
        <v>0</v>
      </c>
      <c r="P506" s="152">
        <f>+IF(OR($Q506=Parametres!$G$2,$Q506=Parametres!$G$3),K506,E506)</f>
        <v>0</v>
      </c>
      <c r="Q506" s="151">
        <f t="shared" si="35"/>
        <v>0</v>
      </c>
      <c r="R506" s="150">
        <f t="shared" si="35"/>
        <v>0</v>
      </c>
      <c r="S506" s="151">
        <f t="shared" si="35"/>
        <v>0</v>
      </c>
      <c r="T506" s="153" t="e">
        <f>+VLOOKUP($L506,Data_Validation!$A:$D,1,0)</f>
        <v>#N/A</v>
      </c>
      <c r="U506" s="153" t="e">
        <f>+VLOOKUP($L506,Data_Validation!$A:$D,3,0)</f>
        <v>#N/A</v>
      </c>
      <c r="V506" s="153" t="e">
        <f>+VLOOKUP($L506,Data_Validation!$A:$D,4,0)</f>
        <v>#N/A</v>
      </c>
      <c r="W506" s="153" t="e">
        <f>+VLOOKUP($L506,Data_Validation!$A:$E,5,0)</f>
        <v>#N/A</v>
      </c>
      <c r="X506" s="153" t="e">
        <f>+VLOOKUP($L506,Data_Validation!$A:$F,6,0)</f>
        <v>#N/A</v>
      </c>
    </row>
    <row r="507" spans="1:24" ht="15" customHeight="1">
      <c r="A507" s="1117"/>
      <c r="B507" s="1117"/>
      <c r="C507" s="1116"/>
      <c r="D507" s="1116"/>
      <c r="E507" s="1116"/>
      <c r="F507" s="1117"/>
      <c r="G507" s="1117"/>
      <c r="H507" s="1112"/>
      <c r="I507" s="1113"/>
      <c r="J507" s="1113"/>
      <c r="K507" s="1113"/>
      <c r="L507" s="150">
        <f t="shared" si="18"/>
        <v>0</v>
      </c>
      <c r="M507" s="151">
        <f t="shared" si="19"/>
        <v>0</v>
      </c>
      <c r="N507" s="152">
        <f>+IF(OR($Q507=Parametres!$G$2,$Q507=Parametres!$G$3),I507,C507)</f>
        <v>0</v>
      </c>
      <c r="O507" s="152">
        <f>+IF(OR($Q507=Parametres!$G$2,$Q507=Parametres!$G$3),J507,D507)</f>
        <v>0</v>
      </c>
      <c r="P507" s="152">
        <f>+IF(OR($Q507=Parametres!$G$2,$Q507=Parametres!$G$3),K507,E507)</f>
        <v>0</v>
      </c>
      <c r="Q507" s="151">
        <f t="shared" si="35"/>
        <v>0</v>
      </c>
      <c r="R507" s="150">
        <f t="shared" si="35"/>
        <v>0</v>
      </c>
      <c r="S507" s="151">
        <f t="shared" si="35"/>
        <v>0</v>
      </c>
      <c r="T507" s="153" t="e">
        <f>+VLOOKUP($L507,Data_Validation!$A:$D,1,0)</f>
        <v>#N/A</v>
      </c>
      <c r="U507" s="153" t="e">
        <f>+VLOOKUP($L507,Data_Validation!$A:$D,3,0)</f>
        <v>#N/A</v>
      </c>
      <c r="V507" s="153" t="e">
        <f>+VLOOKUP($L507,Data_Validation!$A:$D,4,0)</f>
        <v>#N/A</v>
      </c>
      <c r="W507" s="153" t="e">
        <f>+VLOOKUP($L507,Data_Validation!$A:$E,5,0)</f>
        <v>#N/A</v>
      </c>
      <c r="X507" s="153" t="e">
        <f>+VLOOKUP($L507,Data_Validation!$A:$F,6,0)</f>
        <v>#N/A</v>
      </c>
    </row>
    <row r="508" spans="1:24" ht="15" customHeight="1">
      <c r="A508" s="1117"/>
      <c r="B508" s="1117"/>
      <c r="C508" s="1116"/>
      <c r="D508" s="1116"/>
      <c r="E508" s="1116"/>
      <c r="F508" s="1117"/>
      <c r="G508" s="1117"/>
      <c r="H508" s="1112"/>
      <c r="I508" s="1113"/>
      <c r="J508" s="1113"/>
      <c r="K508" s="1113"/>
      <c r="L508" s="150">
        <f t="shared" si="18"/>
        <v>0</v>
      </c>
      <c r="M508" s="151">
        <f t="shared" si="19"/>
        <v>0</v>
      </c>
      <c r="N508" s="152">
        <f>+IF(OR($Q508=Parametres!$G$2,$Q508=Parametres!$G$3),I508,C508)</f>
        <v>0</v>
      </c>
      <c r="O508" s="152">
        <f>+IF(OR($Q508=Parametres!$G$2,$Q508=Parametres!$G$3),J508,D508)</f>
        <v>0</v>
      </c>
      <c r="P508" s="152">
        <f>+IF(OR($Q508=Parametres!$G$2,$Q508=Parametres!$G$3),K508,E508)</f>
        <v>0</v>
      </c>
      <c r="Q508" s="151">
        <f t="shared" si="35"/>
        <v>0</v>
      </c>
      <c r="R508" s="150">
        <f t="shared" si="35"/>
        <v>0</v>
      </c>
      <c r="S508" s="151">
        <f t="shared" si="35"/>
        <v>0</v>
      </c>
      <c r="T508" s="153" t="e">
        <f>+VLOOKUP($L508,Data_Validation!$A:$D,1,0)</f>
        <v>#N/A</v>
      </c>
      <c r="U508" s="153" t="e">
        <f>+VLOOKUP($L508,Data_Validation!$A:$D,3,0)</f>
        <v>#N/A</v>
      </c>
      <c r="V508" s="153" t="e">
        <f>+VLOOKUP($L508,Data_Validation!$A:$D,4,0)</f>
        <v>#N/A</v>
      </c>
      <c r="W508" s="153" t="e">
        <f>+VLOOKUP($L508,Data_Validation!$A:$E,5,0)</f>
        <v>#N/A</v>
      </c>
      <c r="X508" s="153" t="e">
        <f>+VLOOKUP($L508,Data_Validation!$A:$F,6,0)</f>
        <v>#N/A</v>
      </c>
    </row>
    <row r="509" spans="1:24" ht="15.75" customHeight="1">
      <c r="A509" s="1117"/>
      <c r="B509" s="1117"/>
      <c r="C509" s="1116"/>
      <c r="D509" s="1116"/>
      <c r="E509" s="1116"/>
      <c r="F509" s="1117"/>
      <c r="G509" s="1117"/>
      <c r="H509" s="1112"/>
      <c r="I509" s="1113"/>
      <c r="J509" s="1113"/>
      <c r="K509" s="1113"/>
      <c r="L509" s="150">
        <f t="shared" si="18"/>
        <v>0</v>
      </c>
      <c r="M509" s="151">
        <f t="shared" si="19"/>
        <v>0</v>
      </c>
      <c r="N509" s="152">
        <f>+IF(OR($Q509=Parametres!$G$2,$Q509=Parametres!$G$3),I509,C509)</f>
        <v>0</v>
      </c>
      <c r="O509" s="152">
        <f>+IF(OR($Q509=Parametres!$G$2,$Q509=Parametres!$G$3),J509,D509)</f>
        <v>0</v>
      </c>
      <c r="P509" s="152">
        <f>+IF(OR($Q509=Parametres!$G$2,$Q509=Parametres!$G$3),K509,E509)</f>
        <v>0</v>
      </c>
      <c r="Q509" s="151">
        <f t="shared" si="35"/>
        <v>0</v>
      </c>
      <c r="R509" s="150">
        <f t="shared" si="35"/>
        <v>0</v>
      </c>
      <c r="S509" s="151">
        <f t="shared" si="35"/>
        <v>0</v>
      </c>
      <c r="T509" s="153" t="e">
        <f>+VLOOKUP($L509,Data_Validation!$A:$D,1,0)</f>
        <v>#N/A</v>
      </c>
      <c r="U509" s="153" t="e">
        <f>+VLOOKUP($L509,Data_Validation!$A:$D,3,0)</f>
        <v>#N/A</v>
      </c>
      <c r="V509" s="153" t="e">
        <f>+VLOOKUP($L509,Data_Validation!$A:$D,4,0)</f>
        <v>#N/A</v>
      </c>
      <c r="W509" s="153" t="e">
        <f>+VLOOKUP($L509,Data_Validation!$A:$E,5,0)</f>
        <v>#N/A</v>
      </c>
      <c r="X509" s="153" t="e">
        <f>+VLOOKUP($L509,Data_Validation!$A:$F,6,0)</f>
        <v>#N/A</v>
      </c>
    </row>
    <row r="510" spans="1:24" ht="15" customHeight="1">
      <c r="A510" s="1117"/>
      <c r="B510" s="1117"/>
      <c r="C510" s="1116"/>
      <c r="D510" s="1116"/>
      <c r="E510" s="1116"/>
      <c r="F510" s="1117"/>
      <c r="G510" s="1117"/>
      <c r="H510" s="1112"/>
      <c r="I510" s="1113"/>
      <c r="J510" s="1113"/>
      <c r="K510" s="1113"/>
      <c r="L510" s="150">
        <f t="shared" si="18"/>
        <v>0</v>
      </c>
      <c r="M510" s="151">
        <f t="shared" si="19"/>
        <v>0</v>
      </c>
      <c r="N510" s="152">
        <f>+IF(OR($Q510=Parametres!$G$2,$Q510=Parametres!$G$3),I510,C510)</f>
        <v>0</v>
      </c>
      <c r="O510" s="152">
        <f>+IF(OR($Q510=Parametres!$G$2,$Q510=Parametres!$G$3),J510,D510)</f>
        <v>0</v>
      </c>
      <c r="P510" s="152">
        <f>+IF(OR($Q510=Parametres!$G$2,$Q510=Parametres!$G$3),K510,E510)</f>
        <v>0</v>
      </c>
      <c r="Q510" s="151">
        <f t="shared" si="35"/>
        <v>0</v>
      </c>
      <c r="R510" s="150">
        <f t="shared" si="35"/>
        <v>0</v>
      </c>
      <c r="S510" s="151">
        <f t="shared" si="35"/>
        <v>0</v>
      </c>
      <c r="T510" s="153" t="e">
        <f>+VLOOKUP($L510,Data_Validation!$A:$D,1,0)</f>
        <v>#N/A</v>
      </c>
      <c r="U510" s="153" t="e">
        <f>+VLOOKUP($L510,Data_Validation!$A:$D,3,0)</f>
        <v>#N/A</v>
      </c>
      <c r="V510" s="153" t="e">
        <f>+VLOOKUP($L510,Data_Validation!$A:$D,4,0)</f>
        <v>#N/A</v>
      </c>
      <c r="W510" s="153" t="e">
        <f>+VLOOKUP($L510,Data_Validation!$A:$E,5,0)</f>
        <v>#N/A</v>
      </c>
      <c r="X510" s="153" t="e">
        <f>+VLOOKUP($L510,Data_Validation!$A:$F,6,0)</f>
        <v>#N/A</v>
      </c>
    </row>
    <row r="511" spans="1:24" ht="15" customHeight="1">
      <c r="A511" s="1112"/>
      <c r="B511" s="1112"/>
      <c r="C511" s="1114"/>
      <c r="D511" s="1114"/>
      <c r="E511" s="1114"/>
      <c r="F511" s="1112"/>
      <c r="G511" s="1112"/>
      <c r="H511" s="1112"/>
      <c r="I511" s="1113"/>
      <c r="J511" s="1113"/>
      <c r="K511" s="1113"/>
      <c r="L511" s="150">
        <f t="shared" si="18"/>
        <v>0</v>
      </c>
      <c r="M511" s="151">
        <f t="shared" si="19"/>
        <v>0</v>
      </c>
      <c r="N511" s="152">
        <f>+IF(OR($Q511=Parametres!$G$2,$Q511=Parametres!$G$3),I511,C511)</f>
        <v>0</v>
      </c>
      <c r="O511" s="152">
        <f>+IF(OR($Q511=Parametres!$G$2,$Q511=Parametres!$G$3),J511,D511)</f>
        <v>0</v>
      </c>
      <c r="P511" s="152">
        <f>+IF(OR($Q511=Parametres!$G$2,$Q511=Parametres!$G$3),K511,E511)</f>
        <v>0</v>
      </c>
      <c r="Q511" s="151">
        <f t="shared" si="35"/>
        <v>0</v>
      </c>
      <c r="R511" s="150">
        <f t="shared" si="35"/>
        <v>0</v>
      </c>
      <c r="S511" s="151">
        <f t="shared" si="35"/>
        <v>0</v>
      </c>
      <c r="T511" s="153" t="e">
        <f>+VLOOKUP($L511,Data_Validation!$A:$D,1,0)</f>
        <v>#N/A</v>
      </c>
      <c r="U511" s="153" t="e">
        <f>+VLOOKUP($L511,Data_Validation!$A:$D,3,0)</f>
        <v>#N/A</v>
      </c>
      <c r="V511" s="153" t="e">
        <f>+VLOOKUP($L511,Data_Validation!$A:$D,4,0)</f>
        <v>#N/A</v>
      </c>
      <c r="W511" s="153" t="e">
        <f>+VLOOKUP($L511,Data_Validation!$A:$E,5,0)</f>
        <v>#N/A</v>
      </c>
      <c r="X511" s="153" t="e">
        <f>+VLOOKUP($L511,Data_Validation!$A:$F,6,0)</f>
        <v>#N/A</v>
      </c>
    </row>
    <row r="512" spans="1:24" ht="15" customHeight="1">
      <c r="A512" s="1112"/>
      <c r="B512" s="1112"/>
      <c r="C512" s="1114"/>
      <c r="D512" s="1114"/>
      <c r="E512" s="1114"/>
      <c r="F512" s="1112"/>
      <c r="G512" s="1112"/>
      <c r="H512" s="1112"/>
      <c r="I512" s="1113"/>
      <c r="J512" s="1113"/>
      <c r="K512" s="1113"/>
      <c r="L512" s="150">
        <f t="shared" ref="L512:L766" si="36">+B512</f>
        <v>0</v>
      </c>
      <c r="M512" s="151">
        <f t="shared" ref="M512:M766" si="37">+A512</f>
        <v>0</v>
      </c>
      <c r="N512" s="152">
        <f>+IF(OR($Q512=Parametres!$G$2,$Q512=Parametres!$G$3),I512,C512)</f>
        <v>0</v>
      </c>
      <c r="O512" s="152">
        <f>+IF(OR($Q512=Parametres!$G$2,$Q512=Parametres!$G$3),J512,D512)</f>
        <v>0</v>
      </c>
      <c r="P512" s="152">
        <f>+IF(OR($Q512=Parametres!$G$2,$Q512=Parametres!$G$3),K512,E512)</f>
        <v>0</v>
      </c>
      <c r="Q512" s="151">
        <f t="shared" si="35"/>
        <v>0</v>
      </c>
      <c r="R512" s="150">
        <f t="shared" si="35"/>
        <v>0</v>
      </c>
      <c r="S512" s="151">
        <f t="shared" si="35"/>
        <v>0</v>
      </c>
      <c r="T512" s="153" t="e">
        <f>+VLOOKUP($L512,Data_Validation!$A:$D,1,0)</f>
        <v>#N/A</v>
      </c>
      <c r="U512" s="153" t="e">
        <f>+VLOOKUP($L512,Data_Validation!$A:$D,3,0)</f>
        <v>#N/A</v>
      </c>
      <c r="V512" s="153" t="e">
        <f>+VLOOKUP($L512,Data_Validation!$A:$D,4,0)</f>
        <v>#N/A</v>
      </c>
      <c r="W512" s="153" t="e">
        <f>+VLOOKUP($L512,Data_Validation!$A:$E,5,0)</f>
        <v>#N/A</v>
      </c>
      <c r="X512" s="153" t="e">
        <f>+VLOOKUP($L512,Data_Validation!$A:$F,6,0)</f>
        <v>#N/A</v>
      </c>
    </row>
    <row r="513" spans="1:24" ht="15.75" customHeight="1">
      <c r="A513" s="1112"/>
      <c r="B513" s="1112"/>
      <c r="C513" s="1114"/>
      <c r="D513" s="1114"/>
      <c r="E513" s="1114"/>
      <c r="F513" s="1112"/>
      <c r="G513" s="1112"/>
      <c r="H513" s="1112"/>
      <c r="I513" s="1113"/>
      <c r="J513" s="1113"/>
      <c r="K513" s="1113"/>
      <c r="L513" s="150">
        <f t="shared" si="36"/>
        <v>0</v>
      </c>
      <c r="M513" s="151">
        <f t="shared" si="37"/>
        <v>0</v>
      </c>
      <c r="N513" s="152">
        <f>+IF(OR($Q513=Parametres!$G$2,$Q513=Parametres!$G$3),I513,C513)</f>
        <v>0</v>
      </c>
      <c r="O513" s="152">
        <f>+IF(OR($Q513=Parametres!$G$2,$Q513=Parametres!$G$3),J513,D513)</f>
        <v>0</v>
      </c>
      <c r="P513" s="152">
        <f>+IF(OR($Q513=Parametres!$G$2,$Q513=Parametres!$G$3),K513,E513)</f>
        <v>0</v>
      </c>
      <c r="Q513" s="151">
        <f t="shared" si="35"/>
        <v>0</v>
      </c>
      <c r="R513" s="150">
        <f t="shared" si="35"/>
        <v>0</v>
      </c>
      <c r="S513" s="151">
        <f t="shared" si="35"/>
        <v>0</v>
      </c>
      <c r="T513" s="153" t="e">
        <f>+VLOOKUP($L513,Data_Validation!$A:$D,1,0)</f>
        <v>#N/A</v>
      </c>
      <c r="U513" s="153" t="e">
        <f>+VLOOKUP($L513,Data_Validation!$A:$D,3,0)</f>
        <v>#N/A</v>
      </c>
      <c r="V513" s="153" t="e">
        <f>+VLOOKUP($L513,Data_Validation!$A:$D,4,0)</f>
        <v>#N/A</v>
      </c>
      <c r="W513" s="153" t="e">
        <f>+VLOOKUP($L513,Data_Validation!$A:$E,5,0)</f>
        <v>#N/A</v>
      </c>
      <c r="X513" s="153" t="e">
        <f>+VLOOKUP($L513,Data_Validation!$A:$F,6,0)</f>
        <v>#N/A</v>
      </c>
    </row>
    <row r="514" spans="1:24" ht="15" customHeight="1">
      <c r="A514" s="1112"/>
      <c r="B514" s="1112"/>
      <c r="C514" s="1114"/>
      <c r="D514" s="1114"/>
      <c r="E514" s="1114"/>
      <c r="F514" s="1112"/>
      <c r="G514" s="1112"/>
      <c r="H514" s="1112"/>
      <c r="I514" s="1113"/>
      <c r="J514" s="1113"/>
      <c r="K514" s="1113"/>
      <c r="L514" s="150">
        <f t="shared" si="36"/>
        <v>0</v>
      </c>
      <c r="M514" s="151">
        <f t="shared" si="37"/>
        <v>0</v>
      </c>
      <c r="N514" s="152">
        <f>+IF(OR($Q514=Parametres!$G$2,$Q514=Parametres!$G$3),I514,C514)</f>
        <v>0</v>
      </c>
      <c r="O514" s="152">
        <f>+IF(OR($Q514=Parametres!$G$2,$Q514=Parametres!$G$3),J514,D514)</f>
        <v>0</v>
      </c>
      <c r="P514" s="152">
        <f>+IF(OR($Q514=Parametres!$G$2,$Q514=Parametres!$G$3),K514,E514)</f>
        <v>0</v>
      </c>
      <c r="Q514" s="151">
        <f t="shared" ref="Q514:S529" si="38">+F514</f>
        <v>0</v>
      </c>
      <c r="R514" s="150">
        <f t="shared" si="38"/>
        <v>0</v>
      </c>
      <c r="S514" s="151">
        <f t="shared" si="38"/>
        <v>0</v>
      </c>
      <c r="T514" s="153" t="e">
        <f>+VLOOKUP($L514,Data_Validation!$A:$D,1,0)</f>
        <v>#N/A</v>
      </c>
      <c r="U514" s="153" t="e">
        <f>+VLOOKUP($L514,Data_Validation!$A:$D,3,0)</f>
        <v>#N/A</v>
      </c>
      <c r="V514" s="153" t="e">
        <f>+VLOOKUP($L514,Data_Validation!$A:$D,4,0)</f>
        <v>#N/A</v>
      </c>
      <c r="W514" s="153" t="e">
        <f>+VLOOKUP($L514,Data_Validation!$A:$E,5,0)</f>
        <v>#N/A</v>
      </c>
      <c r="X514" s="153" t="e">
        <f>+VLOOKUP($L514,Data_Validation!$A:$F,6,0)</f>
        <v>#N/A</v>
      </c>
    </row>
    <row r="515" spans="1:24" ht="15" customHeight="1">
      <c r="A515" s="1112"/>
      <c r="B515" s="1112"/>
      <c r="C515" s="1114"/>
      <c r="D515" s="1114"/>
      <c r="E515" s="1114"/>
      <c r="F515" s="1112"/>
      <c r="G515" s="1112"/>
      <c r="H515" s="1112"/>
      <c r="I515" s="1113"/>
      <c r="J515" s="1113"/>
      <c r="K515" s="1113"/>
      <c r="L515" s="150">
        <f t="shared" si="36"/>
        <v>0</v>
      </c>
      <c r="M515" s="151">
        <f t="shared" si="37"/>
        <v>0</v>
      </c>
      <c r="N515" s="152">
        <f>+IF(OR($Q515=Parametres!$G$2,$Q515=Parametres!$G$3),I515,C515)</f>
        <v>0</v>
      </c>
      <c r="O515" s="152">
        <f>+IF(OR($Q515=Parametres!$G$2,$Q515=Parametres!$G$3),J515,D515)</f>
        <v>0</v>
      </c>
      <c r="P515" s="152">
        <f>+IF(OR($Q515=Parametres!$G$2,$Q515=Parametres!$G$3),K515,E515)</f>
        <v>0</v>
      </c>
      <c r="Q515" s="151">
        <f t="shared" si="38"/>
        <v>0</v>
      </c>
      <c r="R515" s="150">
        <f t="shared" si="38"/>
        <v>0</v>
      </c>
      <c r="S515" s="151">
        <f t="shared" si="38"/>
        <v>0</v>
      </c>
      <c r="T515" s="153" t="e">
        <f>+VLOOKUP($L515,Data_Validation!$A:$D,1,0)</f>
        <v>#N/A</v>
      </c>
      <c r="U515" s="153" t="e">
        <f>+VLOOKUP($L515,Data_Validation!$A:$D,3,0)</f>
        <v>#N/A</v>
      </c>
      <c r="V515" s="153" t="e">
        <f>+VLOOKUP($L515,Data_Validation!$A:$D,4,0)</f>
        <v>#N/A</v>
      </c>
      <c r="W515" s="153" t="e">
        <f>+VLOOKUP($L515,Data_Validation!$A:$E,5,0)</f>
        <v>#N/A</v>
      </c>
      <c r="X515" s="153" t="e">
        <f>+VLOOKUP($L515,Data_Validation!$A:$F,6,0)</f>
        <v>#N/A</v>
      </c>
    </row>
    <row r="516" spans="1:24" ht="15" customHeight="1">
      <c r="A516" s="1112"/>
      <c r="B516" s="1112"/>
      <c r="C516" s="1114"/>
      <c r="D516" s="1114"/>
      <c r="E516" s="1114"/>
      <c r="F516" s="1112"/>
      <c r="G516" s="1112"/>
      <c r="H516" s="1112"/>
      <c r="I516" s="1113"/>
      <c r="J516" s="1113"/>
      <c r="K516" s="1113"/>
      <c r="L516" s="150">
        <f t="shared" si="36"/>
        <v>0</v>
      </c>
      <c r="M516" s="151">
        <f t="shared" si="37"/>
        <v>0</v>
      </c>
      <c r="N516" s="152">
        <f>+IF(OR($Q516=Parametres!$G$2,$Q516=Parametres!$G$3),I516,C516)</f>
        <v>0</v>
      </c>
      <c r="O516" s="152">
        <f>+IF(OR($Q516=Parametres!$G$2,$Q516=Parametres!$G$3),J516,D516)</f>
        <v>0</v>
      </c>
      <c r="P516" s="152">
        <f>+IF(OR($Q516=Parametres!$G$2,$Q516=Parametres!$G$3),K516,E516)</f>
        <v>0</v>
      </c>
      <c r="Q516" s="151">
        <f t="shared" si="38"/>
        <v>0</v>
      </c>
      <c r="R516" s="150">
        <f t="shared" si="38"/>
        <v>0</v>
      </c>
      <c r="S516" s="151">
        <f t="shared" si="38"/>
        <v>0</v>
      </c>
      <c r="T516" s="153" t="e">
        <f>+VLOOKUP($L516,Data_Validation!$A:$D,1,0)</f>
        <v>#N/A</v>
      </c>
      <c r="U516" s="153" t="e">
        <f>+VLOOKUP($L516,Data_Validation!$A:$D,3,0)</f>
        <v>#N/A</v>
      </c>
      <c r="V516" s="153" t="e">
        <f>+VLOOKUP($L516,Data_Validation!$A:$D,4,0)</f>
        <v>#N/A</v>
      </c>
      <c r="W516" s="153" t="e">
        <f>+VLOOKUP($L516,Data_Validation!$A:$E,5,0)</f>
        <v>#N/A</v>
      </c>
      <c r="X516" s="153" t="e">
        <f>+VLOOKUP($L516,Data_Validation!$A:$F,6,0)</f>
        <v>#N/A</v>
      </c>
    </row>
    <row r="517" spans="1:24" ht="15.75" customHeight="1">
      <c r="A517" s="1112"/>
      <c r="B517" s="1112"/>
      <c r="C517" s="1114"/>
      <c r="D517" s="1114"/>
      <c r="E517" s="1114"/>
      <c r="F517" s="1112"/>
      <c r="G517" s="1112"/>
      <c r="H517" s="1112"/>
      <c r="I517" s="1113"/>
      <c r="J517" s="1113"/>
      <c r="K517" s="1113"/>
      <c r="L517" s="150">
        <f t="shared" si="36"/>
        <v>0</v>
      </c>
      <c r="M517" s="151">
        <f t="shared" si="37"/>
        <v>0</v>
      </c>
      <c r="N517" s="152">
        <f>+IF(OR($Q517=Parametres!$G$2,$Q517=Parametres!$G$3),I517,C517)</f>
        <v>0</v>
      </c>
      <c r="O517" s="152">
        <f>+IF(OR($Q517=Parametres!$G$2,$Q517=Parametres!$G$3),J517,D517)</f>
        <v>0</v>
      </c>
      <c r="P517" s="152">
        <f>+IF(OR($Q517=Parametres!$G$2,$Q517=Parametres!$G$3),K517,E517)</f>
        <v>0</v>
      </c>
      <c r="Q517" s="151">
        <f t="shared" si="38"/>
        <v>0</v>
      </c>
      <c r="R517" s="150">
        <f t="shared" si="38"/>
        <v>0</v>
      </c>
      <c r="S517" s="151">
        <f t="shared" si="38"/>
        <v>0</v>
      </c>
      <c r="T517" s="153" t="e">
        <f>+VLOOKUP($L517,Data_Validation!$A:$D,1,0)</f>
        <v>#N/A</v>
      </c>
      <c r="U517" s="153" t="e">
        <f>+VLOOKUP($L517,Data_Validation!$A:$D,3,0)</f>
        <v>#N/A</v>
      </c>
      <c r="V517" s="153" t="e">
        <f>+VLOOKUP($L517,Data_Validation!$A:$D,4,0)</f>
        <v>#N/A</v>
      </c>
      <c r="W517" s="153" t="e">
        <f>+VLOOKUP($L517,Data_Validation!$A:$E,5,0)</f>
        <v>#N/A</v>
      </c>
      <c r="X517" s="153" t="e">
        <f>+VLOOKUP($L517,Data_Validation!$A:$F,6,0)</f>
        <v>#N/A</v>
      </c>
    </row>
    <row r="518" spans="1:24" ht="15" customHeight="1">
      <c r="A518" s="1112"/>
      <c r="B518" s="1112"/>
      <c r="C518" s="1114"/>
      <c r="D518" s="1114"/>
      <c r="E518" s="1114"/>
      <c r="F518" s="1112"/>
      <c r="G518" s="1112"/>
      <c r="H518" s="1112"/>
      <c r="I518" s="1113"/>
      <c r="J518" s="1113"/>
      <c r="K518" s="1113"/>
      <c r="L518" s="150">
        <f t="shared" si="36"/>
        <v>0</v>
      </c>
      <c r="M518" s="151">
        <f t="shared" si="37"/>
        <v>0</v>
      </c>
      <c r="N518" s="152">
        <f>+IF(OR($Q518=Parametres!$G$2,$Q518=Parametres!$G$3),I518,C518)</f>
        <v>0</v>
      </c>
      <c r="O518" s="152">
        <f>+IF(OR($Q518=Parametres!$G$2,$Q518=Parametres!$G$3),J518,D518)</f>
        <v>0</v>
      </c>
      <c r="P518" s="152">
        <f>+IF(OR($Q518=Parametres!$G$2,$Q518=Parametres!$G$3),K518,E518)</f>
        <v>0</v>
      </c>
      <c r="Q518" s="151">
        <f t="shared" si="38"/>
        <v>0</v>
      </c>
      <c r="R518" s="150">
        <f t="shared" si="38"/>
        <v>0</v>
      </c>
      <c r="S518" s="151">
        <f t="shared" si="38"/>
        <v>0</v>
      </c>
      <c r="T518" s="153" t="e">
        <f>+VLOOKUP($L518,Data_Validation!$A:$D,1,0)</f>
        <v>#N/A</v>
      </c>
      <c r="U518" s="153" t="e">
        <f>+VLOOKUP($L518,Data_Validation!$A:$D,3,0)</f>
        <v>#N/A</v>
      </c>
      <c r="V518" s="153" t="e">
        <f>+VLOOKUP($L518,Data_Validation!$A:$D,4,0)</f>
        <v>#N/A</v>
      </c>
      <c r="W518" s="153" t="e">
        <f>+VLOOKUP($L518,Data_Validation!$A:$E,5,0)</f>
        <v>#N/A</v>
      </c>
      <c r="X518" s="153" t="e">
        <f>+VLOOKUP($L518,Data_Validation!$A:$F,6,0)</f>
        <v>#N/A</v>
      </c>
    </row>
    <row r="519" spans="1:24" ht="15" customHeight="1">
      <c r="A519" s="1112"/>
      <c r="B519" s="1112"/>
      <c r="C519" s="1114"/>
      <c r="D519" s="1114"/>
      <c r="E519" s="1114"/>
      <c r="F519" s="1112"/>
      <c r="G519" s="1112"/>
      <c r="H519" s="1112"/>
      <c r="I519" s="1113"/>
      <c r="J519" s="1113"/>
      <c r="K519" s="1113"/>
      <c r="L519" s="150">
        <f t="shared" si="36"/>
        <v>0</v>
      </c>
      <c r="M519" s="151">
        <f t="shared" si="37"/>
        <v>0</v>
      </c>
      <c r="N519" s="152">
        <f>+IF(OR($Q519=Parametres!$G$2,$Q519=Parametres!$G$3),I519,C519)</f>
        <v>0</v>
      </c>
      <c r="O519" s="152">
        <f>+IF(OR($Q519=Parametres!$G$2,$Q519=Parametres!$G$3),J519,D519)</f>
        <v>0</v>
      </c>
      <c r="P519" s="152">
        <f>+IF(OR($Q519=Parametres!$G$2,$Q519=Parametres!$G$3),K519,E519)</f>
        <v>0</v>
      </c>
      <c r="Q519" s="151">
        <f t="shared" si="38"/>
        <v>0</v>
      </c>
      <c r="R519" s="150">
        <f t="shared" si="38"/>
        <v>0</v>
      </c>
      <c r="S519" s="151">
        <f t="shared" si="38"/>
        <v>0</v>
      </c>
      <c r="T519" s="153" t="e">
        <f>+VLOOKUP($L519,Data_Validation!$A:$D,1,0)</f>
        <v>#N/A</v>
      </c>
      <c r="U519" s="153" t="e">
        <f>+VLOOKUP($L519,Data_Validation!$A:$D,3,0)</f>
        <v>#N/A</v>
      </c>
      <c r="V519" s="153" t="e">
        <f>+VLOOKUP($L519,Data_Validation!$A:$D,4,0)</f>
        <v>#N/A</v>
      </c>
      <c r="W519" s="153" t="e">
        <f>+VLOOKUP($L519,Data_Validation!$A:$E,5,0)</f>
        <v>#N/A</v>
      </c>
      <c r="X519" s="153" t="e">
        <f>+VLOOKUP($L519,Data_Validation!$A:$F,6,0)</f>
        <v>#N/A</v>
      </c>
    </row>
    <row r="520" spans="1:24" ht="15" customHeight="1">
      <c r="A520" s="1112"/>
      <c r="B520" s="1112"/>
      <c r="C520" s="1114"/>
      <c r="D520" s="1114"/>
      <c r="E520" s="1114"/>
      <c r="F520" s="1112"/>
      <c r="G520" s="1112"/>
      <c r="H520" s="1112"/>
      <c r="I520" s="1113"/>
      <c r="J520" s="1113"/>
      <c r="K520" s="1113"/>
      <c r="L520" s="150">
        <f t="shared" si="36"/>
        <v>0</v>
      </c>
      <c r="M520" s="151">
        <f t="shared" si="37"/>
        <v>0</v>
      </c>
      <c r="N520" s="152">
        <f>+IF(OR($Q520=Parametres!$G$2,$Q520=Parametres!$G$3),I520,C520)</f>
        <v>0</v>
      </c>
      <c r="O520" s="152">
        <f>+IF(OR($Q520=Parametres!$G$2,$Q520=Parametres!$G$3),J520,D520)</f>
        <v>0</v>
      </c>
      <c r="P520" s="152">
        <f>+IF(OR($Q520=Parametres!$G$2,$Q520=Parametres!$G$3),K520,E520)</f>
        <v>0</v>
      </c>
      <c r="Q520" s="151">
        <f t="shared" si="38"/>
        <v>0</v>
      </c>
      <c r="R520" s="150">
        <f t="shared" si="38"/>
        <v>0</v>
      </c>
      <c r="S520" s="151">
        <f t="shared" si="38"/>
        <v>0</v>
      </c>
      <c r="T520" s="153" t="e">
        <f>+VLOOKUP($L520,Data_Validation!$A:$D,1,0)</f>
        <v>#N/A</v>
      </c>
      <c r="U520" s="153" t="e">
        <f>+VLOOKUP($L520,Data_Validation!$A:$D,3,0)</f>
        <v>#N/A</v>
      </c>
      <c r="V520" s="153" t="e">
        <f>+VLOOKUP($L520,Data_Validation!$A:$D,4,0)</f>
        <v>#N/A</v>
      </c>
      <c r="W520" s="153" t="e">
        <f>+VLOOKUP($L520,Data_Validation!$A:$E,5,0)</f>
        <v>#N/A</v>
      </c>
      <c r="X520" s="153" t="e">
        <f>+VLOOKUP($L520,Data_Validation!$A:$F,6,0)</f>
        <v>#N/A</v>
      </c>
    </row>
    <row r="521" spans="1:24" ht="15.75" customHeight="1">
      <c r="A521" s="1112"/>
      <c r="B521" s="1112"/>
      <c r="C521" s="1114"/>
      <c r="D521" s="1114"/>
      <c r="E521" s="1114"/>
      <c r="F521" s="1112"/>
      <c r="G521" s="1112"/>
      <c r="H521" s="1112"/>
      <c r="I521" s="1113"/>
      <c r="J521" s="1113"/>
      <c r="K521" s="1113"/>
      <c r="L521" s="150">
        <f t="shared" si="36"/>
        <v>0</v>
      </c>
      <c r="M521" s="151">
        <f t="shared" si="37"/>
        <v>0</v>
      </c>
      <c r="N521" s="152">
        <f>+IF(OR($Q521=Parametres!$G$2,$Q521=Parametres!$G$3),I521,C521)</f>
        <v>0</v>
      </c>
      <c r="O521" s="152">
        <f>+IF(OR($Q521=Parametres!$G$2,$Q521=Parametres!$G$3),J521,D521)</f>
        <v>0</v>
      </c>
      <c r="P521" s="152">
        <f>+IF(OR($Q521=Parametres!$G$2,$Q521=Parametres!$G$3),K521,E521)</f>
        <v>0</v>
      </c>
      <c r="Q521" s="151">
        <f t="shared" si="38"/>
        <v>0</v>
      </c>
      <c r="R521" s="150">
        <f t="shared" si="38"/>
        <v>0</v>
      </c>
      <c r="S521" s="151">
        <f t="shared" si="38"/>
        <v>0</v>
      </c>
      <c r="T521" s="153" t="e">
        <f>+VLOOKUP($L521,Data_Validation!$A:$D,1,0)</f>
        <v>#N/A</v>
      </c>
      <c r="U521" s="153" t="e">
        <f>+VLOOKUP($L521,Data_Validation!$A:$D,3,0)</f>
        <v>#N/A</v>
      </c>
      <c r="V521" s="153" t="e">
        <f>+VLOOKUP($L521,Data_Validation!$A:$D,4,0)</f>
        <v>#N/A</v>
      </c>
      <c r="W521" s="153" t="e">
        <f>+VLOOKUP($L521,Data_Validation!$A:$E,5,0)</f>
        <v>#N/A</v>
      </c>
      <c r="X521" s="153" t="e">
        <f>+VLOOKUP($L521,Data_Validation!$A:$F,6,0)</f>
        <v>#N/A</v>
      </c>
    </row>
    <row r="522" spans="1:24" ht="15" customHeight="1">
      <c r="A522" s="1112"/>
      <c r="B522" s="1112"/>
      <c r="C522" s="1114"/>
      <c r="D522" s="1114"/>
      <c r="E522" s="1114"/>
      <c r="F522" s="1112"/>
      <c r="G522" s="1112"/>
      <c r="H522" s="1112"/>
      <c r="I522" s="1113"/>
      <c r="J522" s="1113"/>
      <c r="K522" s="1113"/>
      <c r="L522" s="150">
        <f t="shared" si="36"/>
        <v>0</v>
      </c>
      <c r="M522" s="151">
        <f t="shared" si="37"/>
        <v>0</v>
      </c>
      <c r="N522" s="152">
        <f>+IF(OR($Q522=Parametres!$G$2,$Q522=Parametres!$G$3),I522,C522)</f>
        <v>0</v>
      </c>
      <c r="O522" s="152">
        <f>+IF(OR($Q522=Parametres!$G$2,$Q522=Parametres!$G$3),J522,D522)</f>
        <v>0</v>
      </c>
      <c r="P522" s="152">
        <f>+IF(OR($Q522=Parametres!$G$2,$Q522=Parametres!$G$3),K522,E522)</f>
        <v>0</v>
      </c>
      <c r="Q522" s="151">
        <f t="shared" si="38"/>
        <v>0</v>
      </c>
      <c r="R522" s="150">
        <f t="shared" si="38"/>
        <v>0</v>
      </c>
      <c r="S522" s="151">
        <f t="shared" si="38"/>
        <v>0</v>
      </c>
      <c r="T522" s="153" t="e">
        <f>+VLOOKUP($L522,Data_Validation!$A:$D,1,0)</f>
        <v>#N/A</v>
      </c>
      <c r="U522" s="153" t="e">
        <f>+VLOOKUP($L522,Data_Validation!$A:$D,3,0)</f>
        <v>#N/A</v>
      </c>
      <c r="V522" s="153" t="e">
        <f>+VLOOKUP($L522,Data_Validation!$A:$D,4,0)</f>
        <v>#N/A</v>
      </c>
      <c r="W522" s="153" t="e">
        <f>+VLOOKUP($L522,Data_Validation!$A:$E,5,0)</f>
        <v>#N/A</v>
      </c>
      <c r="X522" s="153" t="e">
        <f>+VLOOKUP($L522,Data_Validation!$A:$F,6,0)</f>
        <v>#N/A</v>
      </c>
    </row>
    <row r="523" spans="1:24" ht="15" customHeight="1">
      <c r="A523" s="1112"/>
      <c r="B523" s="1112"/>
      <c r="C523" s="1114"/>
      <c r="D523" s="1114"/>
      <c r="E523" s="1114"/>
      <c r="F523" s="1112"/>
      <c r="G523" s="1112"/>
      <c r="H523" s="1112"/>
      <c r="I523" s="1113"/>
      <c r="J523" s="1113"/>
      <c r="K523" s="1113"/>
      <c r="L523" s="150">
        <f t="shared" si="36"/>
        <v>0</v>
      </c>
      <c r="M523" s="151">
        <f t="shared" si="37"/>
        <v>0</v>
      </c>
      <c r="N523" s="152">
        <f>+IF(OR($Q523=Parametres!$G$2,$Q523=Parametres!$G$3),I523,C523)</f>
        <v>0</v>
      </c>
      <c r="O523" s="152">
        <f>+IF(OR($Q523=Parametres!$G$2,$Q523=Parametres!$G$3),J523,D523)</f>
        <v>0</v>
      </c>
      <c r="P523" s="152">
        <f>+IF(OR($Q523=Parametres!$G$2,$Q523=Parametres!$G$3),K523,E523)</f>
        <v>0</v>
      </c>
      <c r="Q523" s="151">
        <f t="shared" si="38"/>
        <v>0</v>
      </c>
      <c r="R523" s="150">
        <f t="shared" si="38"/>
        <v>0</v>
      </c>
      <c r="S523" s="151">
        <f t="shared" si="38"/>
        <v>0</v>
      </c>
      <c r="T523" s="153" t="e">
        <f>+VLOOKUP($L523,Data_Validation!$A:$D,1,0)</f>
        <v>#N/A</v>
      </c>
      <c r="U523" s="153" t="e">
        <f>+VLOOKUP($L523,Data_Validation!$A:$D,3,0)</f>
        <v>#N/A</v>
      </c>
      <c r="V523" s="153" t="e">
        <f>+VLOOKUP($L523,Data_Validation!$A:$D,4,0)</f>
        <v>#N/A</v>
      </c>
      <c r="W523" s="153" t="e">
        <f>+VLOOKUP($L523,Data_Validation!$A:$E,5,0)</f>
        <v>#N/A</v>
      </c>
      <c r="X523" s="153" t="e">
        <f>+VLOOKUP($L523,Data_Validation!$A:$F,6,0)</f>
        <v>#N/A</v>
      </c>
    </row>
    <row r="524" spans="1:24" ht="15" customHeight="1">
      <c r="A524" s="1112"/>
      <c r="B524" s="1112"/>
      <c r="C524" s="1114"/>
      <c r="D524" s="1114"/>
      <c r="E524" s="1114"/>
      <c r="F524" s="1112"/>
      <c r="G524" s="1112"/>
      <c r="H524" s="1112"/>
      <c r="I524" s="1113"/>
      <c r="J524" s="1113"/>
      <c r="K524" s="1113"/>
      <c r="L524" s="150">
        <f t="shared" si="36"/>
        <v>0</v>
      </c>
      <c r="M524" s="151">
        <f t="shared" si="37"/>
        <v>0</v>
      </c>
      <c r="N524" s="152">
        <f>+IF(OR($Q524=Parametres!$G$2,$Q524=Parametres!$G$3),I524,C524)</f>
        <v>0</v>
      </c>
      <c r="O524" s="152">
        <f>+IF(OR($Q524=Parametres!$G$2,$Q524=Parametres!$G$3),J524,D524)</f>
        <v>0</v>
      </c>
      <c r="P524" s="152">
        <f>+IF(OR($Q524=Parametres!$G$2,$Q524=Parametres!$G$3),K524,E524)</f>
        <v>0</v>
      </c>
      <c r="Q524" s="151">
        <f t="shared" si="38"/>
        <v>0</v>
      </c>
      <c r="R524" s="150">
        <f t="shared" si="38"/>
        <v>0</v>
      </c>
      <c r="S524" s="151">
        <f t="shared" si="38"/>
        <v>0</v>
      </c>
      <c r="T524" s="153" t="e">
        <f>+VLOOKUP($L524,Data_Validation!$A:$D,1,0)</f>
        <v>#N/A</v>
      </c>
      <c r="U524" s="153" t="e">
        <f>+VLOOKUP($L524,Data_Validation!$A:$D,3,0)</f>
        <v>#N/A</v>
      </c>
      <c r="V524" s="153" t="e">
        <f>+VLOOKUP($L524,Data_Validation!$A:$D,4,0)</f>
        <v>#N/A</v>
      </c>
      <c r="W524" s="153" t="e">
        <f>+VLOOKUP($L524,Data_Validation!$A:$E,5,0)</f>
        <v>#N/A</v>
      </c>
      <c r="X524" s="153" t="e">
        <f>+VLOOKUP($L524,Data_Validation!$A:$F,6,0)</f>
        <v>#N/A</v>
      </c>
    </row>
    <row r="525" spans="1:24" ht="15" customHeight="1">
      <c r="A525" s="1112"/>
      <c r="B525" s="1112"/>
      <c r="C525" s="1114"/>
      <c r="D525" s="1114"/>
      <c r="E525" s="1114"/>
      <c r="F525" s="1112"/>
      <c r="G525" s="1112"/>
      <c r="H525" s="1112"/>
      <c r="I525" s="1113"/>
      <c r="J525" s="1113"/>
      <c r="K525" s="1113"/>
      <c r="L525" s="150">
        <f t="shared" si="36"/>
        <v>0</v>
      </c>
      <c r="M525" s="151">
        <f t="shared" si="37"/>
        <v>0</v>
      </c>
      <c r="N525" s="152">
        <f>+IF(OR($Q525=Parametres!$G$2,$Q525=Parametres!$G$3),I525,C525)</f>
        <v>0</v>
      </c>
      <c r="O525" s="152">
        <f>+IF(OR($Q525=Parametres!$G$2,$Q525=Parametres!$G$3),J525,D525)</f>
        <v>0</v>
      </c>
      <c r="P525" s="152">
        <f>+IF(OR($Q525=Parametres!$G$2,$Q525=Parametres!$G$3),K525,E525)</f>
        <v>0</v>
      </c>
      <c r="Q525" s="151">
        <f t="shared" si="38"/>
        <v>0</v>
      </c>
      <c r="R525" s="150">
        <f t="shared" si="38"/>
        <v>0</v>
      </c>
      <c r="S525" s="151">
        <f t="shared" si="38"/>
        <v>0</v>
      </c>
      <c r="T525" s="153" t="e">
        <f>+VLOOKUP($L525,Data_Validation!$A:$D,1,0)</f>
        <v>#N/A</v>
      </c>
      <c r="U525" s="153" t="e">
        <f>+VLOOKUP($L525,Data_Validation!$A:$D,3,0)</f>
        <v>#N/A</v>
      </c>
      <c r="V525" s="153" t="e">
        <f>+VLOOKUP($L525,Data_Validation!$A:$D,4,0)</f>
        <v>#N/A</v>
      </c>
      <c r="W525" s="153" t="e">
        <f>+VLOOKUP($L525,Data_Validation!$A:$E,5,0)</f>
        <v>#N/A</v>
      </c>
      <c r="X525" s="153" t="e">
        <f>+VLOOKUP($L525,Data_Validation!$A:$F,6,0)</f>
        <v>#N/A</v>
      </c>
    </row>
    <row r="526" spans="1:24" ht="15.75" customHeight="1">
      <c r="A526" s="1112"/>
      <c r="B526" s="1112"/>
      <c r="C526" s="1114"/>
      <c r="D526" s="1114"/>
      <c r="E526" s="1114"/>
      <c r="F526" s="1112"/>
      <c r="G526" s="1112"/>
      <c r="H526" s="1112"/>
      <c r="I526" s="1113"/>
      <c r="J526" s="1113"/>
      <c r="K526" s="1113"/>
      <c r="L526" s="150">
        <f t="shared" si="36"/>
        <v>0</v>
      </c>
      <c r="M526" s="151">
        <f t="shared" si="37"/>
        <v>0</v>
      </c>
      <c r="N526" s="152">
        <f>+IF(OR($Q526=Parametres!$G$2,$Q526=Parametres!$G$3),I526,C526)</f>
        <v>0</v>
      </c>
      <c r="O526" s="152">
        <f>+IF(OR($Q526=Parametres!$G$2,$Q526=Parametres!$G$3),J526,D526)</f>
        <v>0</v>
      </c>
      <c r="P526" s="152">
        <f>+IF(OR($Q526=Parametres!$G$2,$Q526=Parametres!$G$3),K526,E526)</f>
        <v>0</v>
      </c>
      <c r="Q526" s="151">
        <f t="shared" si="38"/>
        <v>0</v>
      </c>
      <c r="R526" s="150">
        <f t="shared" si="38"/>
        <v>0</v>
      </c>
      <c r="S526" s="151">
        <f t="shared" si="38"/>
        <v>0</v>
      </c>
      <c r="T526" s="153" t="e">
        <f>+VLOOKUP($L526,Data_Validation!$A:$D,1,0)</f>
        <v>#N/A</v>
      </c>
      <c r="U526" s="153" t="e">
        <f>+VLOOKUP($L526,Data_Validation!$A:$D,3,0)</f>
        <v>#N/A</v>
      </c>
      <c r="V526" s="153" t="e">
        <f>+VLOOKUP($L526,Data_Validation!$A:$D,4,0)</f>
        <v>#N/A</v>
      </c>
      <c r="W526" s="153" t="e">
        <f>+VLOOKUP($L526,Data_Validation!$A:$E,5,0)</f>
        <v>#N/A</v>
      </c>
      <c r="X526" s="153" t="e">
        <f>+VLOOKUP($L526,Data_Validation!$A:$F,6,0)</f>
        <v>#N/A</v>
      </c>
    </row>
    <row r="527" spans="1:24" ht="15" customHeight="1">
      <c r="A527" s="1112"/>
      <c r="B527" s="1112"/>
      <c r="C527" s="1114"/>
      <c r="D527" s="1114"/>
      <c r="E527" s="1114"/>
      <c r="F527" s="1112"/>
      <c r="G527" s="1112"/>
      <c r="H527" s="1112"/>
      <c r="I527" s="1113"/>
      <c r="J527" s="1113"/>
      <c r="K527" s="1113"/>
      <c r="L527" s="150">
        <f t="shared" si="36"/>
        <v>0</v>
      </c>
      <c r="M527" s="151">
        <f t="shared" si="37"/>
        <v>0</v>
      </c>
      <c r="N527" s="152">
        <f>+IF(OR($Q527=Parametres!$G$2,$Q527=Parametres!$G$3),I527,C527)</f>
        <v>0</v>
      </c>
      <c r="O527" s="152">
        <f>+IF(OR($Q527=Parametres!$G$2,$Q527=Parametres!$G$3),J527,D527)</f>
        <v>0</v>
      </c>
      <c r="P527" s="152">
        <f>+IF(OR($Q527=Parametres!$G$2,$Q527=Parametres!$G$3),K527,E527)</f>
        <v>0</v>
      </c>
      <c r="Q527" s="151">
        <f t="shared" si="38"/>
        <v>0</v>
      </c>
      <c r="R527" s="150">
        <f t="shared" si="38"/>
        <v>0</v>
      </c>
      <c r="S527" s="151">
        <f t="shared" si="38"/>
        <v>0</v>
      </c>
      <c r="T527" s="153" t="e">
        <f>+VLOOKUP($L527,Data_Validation!$A:$D,1,0)</f>
        <v>#N/A</v>
      </c>
      <c r="U527" s="153" t="e">
        <f>+VLOOKUP($L527,Data_Validation!$A:$D,3,0)</f>
        <v>#N/A</v>
      </c>
      <c r="V527" s="153" t="e">
        <f>+VLOOKUP($L527,Data_Validation!$A:$D,4,0)</f>
        <v>#N/A</v>
      </c>
      <c r="W527" s="153" t="e">
        <f>+VLOOKUP($L527,Data_Validation!$A:$E,5,0)</f>
        <v>#N/A</v>
      </c>
      <c r="X527" s="153" t="e">
        <f>+VLOOKUP($L527,Data_Validation!$A:$F,6,0)</f>
        <v>#N/A</v>
      </c>
    </row>
    <row r="528" spans="1:24" ht="15" customHeight="1">
      <c r="A528" s="1112"/>
      <c r="B528" s="1112"/>
      <c r="C528" s="1114"/>
      <c r="D528" s="1114"/>
      <c r="E528" s="1114"/>
      <c r="F528" s="1112"/>
      <c r="G528" s="1112"/>
      <c r="H528" s="1112"/>
      <c r="I528" s="1113"/>
      <c r="J528" s="1113"/>
      <c r="K528" s="1113"/>
      <c r="L528" s="150">
        <f t="shared" si="36"/>
        <v>0</v>
      </c>
      <c r="M528" s="151">
        <f t="shared" si="37"/>
        <v>0</v>
      </c>
      <c r="N528" s="152">
        <f>+IF(OR($Q528=Parametres!$G$2,$Q528=Parametres!$G$3),I528,C528)</f>
        <v>0</v>
      </c>
      <c r="O528" s="152">
        <f>+IF(OR($Q528=Parametres!$G$2,$Q528=Parametres!$G$3),J528,D528)</f>
        <v>0</v>
      </c>
      <c r="P528" s="152">
        <f>+IF(OR($Q528=Parametres!$G$2,$Q528=Parametres!$G$3),K528,E528)</f>
        <v>0</v>
      </c>
      <c r="Q528" s="151">
        <f t="shared" si="38"/>
        <v>0</v>
      </c>
      <c r="R528" s="150">
        <f t="shared" si="38"/>
        <v>0</v>
      </c>
      <c r="S528" s="151">
        <f t="shared" si="38"/>
        <v>0</v>
      </c>
      <c r="T528" s="153" t="e">
        <f>+VLOOKUP($L528,Data_Validation!$A:$D,1,0)</f>
        <v>#N/A</v>
      </c>
      <c r="U528" s="153" t="e">
        <f>+VLOOKUP($L528,Data_Validation!$A:$D,3,0)</f>
        <v>#N/A</v>
      </c>
      <c r="V528" s="153" t="e">
        <f>+VLOOKUP($L528,Data_Validation!$A:$D,4,0)</f>
        <v>#N/A</v>
      </c>
      <c r="W528" s="153" t="e">
        <f>+VLOOKUP($L528,Data_Validation!$A:$E,5,0)</f>
        <v>#N/A</v>
      </c>
      <c r="X528" s="153" t="e">
        <f>+VLOOKUP($L528,Data_Validation!$A:$F,6,0)</f>
        <v>#N/A</v>
      </c>
    </row>
    <row r="529" spans="1:24" ht="15" customHeight="1">
      <c r="A529" s="1112"/>
      <c r="B529" s="1112"/>
      <c r="C529" s="1114"/>
      <c r="D529" s="1114"/>
      <c r="E529" s="1114"/>
      <c r="F529" s="1112"/>
      <c r="G529" s="1112"/>
      <c r="H529" s="1112"/>
      <c r="I529" s="1113"/>
      <c r="J529" s="1113"/>
      <c r="K529" s="1113"/>
      <c r="L529" s="150">
        <f t="shared" si="36"/>
        <v>0</v>
      </c>
      <c r="M529" s="151">
        <f t="shared" si="37"/>
        <v>0</v>
      </c>
      <c r="N529" s="152">
        <f>+IF(OR($Q529=Parametres!$G$2,$Q529=Parametres!$G$3),I529,C529)</f>
        <v>0</v>
      </c>
      <c r="O529" s="152">
        <f>+IF(OR($Q529=Parametres!$G$2,$Q529=Parametres!$G$3),J529,D529)</f>
        <v>0</v>
      </c>
      <c r="P529" s="152">
        <f>+IF(OR($Q529=Parametres!$G$2,$Q529=Parametres!$G$3),K529,E529)</f>
        <v>0</v>
      </c>
      <c r="Q529" s="151">
        <f t="shared" si="38"/>
        <v>0</v>
      </c>
      <c r="R529" s="150">
        <f t="shared" si="38"/>
        <v>0</v>
      </c>
      <c r="S529" s="151">
        <f t="shared" si="38"/>
        <v>0</v>
      </c>
      <c r="T529" s="153" t="e">
        <f>+VLOOKUP($L529,Data_Validation!$A:$D,1,0)</f>
        <v>#N/A</v>
      </c>
      <c r="U529" s="153" t="e">
        <f>+VLOOKUP($L529,Data_Validation!$A:$D,3,0)</f>
        <v>#N/A</v>
      </c>
      <c r="V529" s="153" t="e">
        <f>+VLOOKUP($L529,Data_Validation!$A:$D,4,0)</f>
        <v>#N/A</v>
      </c>
      <c r="W529" s="153" t="e">
        <f>+VLOOKUP($L529,Data_Validation!$A:$E,5,0)</f>
        <v>#N/A</v>
      </c>
      <c r="X529" s="153" t="e">
        <f>+VLOOKUP($L529,Data_Validation!$A:$F,6,0)</f>
        <v>#N/A</v>
      </c>
    </row>
    <row r="530" spans="1:24" ht="15" customHeight="1">
      <c r="A530" s="1112"/>
      <c r="B530" s="1112"/>
      <c r="C530" s="1114"/>
      <c r="D530" s="1114"/>
      <c r="E530" s="1114"/>
      <c r="F530" s="1112"/>
      <c r="G530" s="1112"/>
      <c r="H530" s="1112"/>
      <c r="I530" s="1113"/>
      <c r="J530" s="1113"/>
      <c r="K530" s="1113"/>
      <c r="L530" s="150">
        <f t="shared" si="36"/>
        <v>0</v>
      </c>
      <c r="M530" s="151">
        <f t="shared" si="37"/>
        <v>0</v>
      </c>
      <c r="N530" s="152">
        <f>+IF(OR($Q530=Parametres!$G$2,$Q530=Parametres!$G$3),I530,C530)</f>
        <v>0</v>
      </c>
      <c r="O530" s="566">
        <f>+IF(OR($Q530=Parametres!$G$2,$Q530=Parametres!$G$3),J530,D530)</f>
        <v>0</v>
      </c>
      <c r="P530" s="152">
        <f>+IF(OR($Q530=Parametres!$G$2,$Q530=Parametres!$G$3),K530,E530)</f>
        <v>0</v>
      </c>
      <c r="Q530" s="151">
        <f t="shared" ref="Q530:S545" si="39">+F530</f>
        <v>0</v>
      </c>
      <c r="R530" s="150">
        <f t="shared" si="39"/>
        <v>0</v>
      </c>
      <c r="S530" s="151">
        <f t="shared" si="39"/>
        <v>0</v>
      </c>
      <c r="T530" s="153" t="e">
        <f>+VLOOKUP($L530,Data_Validation!$A:$D,1,0)</f>
        <v>#N/A</v>
      </c>
      <c r="U530" s="153" t="e">
        <f>+VLOOKUP($L530,Data_Validation!$A:$D,3,0)</f>
        <v>#N/A</v>
      </c>
      <c r="V530" s="153" t="e">
        <f>+VLOOKUP($L530,Data_Validation!$A:$D,4,0)</f>
        <v>#N/A</v>
      </c>
      <c r="W530" s="153" t="e">
        <f>+VLOOKUP($L530,Data_Validation!$A:$E,5,0)</f>
        <v>#N/A</v>
      </c>
      <c r="X530" s="153" t="e">
        <f>+VLOOKUP($L530,Data_Validation!$A:$F,6,0)</f>
        <v>#N/A</v>
      </c>
    </row>
    <row r="531" spans="1:24" ht="15" customHeight="1">
      <c r="A531" s="1112"/>
      <c r="B531" s="1112"/>
      <c r="C531" s="1114"/>
      <c r="D531" s="1114"/>
      <c r="E531" s="1114"/>
      <c r="F531" s="1112"/>
      <c r="G531" s="1112"/>
      <c r="H531" s="1112"/>
      <c r="I531" s="1113"/>
      <c r="J531" s="1113"/>
      <c r="K531" s="1113"/>
      <c r="L531" s="150">
        <f t="shared" si="36"/>
        <v>0</v>
      </c>
      <c r="M531" s="151">
        <f t="shared" si="37"/>
        <v>0</v>
      </c>
      <c r="N531" s="152">
        <f>+IF(OR($Q531=Parametres!$G$2,$Q531=Parametres!$G$3),I531,C531)</f>
        <v>0</v>
      </c>
      <c r="O531" s="152">
        <f>+IF(OR($Q531=Parametres!$G$2,$Q531=Parametres!$G$3),J531,D531)</f>
        <v>0</v>
      </c>
      <c r="P531" s="152">
        <f>+IF(OR($Q531=Parametres!$G$2,$Q531=Parametres!$G$3),K531,E531)</f>
        <v>0</v>
      </c>
      <c r="Q531" s="151">
        <f t="shared" si="39"/>
        <v>0</v>
      </c>
      <c r="R531" s="150">
        <f t="shared" si="39"/>
        <v>0</v>
      </c>
      <c r="S531" s="151">
        <f t="shared" si="39"/>
        <v>0</v>
      </c>
      <c r="T531" s="153" t="e">
        <f>+VLOOKUP($L531,Data_Validation!$A:$D,1,0)</f>
        <v>#N/A</v>
      </c>
      <c r="U531" s="153" t="e">
        <f>+VLOOKUP($L531,Data_Validation!$A:$D,3,0)</f>
        <v>#N/A</v>
      </c>
      <c r="V531" s="153" t="e">
        <f>+VLOOKUP($L531,Data_Validation!$A:$D,4,0)</f>
        <v>#N/A</v>
      </c>
      <c r="W531" s="153" t="e">
        <f>+VLOOKUP($L531,Data_Validation!$A:$E,5,0)</f>
        <v>#N/A</v>
      </c>
      <c r="X531" s="153" t="e">
        <f>+VLOOKUP($L531,Data_Validation!$A:$F,6,0)</f>
        <v>#N/A</v>
      </c>
    </row>
    <row r="532" spans="1:24" ht="15" customHeight="1">
      <c r="A532" s="1112"/>
      <c r="B532" s="1112"/>
      <c r="C532" s="1114"/>
      <c r="D532" s="1114"/>
      <c r="E532" s="1114"/>
      <c r="F532" s="1112"/>
      <c r="G532" s="1112"/>
      <c r="H532" s="1112"/>
      <c r="I532" s="1113"/>
      <c r="J532" s="1113"/>
      <c r="K532" s="1113"/>
      <c r="L532" s="150">
        <f t="shared" si="36"/>
        <v>0</v>
      </c>
      <c r="M532" s="151">
        <f t="shared" si="37"/>
        <v>0</v>
      </c>
      <c r="N532" s="152">
        <f>+IF(OR($Q532=Parametres!$G$2,$Q532=Parametres!$G$3),I532,C532)</f>
        <v>0</v>
      </c>
      <c r="O532" s="152">
        <f>+IF(OR($Q532=Parametres!$G$2,$Q532=Parametres!$G$3),J532,D532)</f>
        <v>0</v>
      </c>
      <c r="P532" s="152">
        <f>+IF(OR($Q532=Parametres!$G$2,$Q532=Parametres!$G$3),K532,E532)</f>
        <v>0</v>
      </c>
      <c r="Q532" s="151">
        <f t="shared" si="39"/>
        <v>0</v>
      </c>
      <c r="R532" s="150">
        <f t="shared" si="39"/>
        <v>0</v>
      </c>
      <c r="S532" s="151">
        <f t="shared" si="39"/>
        <v>0</v>
      </c>
      <c r="T532" s="153" t="e">
        <f>+VLOOKUP($L532,Data_Validation!$A:$D,1,0)</f>
        <v>#N/A</v>
      </c>
      <c r="U532" s="153" t="e">
        <f>+VLOOKUP($L532,Data_Validation!$A:$D,3,0)</f>
        <v>#N/A</v>
      </c>
      <c r="V532" s="153" t="e">
        <f>+VLOOKUP($L532,Data_Validation!$A:$D,4,0)</f>
        <v>#N/A</v>
      </c>
      <c r="W532" s="153" t="e">
        <f>+VLOOKUP($L532,Data_Validation!$A:$E,5,0)</f>
        <v>#N/A</v>
      </c>
      <c r="X532" s="153" t="e">
        <f>+VLOOKUP($L532,Data_Validation!$A:$F,6,0)</f>
        <v>#N/A</v>
      </c>
    </row>
    <row r="533" spans="1:24" ht="15.75" customHeight="1">
      <c r="A533" s="1112"/>
      <c r="B533" s="1112"/>
      <c r="C533" s="1114"/>
      <c r="D533" s="1114"/>
      <c r="E533" s="1114"/>
      <c r="F533" s="1112"/>
      <c r="G533" s="1112"/>
      <c r="H533" s="1112"/>
      <c r="I533" s="1113"/>
      <c r="J533" s="1113"/>
      <c r="K533" s="1113"/>
      <c r="L533" s="150">
        <f t="shared" si="36"/>
        <v>0</v>
      </c>
      <c r="M533" s="151">
        <f t="shared" si="37"/>
        <v>0</v>
      </c>
      <c r="N533" s="152">
        <f>+IF(OR($Q533=Parametres!$G$2,$Q533=Parametres!$G$3),I533,C533)</f>
        <v>0</v>
      </c>
      <c r="O533" s="152">
        <f>+IF(OR($Q533=Parametres!$G$2,$Q533=Parametres!$G$3),J533,D533)</f>
        <v>0</v>
      </c>
      <c r="P533" s="152">
        <f>+IF(OR($Q533=Parametres!$G$2,$Q533=Parametres!$G$3),K533,E533)</f>
        <v>0</v>
      </c>
      <c r="Q533" s="151">
        <f t="shared" si="39"/>
        <v>0</v>
      </c>
      <c r="R533" s="150">
        <f t="shared" si="39"/>
        <v>0</v>
      </c>
      <c r="S533" s="151">
        <f t="shared" si="39"/>
        <v>0</v>
      </c>
      <c r="T533" s="153" t="e">
        <f>+VLOOKUP($L533,Data_Validation!$A:$D,1,0)</f>
        <v>#N/A</v>
      </c>
      <c r="U533" s="153" t="e">
        <f>+VLOOKUP($L533,Data_Validation!$A:$D,3,0)</f>
        <v>#N/A</v>
      </c>
      <c r="V533" s="153" t="e">
        <f>+VLOOKUP($L533,Data_Validation!$A:$D,4,0)</f>
        <v>#N/A</v>
      </c>
      <c r="W533" s="153" t="e">
        <f>+VLOOKUP($L533,Data_Validation!$A:$E,5,0)</f>
        <v>#N/A</v>
      </c>
      <c r="X533" s="153" t="e">
        <f>+VLOOKUP($L533,Data_Validation!$A:$F,6,0)</f>
        <v>#N/A</v>
      </c>
    </row>
    <row r="534" spans="1:24" ht="15" customHeight="1">
      <c r="A534" s="1112"/>
      <c r="B534" s="1112"/>
      <c r="C534" s="1114"/>
      <c r="D534" s="1114"/>
      <c r="E534" s="1114"/>
      <c r="F534" s="1112"/>
      <c r="G534" s="1112"/>
      <c r="H534" s="1112"/>
      <c r="I534" s="1113"/>
      <c r="J534" s="1113"/>
      <c r="K534" s="1113"/>
      <c r="L534" s="150">
        <f t="shared" si="36"/>
        <v>0</v>
      </c>
      <c r="M534" s="151">
        <f t="shared" si="37"/>
        <v>0</v>
      </c>
      <c r="N534" s="152">
        <f>+IF(OR($Q534=Parametres!$G$2,$Q534=Parametres!$G$3),I534,C534)</f>
        <v>0</v>
      </c>
      <c r="O534" s="152">
        <f>+IF(OR($Q534=Parametres!$G$2,$Q534=Parametres!$G$3),J534,D534)</f>
        <v>0</v>
      </c>
      <c r="P534" s="152">
        <f>+IF(OR($Q534=Parametres!$G$2,$Q534=Parametres!$G$3),K534,E534)</f>
        <v>0</v>
      </c>
      <c r="Q534" s="151">
        <f t="shared" si="39"/>
        <v>0</v>
      </c>
      <c r="R534" s="150">
        <f t="shared" si="39"/>
        <v>0</v>
      </c>
      <c r="S534" s="151">
        <f t="shared" si="39"/>
        <v>0</v>
      </c>
      <c r="T534" s="153" t="e">
        <f>+VLOOKUP($L534,Data_Validation!$A:$D,1,0)</f>
        <v>#N/A</v>
      </c>
      <c r="U534" s="153" t="e">
        <f>+VLOOKUP($L534,Data_Validation!$A:$D,3,0)</f>
        <v>#N/A</v>
      </c>
      <c r="V534" s="153" t="e">
        <f>+VLOOKUP($L534,Data_Validation!$A:$D,4,0)</f>
        <v>#N/A</v>
      </c>
      <c r="W534" s="153" t="e">
        <f>+VLOOKUP($L534,Data_Validation!$A:$E,5,0)</f>
        <v>#N/A</v>
      </c>
      <c r="X534" s="153" t="e">
        <f>+VLOOKUP($L534,Data_Validation!$A:$F,6,0)</f>
        <v>#N/A</v>
      </c>
    </row>
    <row r="535" spans="1:24" ht="15" customHeight="1">
      <c r="A535" s="1112"/>
      <c r="B535" s="1112"/>
      <c r="C535" s="1114"/>
      <c r="D535" s="1114"/>
      <c r="E535" s="1114"/>
      <c r="F535" s="1112"/>
      <c r="G535" s="1112"/>
      <c r="H535" s="1112"/>
      <c r="I535" s="1113"/>
      <c r="J535" s="1113"/>
      <c r="K535" s="1113"/>
      <c r="L535" s="150">
        <f t="shared" si="36"/>
        <v>0</v>
      </c>
      <c r="M535" s="151">
        <f t="shared" si="37"/>
        <v>0</v>
      </c>
      <c r="N535" s="152">
        <f>+IF(OR($Q535=Parametres!$G$2,$Q535=Parametres!$G$3),I535,C535)</f>
        <v>0</v>
      </c>
      <c r="O535" s="152">
        <f>+IF(OR($Q535=Parametres!$G$2,$Q535=Parametres!$G$3),J535,D535)</f>
        <v>0</v>
      </c>
      <c r="P535" s="152">
        <f>+IF(OR($Q535=Parametres!$G$2,$Q535=Parametres!$G$3),K535,E535)</f>
        <v>0</v>
      </c>
      <c r="Q535" s="151">
        <f t="shared" si="39"/>
        <v>0</v>
      </c>
      <c r="R535" s="150">
        <f t="shared" si="39"/>
        <v>0</v>
      </c>
      <c r="S535" s="151">
        <f t="shared" si="39"/>
        <v>0</v>
      </c>
      <c r="T535" s="153" t="e">
        <f>+VLOOKUP($L535,Data_Validation!$A:$D,1,0)</f>
        <v>#N/A</v>
      </c>
      <c r="U535" s="153" t="e">
        <f>+VLOOKUP($L535,Data_Validation!$A:$D,3,0)</f>
        <v>#N/A</v>
      </c>
      <c r="V535" s="153" t="e">
        <f>+VLOOKUP($L535,Data_Validation!$A:$D,4,0)</f>
        <v>#N/A</v>
      </c>
      <c r="W535" s="153" t="e">
        <f>+VLOOKUP($L535,Data_Validation!$A:$E,5,0)</f>
        <v>#N/A</v>
      </c>
      <c r="X535" s="153" t="e">
        <f>+VLOOKUP($L535,Data_Validation!$A:$F,6,0)</f>
        <v>#N/A</v>
      </c>
    </row>
    <row r="536" spans="1:24" ht="15" customHeight="1">
      <c r="A536" s="1112"/>
      <c r="B536" s="1112"/>
      <c r="C536" s="1114"/>
      <c r="D536" s="1114"/>
      <c r="E536" s="1114"/>
      <c r="F536" s="1112"/>
      <c r="G536" s="1112"/>
      <c r="H536" s="1112"/>
      <c r="I536" s="1113"/>
      <c r="J536" s="1113"/>
      <c r="K536" s="1113"/>
      <c r="L536" s="150">
        <f t="shared" si="36"/>
        <v>0</v>
      </c>
      <c r="M536" s="151">
        <f t="shared" si="37"/>
        <v>0</v>
      </c>
      <c r="N536" s="152">
        <f>+IF(OR($Q536=Parametres!$G$2,$Q536=Parametres!$G$3),I536,C536)</f>
        <v>0</v>
      </c>
      <c r="O536" s="152">
        <f>+IF(OR($Q536=Parametres!$G$2,$Q536=Parametres!$G$3),J536,D536)</f>
        <v>0</v>
      </c>
      <c r="P536" s="152">
        <f>+IF(OR($Q536=Parametres!$G$2,$Q536=Parametres!$G$3),K536,E536)</f>
        <v>0</v>
      </c>
      <c r="Q536" s="151">
        <f t="shared" si="39"/>
        <v>0</v>
      </c>
      <c r="R536" s="150">
        <f t="shared" si="39"/>
        <v>0</v>
      </c>
      <c r="S536" s="151">
        <f t="shared" si="39"/>
        <v>0</v>
      </c>
      <c r="T536" s="153" t="e">
        <f>+VLOOKUP($L536,Data_Validation!$A:$D,1,0)</f>
        <v>#N/A</v>
      </c>
      <c r="U536" s="153" t="e">
        <f>+VLOOKUP($L536,Data_Validation!$A:$D,3,0)</f>
        <v>#N/A</v>
      </c>
      <c r="V536" s="153" t="e">
        <f>+VLOOKUP($L536,Data_Validation!$A:$D,4,0)</f>
        <v>#N/A</v>
      </c>
      <c r="W536" s="153" t="e">
        <f>+VLOOKUP($L536,Data_Validation!$A:$E,5,0)</f>
        <v>#N/A</v>
      </c>
      <c r="X536" s="153" t="e">
        <f>+VLOOKUP($L536,Data_Validation!$A:$F,6,0)</f>
        <v>#N/A</v>
      </c>
    </row>
    <row r="537" spans="1:24" ht="15.75" customHeight="1">
      <c r="A537" s="1112"/>
      <c r="B537" s="1112"/>
      <c r="C537" s="1114"/>
      <c r="D537" s="1114"/>
      <c r="E537" s="1114"/>
      <c r="F537" s="1112"/>
      <c r="G537" s="1112"/>
      <c r="H537" s="1112"/>
      <c r="I537" s="1113"/>
      <c r="J537" s="1113"/>
      <c r="K537" s="1113"/>
      <c r="L537" s="150">
        <f t="shared" si="36"/>
        <v>0</v>
      </c>
      <c r="M537" s="151">
        <f t="shared" si="37"/>
        <v>0</v>
      </c>
      <c r="N537" s="152">
        <f>+IF(OR($Q537=Parametres!$G$2,$Q537=Parametres!$G$3),I537,C537)</f>
        <v>0</v>
      </c>
      <c r="O537" s="152">
        <f>+IF(OR($Q537=Parametres!$G$2,$Q537=Parametres!$G$3),J537,D537)</f>
        <v>0</v>
      </c>
      <c r="P537" s="152">
        <f>+IF(OR($Q537=Parametres!$G$2,$Q537=Parametres!$G$3),K537,E537)</f>
        <v>0</v>
      </c>
      <c r="Q537" s="151">
        <f t="shared" si="39"/>
        <v>0</v>
      </c>
      <c r="R537" s="150">
        <f t="shared" si="39"/>
        <v>0</v>
      </c>
      <c r="S537" s="151">
        <f t="shared" si="39"/>
        <v>0</v>
      </c>
      <c r="T537" s="153" t="e">
        <f>+VLOOKUP($L537,Data_Validation!$A:$D,1,0)</f>
        <v>#N/A</v>
      </c>
      <c r="U537" s="153" t="e">
        <f>+VLOOKUP($L537,Data_Validation!$A:$D,3,0)</f>
        <v>#N/A</v>
      </c>
      <c r="V537" s="153" t="e">
        <f>+VLOOKUP($L537,Data_Validation!$A:$D,4,0)</f>
        <v>#N/A</v>
      </c>
      <c r="W537" s="153" t="e">
        <f>+VLOOKUP($L537,Data_Validation!$A:$E,5,0)</f>
        <v>#N/A</v>
      </c>
      <c r="X537" s="153" t="e">
        <f>+VLOOKUP($L537,Data_Validation!$A:$F,6,0)</f>
        <v>#N/A</v>
      </c>
    </row>
    <row r="538" spans="1:24" ht="15" customHeight="1">
      <c r="A538" s="1112"/>
      <c r="B538" s="1112"/>
      <c r="C538" s="1114"/>
      <c r="D538" s="1114"/>
      <c r="E538" s="1114"/>
      <c r="F538" s="1112"/>
      <c r="G538" s="1112"/>
      <c r="H538" s="1112"/>
      <c r="I538" s="1113"/>
      <c r="J538" s="1113"/>
      <c r="K538" s="1113"/>
      <c r="L538" s="150">
        <f t="shared" si="36"/>
        <v>0</v>
      </c>
      <c r="M538" s="151">
        <f t="shared" si="37"/>
        <v>0</v>
      </c>
      <c r="N538" s="152">
        <f>+IF(OR($Q538=Parametres!$G$2,$Q538=Parametres!$G$3),I538,C538)</f>
        <v>0</v>
      </c>
      <c r="O538" s="152">
        <f>+IF(OR($Q538=Parametres!$G$2,$Q538=Parametres!$G$3),J538,D538)</f>
        <v>0</v>
      </c>
      <c r="P538" s="152">
        <f>+IF(OR($Q538=Parametres!$G$2,$Q538=Parametres!$G$3),K538,E538)</f>
        <v>0</v>
      </c>
      <c r="Q538" s="151">
        <f t="shared" si="39"/>
        <v>0</v>
      </c>
      <c r="R538" s="150">
        <f t="shared" si="39"/>
        <v>0</v>
      </c>
      <c r="S538" s="151">
        <f t="shared" si="39"/>
        <v>0</v>
      </c>
      <c r="T538" s="153" t="e">
        <f>+VLOOKUP($L538,Data_Validation!$A:$D,1,0)</f>
        <v>#N/A</v>
      </c>
      <c r="U538" s="153" t="e">
        <f>+VLOOKUP($L538,Data_Validation!$A:$D,3,0)</f>
        <v>#N/A</v>
      </c>
      <c r="V538" s="153" t="e">
        <f>+VLOOKUP($L538,Data_Validation!$A:$D,4,0)</f>
        <v>#N/A</v>
      </c>
      <c r="W538" s="153" t="e">
        <f>+VLOOKUP($L538,Data_Validation!$A:$E,5,0)</f>
        <v>#N/A</v>
      </c>
      <c r="X538" s="153" t="e">
        <f>+VLOOKUP($L538,Data_Validation!$A:$F,6,0)</f>
        <v>#N/A</v>
      </c>
    </row>
    <row r="539" spans="1:24" ht="15" customHeight="1">
      <c r="A539" s="1112"/>
      <c r="B539" s="1112"/>
      <c r="C539" s="1114"/>
      <c r="D539" s="1114"/>
      <c r="E539" s="1114"/>
      <c r="F539" s="1112"/>
      <c r="G539" s="1112"/>
      <c r="H539" s="1112"/>
      <c r="I539" s="1113"/>
      <c r="J539" s="1113"/>
      <c r="K539" s="1113"/>
      <c r="L539" s="150">
        <f t="shared" si="36"/>
        <v>0</v>
      </c>
      <c r="M539" s="151">
        <f t="shared" si="37"/>
        <v>0</v>
      </c>
      <c r="N539" s="152">
        <f>+IF(OR($Q539=Parametres!$G$2,$Q539=Parametres!$G$3),I539,C539)</f>
        <v>0</v>
      </c>
      <c r="O539" s="152">
        <f>+IF(OR($Q539=Parametres!$G$2,$Q539=Parametres!$G$3),J539,D539)</f>
        <v>0</v>
      </c>
      <c r="P539" s="152">
        <f>+IF(OR($Q539=Parametres!$G$2,$Q539=Parametres!$G$3),K539,E539)</f>
        <v>0</v>
      </c>
      <c r="Q539" s="151">
        <f t="shared" si="39"/>
        <v>0</v>
      </c>
      <c r="R539" s="150">
        <f t="shared" si="39"/>
        <v>0</v>
      </c>
      <c r="S539" s="151">
        <f t="shared" si="39"/>
        <v>0</v>
      </c>
      <c r="T539" s="153" t="e">
        <f>+VLOOKUP($L539,Data_Validation!$A:$D,1,0)</f>
        <v>#N/A</v>
      </c>
      <c r="U539" s="153" t="e">
        <f>+VLOOKUP($L539,Data_Validation!$A:$D,3,0)</f>
        <v>#N/A</v>
      </c>
      <c r="V539" s="153" t="e">
        <f>+VLOOKUP($L539,Data_Validation!$A:$D,4,0)</f>
        <v>#N/A</v>
      </c>
      <c r="W539" s="153" t="e">
        <f>+VLOOKUP($L539,Data_Validation!$A:$E,5,0)</f>
        <v>#N/A</v>
      </c>
      <c r="X539" s="153" t="e">
        <f>+VLOOKUP($L539,Data_Validation!$A:$F,6,0)</f>
        <v>#N/A</v>
      </c>
    </row>
    <row r="540" spans="1:24" ht="15" customHeight="1">
      <c r="A540" s="1112"/>
      <c r="B540" s="1112"/>
      <c r="C540" s="1114"/>
      <c r="D540" s="1114"/>
      <c r="E540" s="1114"/>
      <c r="F540" s="1112"/>
      <c r="G540" s="1112"/>
      <c r="H540" s="1112"/>
      <c r="I540" s="1113"/>
      <c r="J540" s="1113"/>
      <c r="K540" s="1113"/>
      <c r="L540" s="150">
        <f t="shared" si="36"/>
        <v>0</v>
      </c>
      <c r="M540" s="151">
        <f t="shared" si="37"/>
        <v>0</v>
      </c>
      <c r="N540" s="152">
        <f>+IF(OR($Q540=Parametres!$G$2,$Q540=Parametres!$G$3),I540,C540)</f>
        <v>0</v>
      </c>
      <c r="O540" s="152">
        <f>+IF(OR($Q540=Parametres!$G$2,$Q540=Parametres!$G$3),J540,D540)</f>
        <v>0</v>
      </c>
      <c r="P540" s="152">
        <f>+IF(OR($Q540=Parametres!$G$2,$Q540=Parametres!$G$3),K540,E540)</f>
        <v>0</v>
      </c>
      <c r="Q540" s="151">
        <f t="shared" si="39"/>
        <v>0</v>
      </c>
      <c r="R540" s="150">
        <f t="shared" si="39"/>
        <v>0</v>
      </c>
      <c r="S540" s="151">
        <f t="shared" si="39"/>
        <v>0</v>
      </c>
      <c r="T540" s="153" t="e">
        <f>+VLOOKUP($L540,Data_Validation!$A:$D,1,0)</f>
        <v>#N/A</v>
      </c>
      <c r="U540" s="153" t="e">
        <f>+VLOOKUP($L540,Data_Validation!$A:$D,3,0)</f>
        <v>#N/A</v>
      </c>
      <c r="V540" s="153" t="e">
        <f>+VLOOKUP($L540,Data_Validation!$A:$D,4,0)</f>
        <v>#N/A</v>
      </c>
      <c r="W540" s="153" t="e">
        <f>+VLOOKUP($L540,Data_Validation!$A:$E,5,0)</f>
        <v>#N/A</v>
      </c>
      <c r="X540" s="153" t="e">
        <f>+VLOOKUP($L540,Data_Validation!$A:$F,6,0)</f>
        <v>#N/A</v>
      </c>
    </row>
    <row r="541" spans="1:24" ht="15" customHeight="1">
      <c r="A541" s="1112"/>
      <c r="B541" s="1112"/>
      <c r="C541" s="1114"/>
      <c r="D541" s="1114"/>
      <c r="E541" s="1114"/>
      <c r="F541" s="1112"/>
      <c r="G541" s="1112"/>
      <c r="H541" s="1112"/>
      <c r="I541" s="1113"/>
      <c r="J541" s="1113"/>
      <c r="K541" s="1113"/>
      <c r="L541" s="150">
        <f t="shared" si="36"/>
        <v>0</v>
      </c>
      <c r="M541" s="151">
        <f t="shared" si="37"/>
        <v>0</v>
      </c>
      <c r="N541" s="152">
        <f>+IF(OR($Q541=Parametres!$G$2,$Q541=Parametres!$G$3),I541,C541)</f>
        <v>0</v>
      </c>
      <c r="O541" s="152">
        <f>+IF(OR($Q541=Parametres!$G$2,$Q541=Parametres!$G$3),J541,D541)</f>
        <v>0</v>
      </c>
      <c r="P541" s="152">
        <f>+IF(OR($Q541=Parametres!$G$2,$Q541=Parametres!$G$3),K541,E541)</f>
        <v>0</v>
      </c>
      <c r="Q541" s="151">
        <f t="shared" si="39"/>
        <v>0</v>
      </c>
      <c r="R541" s="150">
        <f t="shared" si="39"/>
        <v>0</v>
      </c>
      <c r="S541" s="151">
        <f t="shared" si="39"/>
        <v>0</v>
      </c>
      <c r="T541" s="153" t="e">
        <f>+VLOOKUP($L541,Data_Validation!$A:$D,1,0)</f>
        <v>#N/A</v>
      </c>
      <c r="U541" s="153" t="e">
        <f>+VLOOKUP($L541,Data_Validation!$A:$D,3,0)</f>
        <v>#N/A</v>
      </c>
      <c r="V541" s="153" t="e">
        <f>+VLOOKUP($L541,Data_Validation!$A:$D,4,0)</f>
        <v>#N/A</v>
      </c>
      <c r="W541" s="153" t="e">
        <f>+VLOOKUP($L541,Data_Validation!$A:$E,5,0)</f>
        <v>#N/A</v>
      </c>
      <c r="X541" s="153" t="e">
        <f>+VLOOKUP($L541,Data_Validation!$A:$F,6,0)</f>
        <v>#N/A</v>
      </c>
    </row>
    <row r="542" spans="1:24" ht="15.75" customHeight="1">
      <c r="A542" s="1112"/>
      <c r="B542" s="1112"/>
      <c r="C542" s="1114"/>
      <c r="D542" s="1114"/>
      <c r="E542" s="1114"/>
      <c r="F542" s="1112"/>
      <c r="G542" s="1112"/>
      <c r="H542" s="1112"/>
      <c r="I542" s="1113"/>
      <c r="J542" s="1113"/>
      <c r="K542" s="1113"/>
      <c r="L542" s="150">
        <f t="shared" si="36"/>
        <v>0</v>
      </c>
      <c r="M542" s="151">
        <f t="shared" si="37"/>
        <v>0</v>
      </c>
      <c r="N542" s="152">
        <f>+IF(OR($Q542=Parametres!$G$2,$Q542=Parametres!$G$3),I542,C542)</f>
        <v>0</v>
      </c>
      <c r="O542" s="152">
        <f>+IF(OR($Q542=Parametres!$G$2,$Q542=Parametres!$G$3),J542,D542)</f>
        <v>0</v>
      </c>
      <c r="P542" s="152">
        <f>+IF(OR($Q542=Parametres!$G$2,$Q542=Parametres!$G$3),K542,E542)</f>
        <v>0</v>
      </c>
      <c r="Q542" s="151">
        <f t="shared" si="39"/>
        <v>0</v>
      </c>
      <c r="R542" s="150">
        <f t="shared" si="39"/>
        <v>0</v>
      </c>
      <c r="S542" s="151">
        <f t="shared" si="39"/>
        <v>0</v>
      </c>
      <c r="T542" s="153" t="e">
        <f>+VLOOKUP($L542,Data_Validation!$A:$D,1,0)</f>
        <v>#N/A</v>
      </c>
      <c r="U542" s="153" t="e">
        <f>+VLOOKUP($L542,Data_Validation!$A:$D,3,0)</f>
        <v>#N/A</v>
      </c>
      <c r="V542" s="153" t="e">
        <f>+VLOOKUP($L542,Data_Validation!$A:$D,4,0)</f>
        <v>#N/A</v>
      </c>
      <c r="W542" s="153" t="e">
        <f>+VLOOKUP($L542,Data_Validation!$A:$E,5,0)</f>
        <v>#N/A</v>
      </c>
      <c r="X542" s="153" t="e">
        <f>+VLOOKUP($L542,Data_Validation!$A:$F,6,0)</f>
        <v>#N/A</v>
      </c>
    </row>
    <row r="543" spans="1:24" ht="15" customHeight="1">
      <c r="A543" s="1112"/>
      <c r="B543" s="1112"/>
      <c r="C543" s="1114"/>
      <c r="D543" s="1114"/>
      <c r="E543" s="1114"/>
      <c r="F543" s="1112"/>
      <c r="G543" s="1112"/>
      <c r="H543" s="1112"/>
      <c r="I543" s="1113"/>
      <c r="J543" s="1113"/>
      <c r="K543" s="1113"/>
      <c r="L543" s="150">
        <f t="shared" si="36"/>
        <v>0</v>
      </c>
      <c r="M543" s="151">
        <f t="shared" si="37"/>
        <v>0</v>
      </c>
      <c r="N543" s="152">
        <f>+IF(OR($Q543=Parametres!$G$2,$Q543=Parametres!$G$3),I543,C543)</f>
        <v>0</v>
      </c>
      <c r="O543" s="152">
        <f>+IF(OR($Q543=Parametres!$G$2,$Q543=Parametres!$G$3),J543,D543)</f>
        <v>0</v>
      </c>
      <c r="P543" s="152">
        <f>+IF(OR($Q543=Parametres!$G$2,$Q543=Parametres!$G$3),K543,E543)</f>
        <v>0</v>
      </c>
      <c r="Q543" s="151">
        <f t="shared" si="39"/>
        <v>0</v>
      </c>
      <c r="R543" s="150">
        <f t="shared" si="39"/>
        <v>0</v>
      </c>
      <c r="S543" s="151">
        <f t="shared" si="39"/>
        <v>0</v>
      </c>
      <c r="T543" s="153" t="e">
        <f>+VLOOKUP($L543,Data_Validation!$A:$D,1,0)</f>
        <v>#N/A</v>
      </c>
      <c r="U543" s="153" t="e">
        <f>+VLOOKUP($L543,Data_Validation!$A:$D,3,0)</f>
        <v>#N/A</v>
      </c>
      <c r="V543" s="153" t="e">
        <f>+VLOOKUP($L543,Data_Validation!$A:$D,4,0)</f>
        <v>#N/A</v>
      </c>
      <c r="W543" s="153" t="e">
        <f>+VLOOKUP($L543,Data_Validation!$A:$E,5,0)</f>
        <v>#N/A</v>
      </c>
      <c r="X543" s="153" t="e">
        <f>+VLOOKUP($L543,Data_Validation!$A:$F,6,0)</f>
        <v>#N/A</v>
      </c>
    </row>
    <row r="544" spans="1:24" ht="15" customHeight="1">
      <c r="A544" s="1112"/>
      <c r="B544" s="1112"/>
      <c r="C544" s="1114"/>
      <c r="D544" s="1114"/>
      <c r="E544" s="1114"/>
      <c r="F544" s="1112"/>
      <c r="G544" s="1112"/>
      <c r="H544" s="1112"/>
      <c r="I544" s="1113"/>
      <c r="J544" s="1113"/>
      <c r="K544" s="1113"/>
      <c r="L544" s="150">
        <f t="shared" si="36"/>
        <v>0</v>
      </c>
      <c r="M544" s="151">
        <f t="shared" si="37"/>
        <v>0</v>
      </c>
      <c r="N544" s="152">
        <f>+IF(OR($Q544=Parametres!$G$2,$Q544=Parametres!$G$3),I544,C544)</f>
        <v>0</v>
      </c>
      <c r="O544" s="152">
        <f>+IF(OR($Q544=Parametres!$G$2,$Q544=Parametres!$G$3),J544,D544)</f>
        <v>0</v>
      </c>
      <c r="P544" s="152">
        <f>+IF(OR($Q544=Parametres!$G$2,$Q544=Parametres!$G$3),K544,E544)</f>
        <v>0</v>
      </c>
      <c r="Q544" s="151">
        <f t="shared" si="39"/>
        <v>0</v>
      </c>
      <c r="R544" s="150">
        <f t="shared" si="39"/>
        <v>0</v>
      </c>
      <c r="S544" s="151">
        <f t="shared" si="39"/>
        <v>0</v>
      </c>
      <c r="T544" s="153" t="e">
        <f>+VLOOKUP($L544,Data_Validation!$A:$D,1,0)</f>
        <v>#N/A</v>
      </c>
      <c r="U544" s="153" t="e">
        <f>+VLOOKUP($L544,Data_Validation!$A:$D,3,0)</f>
        <v>#N/A</v>
      </c>
      <c r="V544" s="153" t="e">
        <f>+VLOOKUP($L544,Data_Validation!$A:$D,4,0)</f>
        <v>#N/A</v>
      </c>
      <c r="W544" s="153" t="e">
        <f>+VLOOKUP($L544,Data_Validation!$A:$E,5,0)</f>
        <v>#N/A</v>
      </c>
      <c r="X544" s="153" t="e">
        <f>+VLOOKUP($L544,Data_Validation!$A:$F,6,0)</f>
        <v>#N/A</v>
      </c>
    </row>
    <row r="545" spans="1:24" ht="15" customHeight="1">
      <c r="A545" s="1112"/>
      <c r="B545" s="1112"/>
      <c r="C545" s="1114"/>
      <c r="D545" s="1114"/>
      <c r="E545" s="1114"/>
      <c r="F545" s="1112"/>
      <c r="G545" s="1112"/>
      <c r="H545" s="1112"/>
      <c r="I545" s="1113"/>
      <c r="J545" s="1113"/>
      <c r="K545" s="1113"/>
      <c r="L545" s="150">
        <f t="shared" si="36"/>
        <v>0</v>
      </c>
      <c r="M545" s="151">
        <f t="shared" si="37"/>
        <v>0</v>
      </c>
      <c r="N545" s="152">
        <f>+IF(OR($Q545=Parametres!$G$2,$Q545=Parametres!$G$3),I545,C545)</f>
        <v>0</v>
      </c>
      <c r="O545" s="152">
        <f>+IF(OR($Q545=Parametres!$G$2,$Q545=Parametres!$G$3),J545,D545)</f>
        <v>0</v>
      </c>
      <c r="P545" s="152">
        <f>+IF(OR($Q545=Parametres!$G$2,$Q545=Parametres!$G$3),K545,E545)</f>
        <v>0</v>
      </c>
      <c r="Q545" s="151">
        <f t="shared" si="39"/>
        <v>0</v>
      </c>
      <c r="R545" s="150">
        <f t="shared" si="39"/>
        <v>0</v>
      </c>
      <c r="S545" s="151">
        <f t="shared" si="39"/>
        <v>0</v>
      </c>
      <c r="T545" s="153" t="e">
        <f>+VLOOKUP($L545,Data_Validation!$A:$D,1,0)</f>
        <v>#N/A</v>
      </c>
      <c r="U545" s="153" t="e">
        <f>+VLOOKUP($L545,Data_Validation!$A:$D,3,0)</f>
        <v>#N/A</v>
      </c>
      <c r="V545" s="153" t="e">
        <f>+VLOOKUP($L545,Data_Validation!$A:$D,4,0)</f>
        <v>#N/A</v>
      </c>
      <c r="W545" s="153" t="e">
        <f>+VLOOKUP($L545,Data_Validation!$A:$E,5,0)</f>
        <v>#N/A</v>
      </c>
      <c r="X545" s="153" t="e">
        <f>+VLOOKUP($L545,Data_Validation!$A:$F,6,0)</f>
        <v>#N/A</v>
      </c>
    </row>
    <row r="546" spans="1:24" ht="15" customHeight="1">
      <c r="A546" s="1112"/>
      <c r="B546" s="1112"/>
      <c r="C546" s="1114"/>
      <c r="D546" s="1114"/>
      <c r="E546" s="1114"/>
      <c r="F546" s="1112"/>
      <c r="G546" s="1112"/>
      <c r="H546" s="1112"/>
      <c r="I546" s="1113"/>
      <c r="J546" s="1113"/>
      <c r="K546" s="1113"/>
      <c r="L546" s="150">
        <f t="shared" si="36"/>
        <v>0</v>
      </c>
      <c r="M546" s="151">
        <f t="shared" si="37"/>
        <v>0</v>
      </c>
      <c r="N546" s="152">
        <f>+IF(OR($Q546=Parametres!$G$2,$Q546=Parametres!$G$3),I546,C546)</f>
        <v>0</v>
      </c>
      <c r="O546" s="152">
        <f>+IF(OR($Q546=Parametres!$G$2,$Q546=Parametres!$G$3),J546,D546)</f>
        <v>0</v>
      </c>
      <c r="P546" s="152">
        <f>+IF(OR($Q546=Parametres!$G$2,$Q546=Parametres!$G$3),K546,E546)</f>
        <v>0</v>
      </c>
      <c r="Q546" s="151">
        <f t="shared" ref="Q546:S561" si="40">+F546</f>
        <v>0</v>
      </c>
      <c r="R546" s="150">
        <f t="shared" si="40"/>
        <v>0</v>
      </c>
      <c r="S546" s="151">
        <f t="shared" si="40"/>
        <v>0</v>
      </c>
      <c r="T546" s="153" t="e">
        <f>+VLOOKUP($L546,Data_Validation!$A:$D,1,0)</f>
        <v>#N/A</v>
      </c>
      <c r="U546" s="153" t="e">
        <f>+VLOOKUP($L546,Data_Validation!$A:$D,3,0)</f>
        <v>#N/A</v>
      </c>
      <c r="V546" s="153" t="e">
        <f>+VLOOKUP($L546,Data_Validation!$A:$D,4,0)</f>
        <v>#N/A</v>
      </c>
      <c r="W546" s="153" t="e">
        <f>+VLOOKUP($L546,Data_Validation!$A:$E,5,0)</f>
        <v>#N/A</v>
      </c>
      <c r="X546" s="153" t="e">
        <f>+VLOOKUP($L546,Data_Validation!$A:$F,6,0)</f>
        <v>#N/A</v>
      </c>
    </row>
    <row r="547" spans="1:24" ht="15.75" customHeight="1">
      <c r="A547" s="1112"/>
      <c r="B547" s="1112"/>
      <c r="C547" s="1114"/>
      <c r="D547" s="1114"/>
      <c r="E547" s="1114"/>
      <c r="F547" s="1112"/>
      <c r="G547" s="1112"/>
      <c r="H547" s="1112"/>
      <c r="I547" s="1113"/>
      <c r="J547" s="1113"/>
      <c r="K547" s="1113"/>
      <c r="L547" s="150">
        <f t="shared" si="36"/>
        <v>0</v>
      </c>
      <c r="M547" s="151">
        <f t="shared" si="37"/>
        <v>0</v>
      </c>
      <c r="N547" s="152">
        <f>+IF(OR($Q547=Parametres!$G$2,$Q547=Parametres!$G$3),I547,C547)</f>
        <v>0</v>
      </c>
      <c r="O547" s="152">
        <f>+IF(OR($Q547=Parametres!$G$2,$Q547=Parametres!$G$3),J547,D547)</f>
        <v>0</v>
      </c>
      <c r="P547" s="152">
        <f>+IF(OR($Q547=Parametres!$G$2,$Q547=Parametres!$G$3),K547,E547)</f>
        <v>0</v>
      </c>
      <c r="Q547" s="151">
        <f t="shared" si="40"/>
        <v>0</v>
      </c>
      <c r="R547" s="150">
        <f t="shared" si="40"/>
        <v>0</v>
      </c>
      <c r="S547" s="151">
        <f t="shared" si="40"/>
        <v>0</v>
      </c>
      <c r="T547" s="153" t="e">
        <f>+VLOOKUP($L547,Data_Validation!$A:$D,1,0)</f>
        <v>#N/A</v>
      </c>
      <c r="U547" s="153" t="e">
        <f>+VLOOKUP($L547,Data_Validation!$A:$D,3,0)</f>
        <v>#N/A</v>
      </c>
      <c r="V547" s="153" t="e">
        <f>+VLOOKUP($L547,Data_Validation!$A:$D,4,0)</f>
        <v>#N/A</v>
      </c>
      <c r="W547" s="153" t="e">
        <f>+VLOOKUP($L547,Data_Validation!$A:$E,5,0)</f>
        <v>#N/A</v>
      </c>
      <c r="X547" s="153" t="e">
        <f>+VLOOKUP($L547,Data_Validation!$A:$F,6,0)</f>
        <v>#N/A</v>
      </c>
    </row>
    <row r="548" spans="1:24" ht="15" customHeight="1">
      <c r="A548" s="1112"/>
      <c r="B548" s="1112"/>
      <c r="C548" s="1114"/>
      <c r="D548" s="1114"/>
      <c r="E548" s="1114"/>
      <c r="F548" s="1112"/>
      <c r="G548" s="1112"/>
      <c r="H548" s="1112"/>
      <c r="I548" s="1113"/>
      <c r="J548" s="1113"/>
      <c r="K548" s="1113"/>
      <c r="L548" s="150">
        <f t="shared" si="36"/>
        <v>0</v>
      </c>
      <c r="M548" s="151">
        <f t="shared" si="37"/>
        <v>0</v>
      </c>
      <c r="N548" s="152">
        <f>+IF(OR($Q548=Parametres!$G$2,$Q548=Parametres!$G$3),I548,C548)</f>
        <v>0</v>
      </c>
      <c r="O548" s="152">
        <f>+IF(OR($Q548=Parametres!$G$2,$Q548=Parametres!$G$3),J548,D548)</f>
        <v>0</v>
      </c>
      <c r="P548" s="152">
        <f>+IF(OR($Q548=Parametres!$G$2,$Q548=Parametres!$G$3),K548,E548)</f>
        <v>0</v>
      </c>
      <c r="Q548" s="151">
        <f t="shared" si="40"/>
        <v>0</v>
      </c>
      <c r="R548" s="150">
        <f t="shared" si="40"/>
        <v>0</v>
      </c>
      <c r="S548" s="151">
        <f t="shared" si="40"/>
        <v>0</v>
      </c>
      <c r="T548" s="153" t="e">
        <f>+VLOOKUP($L548,Data_Validation!$A:$D,1,0)</f>
        <v>#N/A</v>
      </c>
      <c r="U548" s="153" t="e">
        <f>+VLOOKUP($L548,Data_Validation!$A:$D,3,0)</f>
        <v>#N/A</v>
      </c>
      <c r="V548" s="153" t="e">
        <f>+VLOOKUP($L548,Data_Validation!$A:$D,4,0)</f>
        <v>#N/A</v>
      </c>
      <c r="W548" s="153" t="e">
        <f>+VLOOKUP($L548,Data_Validation!$A:$E,5,0)</f>
        <v>#N/A</v>
      </c>
      <c r="X548" s="153" t="e">
        <f>+VLOOKUP($L548,Data_Validation!$A:$F,6,0)</f>
        <v>#N/A</v>
      </c>
    </row>
    <row r="549" spans="1:24" ht="15" customHeight="1">
      <c r="A549" s="1112"/>
      <c r="B549" s="1112"/>
      <c r="C549" s="1114"/>
      <c r="D549" s="1114"/>
      <c r="E549" s="1114"/>
      <c r="F549" s="1112"/>
      <c r="G549" s="1112"/>
      <c r="H549" s="1112"/>
      <c r="I549" s="1113"/>
      <c r="J549" s="1113"/>
      <c r="K549" s="1113"/>
      <c r="L549" s="150">
        <f t="shared" si="36"/>
        <v>0</v>
      </c>
      <c r="M549" s="151">
        <f t="shared" si="37"/>
        <v>0</v>
      </c>
      <c r="N549" s="152">
        <f>+IF(OR($Q549=Parametres!$G$2,$Q549=Parametres!$G$3),I549,C549)</f>
        <v>0</v>
      </c>
      <c r="O549" s="152">
        <f>+IF(OR($Q549=Parametres!$G$2,$Q549=Parametres!$G$3),J549,D549)</f>
        <v>0</v>
      </c>
      <c r="P549" s="152">
        <f>+IF(OR($Q549=Parametres!$G$2,$Q549=Parametres!$G$3),K549,E549)</f>
        <v>0</v>
      </c>
      <c r="Q549" s="151">
        <f t="shared" si="40"/>
        <v>0</v>
      </c>
      <c r="R549" s="150">
        <f t="shared" si="40"/>
        <v>0</v>
      </c>
      <c r="S549" s="151">
        <f t="shared" si="40"/>
        <v>0</v>
      </c>
      <c r="T549" s="153" t="e">
        <f>+VLOOKUP($L549,Data_Validation!$A:$D,1,0)</f>
        <v>#N/A</v>
      </c>
      <c r="U549" s="153" t="e">
        <f>+VLOOKUP($L549,Data_Validation!$A:$D,3,0)</f>
        <v>#N/A</v>
      </c>
      <c r="V549" s="153" t="e">
        <f>+VLOOKUP($L549,Data_Validation!$A:$D,4,0)</f>
        <v>#N/A</v>
      </c>
      <c r="W549" s="153" t="e">
        <f>+VLOOKUP($L549,Data_Validation!$A:$E,5,0)</f>
        <v>#N/A</v>
      </c>
      <c r="X549" s="153" t="e">
        <f>+VLOOKUP($L549,Data_Validation!$A:$F,6,0)</f>
        <v>#N/A</v>
      </c>
    </row>
    <row r="550" spans="1:24" ht="15" customHeight="1">
      <c r="A550" s="1112"/>
      <c r="B550" s="1112"/>
      <c r="C550" s="1114"/>
      <c r="D550" s="1114"/>
      <c r="E550" s="1114"/>
      <c r="F550" s="1112"/>
      <c r="G550" s="1112"/>
      <c r="H550" s="1112"/>
      <c r="I550" s="1113"/>
      <c r="J550" s="1113"/>
      <c r="K550" s="1113"/>
      <c r="L550" s="150">
        <f t="shared" si="36"/>
        <v>0</v>
      </c>
      <c r="M550" s="151">
        <f t="shared" si="37"/>
        <v>0</v>
      </c>
      <c r="N550" s="152">
        <f>+IF(OR($Q550=Parametres!$G$2,$Q550=Parametres!$G$3),I550,C550)</f>
        <v>0</v>
      </c>
      <c r="O550" s="152">
        <f>+IF(OR($Q550=Parametres!$G$2,$Q550=Parametres!$G$3),J550,D550)</f>
        <v>0</v>
      </c>
      <c r="P550" s="152">
        <f>+IF(OR($Q550=Parametres!$G$2,$Q550=Parametres!$G$3),K550,E550)</f>
        <v>0</v>
      </c>
      <c r="Q550" s="151">
        <f t="shared" si="40"/>
        <v>0</v>
      </c>
      <c r="R550" s="150">
        <f t="shared" si="40"/>
        <v>0</v>
      </c>
      <c r="S550" s="151">
        <f t="shared" si="40"/>
        <v>0</v>
      </c>
      <c r="T550" s="153" t="e">
        <f>+VLOOKUP($L550,Data_Validation!$A:$D,1,0)</f>
        <v>#N/A</v>
      </c>
      <c r="U550" s="153" t="e">
        <f>+VLOOKUP($L550,Data_Validation!$A:$D,3,0)</f>
        <v>#N/A</v>
      </c>
      <c r="V550" s="153" t="e">
        <f>+VLOOKUP($L550,Data_Validation!$A:$D,4,0)</f>
        <v>#N/A</v>
      </c>
      <c r="W550" s="153" t="e">
        <f>+VLOOKUP($L550,Data_Validation!$A:$E,5,0)</f>
        <v>#N/A</v>
      </c>
      <c r="X550" s="153" t="e">
        <f>+VLOOKUP($L550,Data_Validation!$A:$F,6,0)</f>
        <v>#N/A</v>
      </c>
    </row>
    <row r="551" spans="1:24" ht="15.75" customHeight="1">
      <c r="A551" s="1112"/>
      <c r="B551" s="1112"/>
      <c r="C551" s="1114"/>
      <c r="D551" s="1114"/>
      <c r="E551" s="1114"/>
      <c r="F551" s="1112"/>
      <c r="G551" s="1112"/>
      <c r="H551" s="1112"/>
      <c r="I551" s="1113"/>
      <c r="J551" s="1113"/>
      <c r="K551" s="1113"/>
      <c r="L551" s="150">
        <f t="shared" si="36"/>
        <v>0</v>
      </c>
      <c r="M551" s="151">
        <f t="shared" si="37"/>
        <v>0</v>
      </c>
      <c r="N551" s="152">
        <f>+IF(OR($Q551=Parametres!$G$2,$Q551=Parametres!$G$3),I551,C551)</f>
        <v>0</v>
      </c>
      <c r="O551" s="152">
        <f>+IF(OR($Q551=Parametres!$G$2,$Q551=Parametres!$G$3),J551,D551)</f>
        <v>0</v>
      </c>
      <c r="P551" s="152">
        <f>+IF(OR($Q551=Parametres!$G$2,$Q551=Parametres!$G$3),K551,E551)</f>
        <v>0</v>
      </c>
      <c r="Q551" s="151">
        <f t="shared" si="40"/>
        <v>0</v>
      </c>
      <c r="R551" s="150">
        <f t="shared" si="40"/>
        <v>0</v>
      </c>
      <c r="S551" s="151">
        <f t="shared" si="40"/>
        <v>0</v>
      </c>
      <c r="T551" s="153" t="e">
        <f>+VLOOKUP($L551,Data_Validation!$A:$D,1,0)</f>
        <v>#N/A</v>
      </c>
      <c r="U551" s="153" t="e">
        <f>+VLOOKUP($L551,Data_Validation!$A:$D,3,0)</f>
        <v>#N/A</v>
      </c>
      <c r="V551" s="153" t="e">
        <f>+VLOOKUP($L551,Data_Validation!$A:$D,4,0)</f>
        <v>#N/A</v>
      </c>
      <c r="W551" s="153" t="e">
        <f>+VLOOKUP($L551,Data_Validation!$A:$E,5,0)</f>
        <v>#N/A</v>
      </c>
      <c r="X551" s="153" t="e">
        <f>+VLOOKUP($L551,Data_Validation!$A:$F,6,0)</f>
        <v>#N/A</v>
      </c>
    </row>
    <row r="552" spans="1:24" ht="15" customHeight="1">
      <c r="A552" s="1112"/>
      <c r="B552" s="1112"/>
      <c r="C552" s="1114"/>
      <c r="D552" s="1114"/>
      <c r="E552" s="1114"/>
      <c r="F552" s="1112"/>
      <c r="G552" s="1112"/>
      <c r="H552" s="1112"/>
      <c r="I552" s="1113"/>
      <c r="J552" s="1113"/>
      <c r="K552" s="1113"/>
      <c r="L552" s="150">
        <f t="shared" si="36"/>
        <v>0</v>
      </c>
      <c r="M552" s="151">
        <f t="shared" si="37"/>
        <v>0</v>
      </c>
      <c r="N552" s="152">
        <f>+IF(OR($Q552=Parametres!$G$2,$Q552=Parametres!$G$3),I552,C552)</f>
        <v>0</v>
      </c>
      <c r="O552" s="152">
        <f>+IF(OR($Q552=Parametres!$G$2,$Q552=Parametres!$G$3),J552,D552)</f>
        <v>0</v>
      </c>
      <c r="P552" s="152">
        <f>+IF(OR($Q552=Parametres!$G$2,$Q552=Parametres!$G$3),K552,E552)</f>
        <v>0</v>
      </c>
      <c r="Q552" s="151">
        <f t="shared" si="40"/>
        <v>0</v>
      </c>
      <c r="R552" s="150">
        <f t="shared" si="40"/>
        <v>0</v>
      </c>
      <c r="S552" s="151">
        <f t="shared" si="40"/>
        <v>0</v>
      </c>
      <c r="T552" s="153" t="e">
        <f>+VLOOKUP($L552,Data_Validation!$A:$D,1,0)</f>
        <v>#N/A</v>
      </c>
      <c r="U552" s="153" t="e">
        <f>+VLOOKUP($L552,Data_Validation!$A:$D,3,0)</f>
        <v>#N/A</v>
      </c>
      <c r="V552" s="153" t="e">
        <f>+VLOOKUP($L552,Data_Validation!$A:$D,4,0)</f>
        <v>#N/A</v>
      </c>
      <c r="W552" s="153" t="e">
        <f>+VLOOKUP($L552,Data_Validation!$A:$E,5,0)</f>
        <v>#N/A</v>
      </c>
      <c r="X552" s="153" t="e">
        <f>+VLOOKUP($L552,Data_Validation!$A:$F,6,0)</f>
        <v>#N/A</v>
      </c>
    </row>
    <row r="553" spans="1:24" ht="15" customHeight="1">
      <c r="A553" s="1112"/>
      <c r="B553" s="1112"/>
      <c r="C553" s="1114"/>
      <c r="D553" s="1114"/>
      <c r="E553" s="1114"/>
      <c r="F553" s="1112"/>
      <c r="G553" s="1112"/>
      <c r="H553" s="1112"/>
      <c r="I553" s="1113"/>
      <c r="J553" s="1113"/>
      <c r="K553" s="1113"/>
      <c r="L553" s="150">
        <f t="shared" si="36"/>
        <v>0</v>
      </c>
      <c r="M553" s="151">
        <f t="shared" si="37"/>
        <v>0</v>
      </c>
      <c r="N553" s="152">
        <f>+IF(OR($Q553=Parametres!$G$2,$Q553=Parametres!$G$3),I553,C553)</f>
        <v>0</v>
      </c>
      <c r="O553" s="152">
        <f>+IF(OR($Q553=Parametres!$G$2,$Q553=Parametres!$G$3),J553,D553)</f>
        <v>0</v>
      </c>
      <c r="P553" s="152">
        <f>+IF(OR($Q553=Parametres!$G$2,$Q553=Parametres!$G$3),K553,E553)</f>
        <v>0</v>
      </c>
      <c r="Q553" s="151">
        <f t="shared" si="40"/>
        <v>0</v>
      </c>
      <c r="R553" s="150">
        <f t="shared" si="40"/>
        <v>0</v>
      </c>
      <c r="S553" s="151">
        <f t="shared" si="40"/>
        <v>0</v>
      </c>
      <c r="T553" s="153" t="e">
        <f>+VLOOKUP($L553,Data_Validation!$A:$D,1,0)</f>
        <v>#N/A</v>
      </c>
      <c r="U553" s="153" t="e">
        <f>+VLOOKUP($L553,Data_Validation!$A:$D,3,0)</f>
        <v>#N/A</v>
      </c>
      <c r="V553" s="153" t="e">
        <f>+VLOOKUP($L553,Data_Validation!$A:$D,4,0)</f>
        <v>#N/A</v>
      </c>
      <c r="W553" s="153" t="e">
        <f>+VLOOKUP($L553,Data_Validation!$A:$E,5,0)</f>
        <v>#N/A</v>
      </c>
      <c r="X553" s="153" t="e">
        <f>+VLOOKUP($L553,Data_Validation!$A:$F,6,0)</f>
        <v>#N/A</v>
      </c>
    </row>
    <row r="554" spans="1:24" ht="15" customHeight="1">
      <c r="A554" s="1112"/>
      <c r="B554" s="1112"/>
      <c r="C554" s="1114"/>
      <c r="D554" s="1114"/>
      <c r="E554" s="1114"/>
      <c r="F554" s="1112"/>
      <c r="G554" s="1112"/>
      <c r="H554" s="1112"/>
      <c r="I554" s="1113"/>
      <c r="J554" s="1113"/>
      <c r="K554" s="1113"/>
      <c r="L554" s="150">
        <f t="shared" si="36"/>
        <v>0</v>
      </c>
      <c r="M554" s="151">
        <f t="shared" si="37"/>
        <v>0</v>
      </c>
      <c r="N554" s="152">
        <f>+IF(OR($Q554=Parametres!$G$2,$Q554=Parametres!$G$3),I554,C554)</f>
        <v>0</v>
      </c>
      <c r="O554" s="152">
        <f>+IF(OR($Q554=Parametres!$G$2,$Q554=Parametres!$G$3),J554,D554)</f>
        <v>0</v>
      </c>
      <c r="P554" s="152">
        <f>+IF(OR($Q554=Parametres!$G$2,$Q554=Parametres!$G$3),K554,E554)</f>
        <v>0</v>
      </c>
      <c r="Q554" s="151">
        <f t="shared" si="40"/>
        <v>0</v>
      </c>
      <c r="R554" s="150">
        <f t="shared" si="40"/>
        <v>0</v>
      </c>
      <c r="S554" s="151">
        <f t="shared" si="40"/>
        <v>0</v>
      </c>
      <c r="T554" s="153" t="e">
        <f>+VLOOKUP($L554,Data_Validation!$A:$D,1,0)</f>
        <v>#N/A</v>
      </c>
      <c r="U554" s="153" t="e">
        <f>+VLOOKUP($L554,Data_Validation!$A:$D,3,0)</f>
        <v>#N/A</v>
      </c>
      <c r="V554" s="153" t="e">
        <f>+VLOOKUP($L554,Data_Validation!$A:$D,4,0)</f>
        <v>#N/A</v>
      </c>
      <c r="W554" s="153" t="e">
        <f>+VLOOKUP($L554,Data_Validation!$A:$E,5,0)</f>
        <v>#N/A</v>
      </c>
      <c r="X554" s="153" t="e">
        <f>+VLOOKUP($L554,Data_Validation!$A:$F,6,0)</f>
        <v>#N/A</v>
      </c>
    </row>
    <row r="555" spans="1:24" ht="15.75" customHeight="1">
      <c r="A555" s="1112"/>
      <c r="B555" s="1112"/>
      <c r="C555" s="1114"/>
      <c r="D555" s="1114"/>
      <c r="E555" s="1114"/>
      <c r="F555" s="1112"/>
      <c r="G555" s="1112"/>
      <c r="H555" s="1112"/>
      <c r="I555" s="1113"/>
      <c r="J555" s="1113"/>
      <c r="K555" s="1113"/>
      <c r="L555" s="150">
        <f t="shared" si="36"/>
        <v>0</v>
      </c>
      <c r="M555" s="151">
        <f t="shared" si="37"/>
        <v>0</v>
      </c>
      <c r="N555" s="152">
        <f>+IF(OR($Q555=Parametres!$G$2,$Q555=Parametres!$G$3),I555,C555)</f>
        <v>0</v>
      </c>
      <c r="O555" s="152">
        <f>+IF(OR($Q555=Parametres!$G$2,$Q555=Parametres!$G$3),J555,D555)</f>
        <v>0</v>
      </c>
      <c r="P555" s="152">
        <f>+IF(OR($Q555=Parametres!$G$2,$Q555=Parametres!$G$3),K555,E555)</f>
        <v>0</v>
      </c>
      <c r="Q555" s="151">
        <f t="shared" si="40"/>
        <v>0</v>
      </c>
      <c r="R555" s="150">
        <f t="shared" si="40"/>
        <v>0</v>
      </c>
      <c r="S555" s="151">
        <f t="shared" si="40"/>
        <v>0</v>
      </c>
      <c r="T555" s="153" t="e">
        <f>+VLOOKUP($L555,Data_Validation!$A:$D,1,0)</f>
        <v>#N/A</v>
      </c>
      <c r="U555" s="153" t="e">
        <f>+VLOOKUP($L555,Data_Validation!$A:$D,3,0)</f>
        <v>#N/A</v>
      </c>
      <c r="V555" s="153" t="e">
        <f>+VLOOKUP($L555,Data_Validation!$A:$D,4,0)</f>
        <v>#N/A</v>
      </c>
      <c r="W555" s="153" t="e">
        <f>+VLOOKUP($L555,Data_Validation!$A:$E,5,0)</f>
        <v>#N/A</v>
      </c>
      <c r="X555" s="153" t="e">
        <f>+VLOOKUP($L555,Data_Validation!$A:$F,6,0)</f>
        <v>#N/A</v>
      </c>
    </row>
    <row r="556" spans="1:24" ht="15" customHeight="1">
      <c r="A556" s="1112"/>
      <c r="B556" s="1112"/>
      <c r="C556" s="1114"/>
      <c r="D556" s="1114"/>
      <c r="E556" s="1114"/>
      <c r="F556" s="1112"/>
      <c r="G556" s="1112"/>
      <c r="H556" s="1112"/>
      <c r="I556" s="1113"/>
      <c r="J556" s="1113"/>
      <c r="K556" s="1113"/>
      <c r="L556" s="150">
        <f t="shared" si="36"/>
        <v>0</v>
      </c>
      <c r="M556" s="151">
        <f t="shared" si="37"/>
        <v>0</v>
      </c>
      <c r="N556" s="152">
        <f>+IF(OR($Q556=Parametres!$G$2,$Q556=Parametres!$G$3),I556,C556)</f>
        <v>0</v>
      </c>
      <c r="O556" s="152">
        <f>+IF(OR($Q556=Parametres!$G$2,$Q556=Parametres!$G$3),J556,D556)</f>
        <v>0</v>
      </c>
      <c r="P556" s="152">
        <f>+IF(OR($Q556=Parametres!$G$2,$Q556=Parametres!$G$3),K556,E556)</f>
        <v>0</v>
      </c>
      <c r="Q556" s="151">
        <f t="shared" si="40"/>
        <v>0</v>
      </c>
      <c r="R556" s="150">
        <f t="shared" si="40"/>
        <v>0</v>
      </c>
      <c r="S556" s="151">
        <f t="shared" si="40"/>
        <v>0</v>
      </c>
      <c r="T556" s="153" t="e">
        <f>+VLOOKUP($L556,Data_Validation!$A:$D,1,0)</f>
        <v>#N/A</v>
      </c>
      <c r="U556" s="153" t="e">
        <f>+VLOOKUP($L556,Data_Validation!$A:$D,3,0)</f>
        <v>#N/A</v>
      </c>
      <c r="V556" s="153" t="e">
        <f>+VLOOKUP($L556,Data_Validation!$A:$D,4,0)</f>
        <v>#N/A</v>
      </c>
      <c r="W556" s="153" t="e">
        <f>+VLOOKUP($L556,Data_Validation!$A:$E,5,0)</f>
        <v>#N/A</v>
      </c>
      <c r="X556" s="153" t="e">
        <f>+VLOOKUP($L556,Data_Validation!$A:$F,6,0)</f>
        <v>#N/A</v>
      </c>
    </row>
    <row r="557" spans="1:24" ht="15" customHeight="1">
      <c r="A557" s="1112"/>
      <c r="B557" s="1112"/>
      <c r="C557" s="1114"/>
      <c r="D557" s="1114"/>
      <c r="E557" s="1114"/>
      <c r="F557" s="1112"/>
      <c r="G557" s="1112"/>
      <c r="H557" s="1112"/>
      <c r="I557" s="1113"/>
      <c r="J557" s="1113"/>
      <c r="K557" s="1113"/>
      <c r="L557" s="150">
        <f t="shared" si="36"/>
        <v>0</v>
      </c>
      <c r="M557" s="151">
        <f t="shared" si="37"/>
        <v>0</v>
      </c>
      <c r="N557" s="152">
        <f>+IF(OR($Q557=Parametres!$G$2,$Q557=Parametres!$G$3),I557,C557)</f>
        <v>0</v>
      </c>
      <c r="O557" s="152">
        <f>+IF(OR($Q557=Parametres!$G$2,$Q557=Parametres!$G$3),J557,D557)</f>
        <v>0</v>
      </c>
      <c r="P557" s="152">
        <f>+IF(OR($Q557=Parametres!$G$2,$Q557=Parametres!$G$3),K557,E557)</f>
        <v>0</v>
      </c>
      <c r="Q557" s="151">
        <f t="shared" si="40"/>
        <v>0</v>
      </c>
      <c r="R557" s="150">
        <f t="shared" si="40"/>
        <v>0</v>
      </c>
      <c r="S557" s="151">
        <f t="shared" si="40"/>
        <v>0</v>
      </c>
      <c r="T557" s="153" t="e">
        <f>+VLOOKUP($L557,Data_Validation!$A:$D,1,0)</f>
        <v>#N/A</v>
      </c>
      <c r="U557" s="153" t="e">
        <f>+VLOOKUP($L557,Data_Validation!$A:$D,3,0)</f>
        <v>#N/A</v>
      </c>
      <c r="V557" s="153" t="e">
        <f>+VLOOKUP($L557,Data_Validation!$A:$D,4,0)</f>
        <v>#N/A</v>
      </c>
      <c r="W557" s="153" t="e">
        <f>+VLOOKUP($L557,Data_Validation!$A:$E,5,0)</f>
        <v>#N/A</v>
      </c>
      <c r="X557" s="153" t="e">
        <f>+VLOOKUP($L557,Data_Validation!$A:$F,6,0)</f>
        <v>#N/A</v>
      </c>
    </row>
    <row r="558" spans="1:24" ht="15" customHeight="1">
      <c r="A558" s="1112"/>
      <c r="B558" s="1112"/>
      <c r="C558" s="1114"/>
      <c r="D558" s="1114"/>
      <c r="E558" s="1114"/>
      <c r="F558" s="1112"/>
      <c r="G558" s="1112"/>
      <c r="H558" s="1112"/>
      <c r="I558" s="1113"/>
      <c r="J558" s="1113"/>
      <c r="K558" s="1113"/>
      <c r="L558" s="150">
        <f t="shared" si="36"/>
        <v>0</v>
      </c>
      <c r="M558" s="151">
        <f t="shared" si="37"/>
        <v>0</v>
      </c>
      <c r="N558" s="152">
        <f>+IF(OR($Q558=Parametres!$G$2,$Q558=Parametres!$G$3),I558,C558)</f>
        <v>0</v>
      </c>
      <c r="O558" s="152">
        <f>+IF(OR($Q558=Parametres!$G$2,$Q558=Parametres!$G$3),J558,D558)</f>
        <v>0</v>
      </c>
      <c r="P558" s="152">
        <f>+IF(OR($Q558=Parametres!$G$2,$Q558=Parametres!$G$3),K558,E558)</f>
        <v>0</v>
      </c>
      <c r="Q558" s="151">
        <f t="shared" si="40"/>
        <v>0</v>
      </c>
      <c r="R558" s="150">
        <f t="shared" si="40"/>
        <v>0</v>
      </c>
      <c r="S558" s="151">
        <f t="shared" si="40"/>
        <v>0</v>
      </c>
      <c r="T558" s="153" t="e">
        <f>+VLOOKUP($L558,Data_Validation!$A:$D,1,0)</f>
        <v>#N/A</v>
      </c>
      <c r="U558" s="153" t="e">
        <f>+VLOOKUP($L558,Data_Validation!$A:$D,3,0)</f>
        <v>#N/A</v>
      </c>
      <c r="V558" s="153" t="e">
        <f>+VLOOKUP($L558,Data_Validation!$A:$D,4,0)</f>
        <v>#N/A</v>
      </c>
      <c r="W558" s="153" t="e">
        <f>+VLOOKUP($L558,Data_Validation!$A:$E,5,0)</f>
        <v>#N/A</v>
      </c>
      <c r="X558" s="153" t="e">
        <f>+VLOOKUP($L558,Data_Validation!$A:$F,6,0)</f>
        <v>#N/A</v>
      </c>
    </row>
    <row r="559" spans="1:24" ht="15.75" customHeight="1">
      <c r="A559" s="1112"/>
      <c r="B559" s="1112"/>
      <c r="C559" s="1114"/>
      <c r="D559" s="1114"/>
      <c r="E559" s="1114"/>
      <c r="F559" s="1112"/>
      <c r="G559" s="1112"/>
      <c r="H559" s="1112"/>
      <c r="I559" s="1113"/>
      <c r="J559" s="1113"/>
      <c r="K559" s="1113"/>
      <c r="L559" s="150">
        <f t="shared" si="36"/>
        <v>0</v>
      </c>
      <c r="M559" s="151">
        <f t="shared" si="37"/>
        <v>0</v>
      </c>
      <c r="N559" s="152">
        <f>+IF(OR($Q559=Parametres!$G$2,$Q559=Parametres!$G$3),I559,C559)</f>
        <v>0</v>
      </c>
      <c r="O559" s="152">
        <f>+IF(OR($Q559=Parametres!$G$2,$Q559=Parametres!$G$3),J559,D559)</f>
        <v>0</v>
      </c>
      <c r="P559" s="152">
        <f>+IF(OR($Q559=Parametres!$G$2,$Q559=Parametres!$G$3),K559,E559)</f>
        <v>0</v>
      </c>
      <c r="Q559" s="151">
        <f t="shared" si="40"/>
        <v>0</v>
      </c>
      <c r="R559" s="150">
        <f t="shared" si="40"/>
        <v>0</v>
      </c>
      <c r="S559" s="151">
        <f t="shared" si="40"/>
        <v>0</v>
      </c>
      <c r="T559" s="153" t="e">
        <f>+VLOOKUP($L559,Data_Validation!$A:$D,1,0)</f>
        <v>#N/A</v>
      </c>
      <c r="U559" s="153" t="e">
        <f>+VLOOKUP($L559,Data_Validation!$A:$D,3,0)</f>
        <v>#N/A</v>
      </c>
      <c r="V559" s="153" t="e">
        <f>+VLOOKUP($L559,Data_Validation!$A:$D,4,0)</f>
        <v>#N/A</v>
      </c>
      <c r="W559" s="153" t="e">
        <f>+VLOOKUP($L559,Data_Validation!$A:$E,5,0)</f>
        <v>#N/A</v>
      </c>
      <c r="X559" s="153" t="e">
        <f>+VLOOKUP($L559,Data_Validation!$A:$F,6,0)</f>
        <v>#N/A</v>
      </c>
    </row>
    <row r="560" spans="1:24" ht="15" customHeight="1">
      <c r="A560" s="1112"/>
      <c r="B560" s="1112"/>
      <c r="C560" s="1114"/>
      <c r="D560" s="1114"/>
      <c r="E560" s="1114"/>
      <c r="F560" s="1112"/>
      <c r="G560" s="1112"/>
      <c r="H560" s="1112"/>
      <c r="I560" s="1113"/>
      <c r="J560" s="1113"/>
      <c r="K560" s="1113"/>
      <c r="L560" s="150">
        <f t="shared" si="36"/>
        <v>0</v>
      </c>
      <c r="M560" s="151">
        <f t="shared" si="37"/>
        <v>0</v>
      </c>
      <c r="N560" s="152">
        <f>+IF(OR($Q560=Parametres!$G$2,$Q560=Parametres!$G$3),I560,C560)</f>
        <v>0</v>
      </c>
      <c r="O560" s="152">
        <f>+IF(OR($Q560=Parametres!$G$2,$Q560=Parametres!$G$3),J560,D560)</f>
        <v>0</v>
      </c>
      <c r="P560" s="152">
        <f>+IF(OR($Q560=Parametres!$G$2,$Q560=Parametres!$G$3),K560,E560)</f>
        <v>0</v>
      </c>
      <c r="Q560" s="151">
        <f t="shared" si="40"/>
        <v>0</v>
      </c>
      <c r="R560" s="150">
        <f t="shared" si="40"/>
        <v>0</v>
      </c>
      <c r="S560" s="151">
        <f t="shared" si="40"/>
        <v>0</v>
      </c>
      <c r="T560" s="153" t="e">
        <f>+VLOOKUP($L560,Data_Validation!$A:$D,1,0)</f>
        <v>#N/A</v>
      </c>
      <c r="U560" s="153" t="e">
        <f>+VLOOKUP($L560,Data_Validation!$A:$D,3,0)</f>
        <v>#N/A</v>
      </c>
      <c r="V560" s="153" t="e">
        <f>+VLOOKUP($L560,Data_Validation!$A:$D,4,0)</f>
        <v>#N/A</v>
      </c>
      <c r="W560" s="153" t="e">
        <f>+VLOOKUP($L560,Data_Validation!$A:$E,5,0)</f>
        <v>#N/A</v>
      </c>
      <c r="X560" s="153" t="e">
        <f>+VLOOKUP($L560,Data_Validation!$A:$F,6,0)</f>
        <v>#N/A</v>
      </c>
    </row>
    <row r="561" spans="1:24" ht="15" customHeight="1">
      <c r="A561" s="1112"/>
      <c r="B561" s="1112"/>
      <c r="C561" s="1114"/>
      <c r="D561" s="1114"/>
      <c r="E561" s="1114"/>
      <c r="F561" s="1112"/>
      <c r="G561" s="1112"/>
      <c r="H561" s="1112"/>
      <c r="I561" s="1113"/>
      <c r="J561" s="1113"/>
      <c r="K561" s="1113"/>
      <c r="L561" s="150">
        <f t="shared" si="36"/>
        <v>0</v>
      </c>
      <c r="M561" s="151">
        <f t="shared" si="37"/>
        <v>0</v>
      </c>
      <c r="N561" s="152">
        <f>+IF(OR($Q561=Parametres!$G$2,$Q561=Parametres!$G$3),I561,C561)</f>
        <v>0</v>
      </c>
      <c r="O561" s="152">
        <f>+IF(OR($Q561=Parametres!$G$2,$Q561=Parametres!$G$3),J561,D561)</f>
        <v>0</v>
      </c>
      <c r="P561" s="152">
        <f>+IF(OR($Q561=Parametres!$G$2,$Q561=Parametres!$G$3),K561,E561)</f>
        <v>0</v>
      </c>
      <c r="Q561" s="151">
        <f t="shared" si="40"/>
        <v>0</v>
      </c>
      <c r="R561" s="150">
        <f t="shared" si="40"/>
        <v>0</v>
      </c>
      <c r="S561" s="151">
        <f t="shared" si="40"/>
        <v>0</v>
      </c>
      <c r="T561" s="153" t="e">
        <f>+VLOOKUP($L561,Data_Validation!$A:$D,1,0)</f>
        <v>#N/A</v>
      </c>
      <c r="U561" s="153" t="e">
        <f>+VLOOKUP($L561,Data_Validation!$A:$D,3,0)</f>
        <v>#N/A</v>
      </c>
      <c r="V561" s="153" t="e">
        <f>+VLOOKUP($L561,Data_Validation!$A:$D,4,0)</f>
        <v>#N/A</v>
      </c>
      <c r="W561" s="153" t="e">
        <f>+VLOOKUP($L561,Data_Validation!$A:$E,5,0)</f>
        <v>#N/A</v>
      </c>
      <c r="X561" s="153" t="e">
        <f>+VLOOKUP($L561,Data_Validation!$A:$F,6,0)</f>
        <v>#N/A</v>
      </c>
    </row>
    <row r="562" spans="1:24" ht="15" customHeight="1">
      <c r="A562" s="1112"/>
      <c r="B562" s="1112"/>
      <c r="C562" s="1114"/>
      <c r="D562" s="1114"/>
      <c r="E562" s="1114"/>
      <c r="F562" s="1112"/>
      <c r="G562" s="1112"/>
      <c r="H562" s="1112"/>
      <c r="I562" s="1113"/>
      <c r="J562" s="1113"/>
      <c r="K562" s="1113"/>
      <c r="L562" s="150">
        <f t="shared" si="36"/>
        <v>0</v>
      </c>
      <c r="M562" s="151">
        <f t="shared" si="37"/>
        <v>0</v>
      </c>
      <c r="N562" s="152">
        <f>+IF(OR($Q562=Parametres!$G$2,$Q562=Parametres!$G$3),I562,C562)</f>
        <v>0</v>
      </c>
      <c r="O562" s="152">
        <f>+IF(OR($Q562=Parametres!$G$2,$Q562=Parametres!$G$3),J562,D562)</f>
        <v>0</v>
      </c>
      <c r="P562" s="152">
        <f>+IF(OR($Q562=Parametres!$G$2,$Q562=Parametres!$G$3),K562,E562)</f>
        <v>0</v>
      </c>
      <c r="Q562" s="151">
        <f t="shared" ref="Q562:S577" si="41">+F562</f>
        <v>0</v>
      </c>
      <c r="R562" s="150">
        <f t="shared" si="41"/>
        <v>0</v>
      </c>
      <c r="S562" s="151">
        <f t="shared" si="41"/>
        <v>0</v>
      </c>
      <c r="T562" s="153" t="e">
        <f>+VLOOKUP($L562,Data_Validation!$A:$D,1,0)</f>
        <v>#N/A</v>
      </c>
      <c r="U562" s="153" t="e">
        <f>+VLOOKUP($L562,Data_Validation!$A:$D,3,0)</f>
        <v>#N/A</v>
      </c>
      <c r="V562" s="153" t="e">
        <f>+VLOOKUP($L562,Data_Validation!$A:$D,4,0)</f>
        <v>#N/A</v>
      </c>
      <c r="W562" s="153" t="e">
        <f>+VLOOKUP($L562,Data_Validation!$A:$E,5,0)</f>
        <v>#N/A</v>
      </c>
      <c r="X562" s="153" t="e">
        <f>+VLOOKUP($L562,Data_Validation!$A:$F,6,0)</f>
        <v>#N/A</v>
      </c>
    </row>
    <row r="563" spans="1:24" ht="15.75" customHeight="1">
      <c r="A563" s="1112"/>
      <c r="B563" s="1112"/>
      <c r="C563" s="1114"/>
      <c r="D563" s="1114"/>
      <c r="E563" s="1114"/>
      <c r="F563" s="1112"/>
      <c r="G563" s="1112"/>
      <c r="H563" s="1112"/>
      <c r="I563" s="1113"/>
      <c r="J563" s="1113"/>
      <c r="K563" s="1113"/>
      <c r="L563" s="150">
        <f t="shared" si="36"/>
        <v>0</v>
      </c>
      <c r="M563" s="151">
        <f t="shared" si="37"/>
        <v>0</v>
      </c>
      <c r="N563" s="152">
        <f>+IF(OR($Q563=Parametres!$G$2,$Q563=Parametres!$G$3),I563,C563)</f>
        <v>0</v>
      </c>
      <c r="O563" s="152">
        <f>+IF(OR($Q563=Parametres!$G$2,$Q563=Parametres!$G$3),J563,D563)</f>
        <v>0</v>
      </c>
      <c r="P563" s="152">
        <f>+IF(OR($Q563=Parametres!$G$2,$Q563=Parametres!$G$3),K563,E563)</f>
        <v>0</v>
      </c>
      <c r="Q563" s="151">
        <f t="shared" si="41"/>
        <v>0</v>
      </c>
      <c r="R563" s="150">
        <f t="shared" si="41"/>
        <v>0</v>
      </c>
      <c r="S563" s="151">
        <f t="shared" si="41"/>
        <v>0</v>
      </c>
      <c r="T563" s="153" t="e">
        <f>+VLOOKUP($L563,Data_Validation!$A:$D,1,0)</f>
        <v>#N/A</v>
      </c>
      <c r="U563" s="153" t="e">
        <f>+VLOOKUP($L563,Data_Validation!$A:$D,3,0)</f>
        <v>#N/A</v>
      </c>
      <c r="V563" s="153" t="e">
        <f>+VLOOKUP($L563,Data_Validation!$A:$D,4,0)</f>
        <v>#N/A</v>
      </c>
      <c r="W563" s="153" t="e">
        <f>+VLOOKUP($L563,Data_Validation!$A:$E,5,0)</f>
        <v>#N/A</v>
      </c>
      <c r="X563" s="153" t="e">
        <f>+VLOOKUP($L563,Data_Validation!$A:$F,6,0)</f>
        <v>#N/A</v>
      </c>
    </row>
    <row r="564" spans="1:24" ht="15" customHeight="1">
      <c r="A564" s="1112"/>
      <c r="B564" s="1112"/>
      <c r="C564" s="1114"/>
      <c r="D564" s="1114"/>
      <c r="E564" s="1114"/>
      <c r="F564" s="1112"/>
      <c r="G564" s="1112"/>
      <c r="H564" s="1112"/>
      <c r="I564" s="1113"/>
      <c r="J564" s="1113"/>
      <c r="K564" s="1113"/>
      <c r="L564" s="150">
        <f t="shared" si="36"/>
        <v>0</v>
      </c>
      <c r="M564" s="151">
        <f t="shared" si="37"/>
        <v>0</v>
      </c>
      <c r="N564" s="152">
        <f>+IF(OR($Q564=Parametres!$G$2,$Q564=Parametres!$G$3),I564,C564)</f>
        <v>0</v>
      </c>
      <c r="O564" s="152">
        <f>+IF(OR($Q564=Parametres!$G$2,$Q564=Parametres!$G$3),J564,D564)</f>
        <v>0</v>
      </c>
      <c r="P564" s="152">
        <f>+IF(OR($Q564=Parametres!$G$2,$Q564=Parametres!$G$3),K564,E564)</f>
        <v>0</v>
      </c>
      <c r="Q564" s="151">
        <f t="shared" si="41"/>
        <v>0</v>
      </c>
      <c r="R564" s="150">
        <f t="shared" si="41"/>
        <v>0</v>
      </c>
      <c r="S564" s="151">
        <f t="shared" si="41"/>
        <v>0</v>
      </c>
      <c r="T564" s="153" t="e">
        <f>+VLOOKUP($L564,Data_Validation!$A:$D,1,0)</f>
        <v>#N/A</v>
      </c>
      <c r="U564" s="153" t="e">
        <f>+VLOOKUP($L564,Data_Validation!$A:$D,3,0)</f>
        <v>#N/A</v>
      </c>
      <c r="V564" s="153" t="e">
        <f>+VLOOKUP($L564,Data_Validation!$A:$D,4,0)</f>
        <v>#N/A</v>
      </c>
      <c r="W564" s="153" t="e">
        <f>+VLOOKUP($L564,Data_Validation!$A:$E,5,0)</f>
        <v>#N/A</v>
      </c>
      <c r="X564" s="153" t="e">
        <f>+VLOOKUP($L564,Data_Validation!$A:$F,6,0)</f>
        <v>#N/A</v>
      </c>
    </row>
    <row r="565" spans="1:24" ht="15" customHeight="1">
      <c r="A565" s="1112"/>
      <c r="B565" s="1112"/>
      <c r="C565" s="1114"/>
      <c r="D565" s="1114"/>
      <c r="E565" s="1114"/>
      <c r="F565" s="1112"/>
      <c r="G565" s="1112"/>
      <c r="H565" s="1112"/>
      <c r="I565" s="1113"/>
      <c r="J565" s="1113"/>
      <c r="K565" s="1113"/>
      <c r="L565" s="150">
        <f t="shared" si="36"/>
        <v>0</v>
      </c>
      <c r="M565" s="151">
        <f t="shared" si="37"/>
        <v>0</v>
      </c>
      <c r="N565" s="152">
        <f>+IF(OR($Q565=Parametres!$G$2,$Q565=Parametres!$G$3),I565,C565)</f>
        <v>0</v>
      </c>
      <c r="O565" s="152">
        <f>+IF(OR($Q565=Parametres!$G$2,$Q565=Parametres!$G$3),J565,D565)</f>
        <v>0</v>
      </c>
      <c r="P565" s="152">
        <f>+IF(OR($Q565=Parametres!$G$2,$Q565=Parametres!$G$3),K565,E565)</f>
        <v>0</v>
      </c>
      <c r="Q565" s="151">
        <f t="shared" si="41"/>
        <v>0</v>
      </c>
      <c r="R565" s="150">
        <f t="shared" si="41"/>
        <v>0</v>
      </c>
      <c r="S565" s="151">
        <f t="shared" si="41"/>
        <v>0</v>
      </c>
      <c r="T565" s="153" t="e">
        <f>+VLOOKUP($L565,Data_Validation!$A:$D,1,0)</f>
        <v>#N/A</v>
      </c>
      <c r="U565" s="153" t="e">
        <f>+VLOOKUP($L565,Data_Validation!$A:$D,3,0)</f>
        <v>#N/A</v>
      </c>
      <c r="V565" s="153" t="e">
        <f>+VLOOKUP($L565,Data_Validation!$A:$D,4,0)</f>
        <v>#N/A</v>
      </c>
      <c r="W565" s="153" t="e">
        <f>+VLOOKUP($L565,Data_Validation!$A:$E,5,0)</f>
        <v>#N/A</v>
      </c>
      <c r="X565" s="153" t="e">
        <f>+VLOOKUP($L565,Data_Validation!$A:$F,6,0)</f>
        <v>#N/A</v>
      </c>
    </row>
    <row r="566" spans="1:24" ht="15" customHeight="1">
      <c r="A566" s="1112"/>
      <c r="B566" s="1112"/>
      <c r="C566" s="1114"/>
      <c r="D566" s="1114"/>
      <c r="E566" s="1114"/>
      <c r="F566" s="1112"/>
      <c r="G566" s="1112"/>
      <c r="H566" s="1112"/>
      <c r="I566" s="1113"/>
      <c r="J566" s="1113"/>
      <c r="K566" s="1113"/>
      <c r="L566" s="150">
        <f t="shared" si="36"/>
        <v>0</v>
      </c>
      <c r="M566" s="151">
        <f t="shared" si="37"/>
        <v>0</v>
      </c>
      <c r="N566" s="152">
        <f>+IF(OR($Q566=Parametres!$G$2,$Q566=Parametres!$G$3),I566,C566)</f>
        <v>0</v>
      </c>
      <c r="O566" s="152">
        <f>+IF(OR($Q566=Parametres!$G$2,$Q566=Parametres!$G$3),J566,D566)</f>
        <v>0</v>
      </c>
      <c r="P566" s="152">
        <f>+IF(OR($Q566=Parametres!$G$2,$Q566=Parametres!$G$3),K566,E566)</f>
        <v>0</v>
      </c>
      <c r="Q566" s="151">
        <f t="shared" si="41"/>
        <v>0</v>
      </c>
      <c r="R566" s="150">
        <f t="shared" si="41"/>
        <v>0</v>
      </c>
      <c r="S566" s="151">
        <f t="shared" si="41"/>
        <v>0</v>
      </c>
      <c r="T566" s="153" t="e">
        <f>+VLOOKUP($L566,Data_Validation!$A:$D,1,0)</f>
        <v>#N/A</v>
      </c>
      <c r="U566" s="153" t="e">
        <f>+VLOOKUP($L566,Data_Validation!$A:$D,3,0)</f>
        <v>#N/A</v>
      </c>
      <c r="V566" s="153" t="e">
        <f>+VLOOKUP($L566,Data_Validation!$A:$D,4,0)</f>
        <v>#N/A</v>
      </c>
      <c r="W566" s="153" t="e">
        <f>+VLOOKUP($L566,Data_Validation!$A:$E,5,0)</f>
        <v>#N/A</v>
      </c>
      <c r="X566" s="153" t="e">
        <f>+VLOOKUP($L566,Data_Validation!$A:$F,6,0)</f>
        <v>#N/A</v>
      </c>
    </row>
    <row r="567" spans="1:24" ht="15.75" customHeight="1">
      <c r="A567" s="1112"/>
      <c r="B567" s="1112"/>
      <c r="C567" s="1114"/>
      <c r="D567" s="1114"/>
      <c r="E567" s="1114"/>
      <c r="F567" s="1112"/>
      <c r="G567" s="1112"/>
      <c r="H567" s="1112"/>
      <c r="I567" s="1113"/>
      <c r="J567" s="1113"/>
      <c r="K567" s="1113"/>
      <c r="L567" s="150">
        <f t="shared" si="36"/>
        <v>0</v>
      </c>
      <c r="M567" s="151">
        <f t="shared" si="37"/>
        <v>0</v>
      </c>
      <c r="N567" s="152">
        <f>+IF(OR($Q567=Parametres!$G$2,$Q567=Parametres!$G$3),I567,C567)</f>
        <v>0</v>
      </c>
      <c r="O567" s="152">
        <f>+IF(OR($Q567=Parametres!$G$2,$Q567=Parametres!$G$3),J567,D567)</f>
        <v>0</v>
      </c>
      <c r="P567" s="152">
        <f>+IF(OR($Q567=Parametres!$G$2,$Q567=Parametres!$G$3),K567,E567)</f>
        <v>0</v>
      </c>
      <c r="Q567" s="151">
        <f t="shared" si="41"/>
        <v>0</v>
      </c>
      <c r="R567" s="150">
        <f t="shared" si="41"/>
        <v>0</v>
      </c>
      <c r="S567" s="151">
        <f t="shared" si="41"/>
        <v>0</v>
      </c>
      <c r="T567" s="153" t="e">
        <f>+VLOOKUP($L567,Data_Validation!$A:$D,1,0)</f>
        <v>#N/A</v>
      </c>
      <c r="U567" s="153" t="e">
        <f>+VLOOKUP($L567,Data_Validation!$A:$D,3,0)</f>
        <v>#N/A</v>
      </c>
      <c r="V567" s="153" t="e">
        <f>+VLOOKUP($L567,Data_Validation!$A:$D,4,0)</f>
        <v>#N/A</v>
      </c>
      <c r="W567" s="153" t="e">
        <f>+VLOOKUP($L567,Data_Validation!$A:$E,5,0)</f>
        <v>#N/A</v>
      </c>
      <c r="X567" s="153" t="e">
        <f>+VLOOKUP($L567,Data_Validation!$A:$F,6,0)</f>
        <v>#N/A</v>
      </c>
    </row>
    <row r="568" spans="1:24" ht="15" customHeight="1">
      <c r="A568" s="1112"/>
      <c r="B568" s="1112"/>
      <c r="C568" s="1114"/>
      <c r="D568" s="1114"/>
      <c r="E568" s="1114"/>
      <c r="F568" s="1112"/>
      <c r="G568" s="1112"/>
      <c r="H568" s="1112"/>
      <c r="I568" s="1113"/>
      <c r="J568" s="1113"/>
      <c r="K568" s="1113"/>
      <c r="L568" s="150">
        <f t="shared" si="36"/>
        <v>0</v>
      </c>
      <c r="M568" s="151">
        <f t="shared" si="37"/>
        <v>0</v>
      </c>
      <c r="N568" s="152">
        <f>+IF(OR($Q568=Parametres!$G$2,$Q568=Parametres!$G$3),I568,C568)</f>
        <v>0</v>
      </c>
      <c r="O568" s="152">
        <f>+IF(OR($Q568=Parametres!$G$2,$Q568=Parametres!$G$3),J568,D568)</f>
        <v>0</v>
      </c>
      <c r="P568" s="152">
        <f>+IF(OR($Q568=Parametres!$G$2,$Q568=Parametres!$G$3),K568,E568)</f>
        <v>0</v>
      </c>
      <c r="Q568" s="151">
        <f t="shared" si="41"/>
        <v>0</v>
      </c>
      <c r="R568" s="150">
        <f t="shared" si="41"/>
        <v>0</v>
      </c>
      <c r="S568" s="151">
        <f t="shared" si="41"/>
        <v>0</v>
      </c>
      <c r="T568" s="153" t="e">
        <f>+VLOOKUP($L568,Data_Validation!$A:$D,1,0)</f>
        <v>#N/A</v>
      </c>
      <c r="U568" s="153" t="e">
        <f>+VLOOKUP($L568,Data_Validation!$A:$D,3,0)</f>
        <v>#N/A</v>
      </c>
      <c r="V568" s="153" t="e">
        <f>+VLOOKUP($L568,Data_Validation!$A:$D,4,0)</f>
        <v>#N/A</v>
      </c>
      <c r="W568" s="153" t="e">
        <f>+VLOOKUP($L568,Data_Validation!$A:$E,5,0)</f>
        <v>#N/A</v>
      </c>
      <c r="X568" s="153" t="e">
        <f>+VLOOKUP($L568,Data_Validation!$A:$F,6,0)</f>
        <v>#N/A</v>
      </c>
    </row>
    <row r="569" spans="1:24" ht="15" customHeight="1">
      <c r="A569" s="1112"/>
      <c r="B569" s="1112"/>
      <c r="C569" s="1114"/>
      <c r="D569" s="1114"/>
      <c r="E569" s="1114"/>
      <c r="F569" s="1112"/>
      <c r="G569" s="1112"/>
      <c r="H569" s="1112"/>
      <c r="I569" s="1113"/>
      <c r="J569" s="1113"/>
      <c r="K569" s="1113"/>
      <c r="L569" s="150">
        <f t="shared" si="36"/>
        <v>0</v>
      </c>
      <c r="M569" s="151">
        <f t="shared" si="37"/>
        <v>0</v>
      </c>
      <c r="N569" s="152">
        <f>+IF(OR($Q569=Parametres!$G$2,$Q569=Parametres!$G$3),I569,C569)</f>
        <v>0</v>
      </c>
      <c r="O569" s="152">
        <f>+IF(OR($Q569=Parametres!$G$2,$Q569=Parametres!$G$3),J569,D569)</f>
        <v>0</v>
      </c>
      <c r="P569" s="152">
        <f>+IF(OR($Q569=Parametres!$G$2,$Q569=Parametres!$G$3),K569,E569)</f>
        <v>0</v>
      </c>
      <c r="Q569" s="151">
        <f t="shared" si="41"/>
        <v>0</v>
      </c>
      <c r="R569" s="150">
        <f t="shared" si="41"/>
        <v>0</v>
      </c>
      <c r="S569" s="151">
        <f t="shared" si="41"/>
        <v>0</v>
      </c>
      <c r="T569" s="153" t="e">
        <f>+VLOOKUP($L569,Data_Validation!$A:$D,1,0)</f>
        <v>#N/A</v>
      </c>
      <c r="U569" s="153" t="e">
        <f>+VLOOKUP($L569,Data_Validation!$A:$D,3,0)</f>
        <v>#N/A</v>
      </c>
      <c r="V569" s="153" t="e">
        <f>+VLOOKUP($L569,Data_Validation!$A:$D,4,0)</f>
        <v>#N/A</v>
      </c>
      <c r="W569" s="153" t="e">
        <f>+VLOOKUP($L569,Data_Validation!$A:$E,5,0)</f>
        <v>#N/A</v>
      </c>
      <c r="X569" s="153" t="e">
        <f>+VLOOKUP($L569,Data_Validation!$A:$F,6,0)</f>
        <v>#N/A</v>
      </c>
    </row>
    <row r="570" spans="1:24" ht="15" customHeight="1">
      <c r="A570" s="1112"/>
      <c r="B570" s="1112"/>
      <c r="C570" s="1114"/>
      <c r="D570" s="1114"/>
      <c r="E570" s="1114"/>
      <c r="F570" s="1112"/>
      <c r="G570" s="1112"/>
      <c r="H570" s="1112"/>
      <c r="I570" s="1113"/>
      <c r="J570" s="1113"/>
      <c r="K570" s="1113"/>
      <c r="L570" s="150">
        <f t="shared" si="36"/>
        <v>0</v>
      </c>
      <c r="M570" s="151">
        <f t="shared" si="37"/>
        <v>0</v>
      </c>
      <c r="N570" s="152">
        <f>+IF(OR($Q570=Parametres!$G$2,$Q570=Parametres!$G$3),I570,C570)</f>
        <v>0</v>
      </c>
      <c r="O570" s="152">
        <f>+IF(OR($Q570=Parametres!$G$2,$Q570=Parametres!$G$3),J570,D570)</f>
        <v>0</v>
      </c>
      <c r="P570" s="152">
        <f>+IF(OR($Q570=Parametres!$G$2,$Q570=Parametres!$G$3),K570,E570)</f>
        <v>0</v>
      </c>
      <c r="Q570" s="151">
        <f t="shared" si="41"/>
        <v>0</v>
      </c>
      <c r="R570" s="150">
        <f t="shared" si="41"/>
        <v>0</v>
      </c>
      <c r="S570" s="151">
        <f t="shared" si="41"/>
        <v>0</v>
      </c>
      <c r="T570" s="153" t="e">
        <f>+VLOOKUP($L570,Data_Validation!$A:$D,1,0)</f>
        <v>#N/A</v>
      </c>
      <c r="U570" s="153" t="e">
        <f>+VLOOKUP($L570,Data_Validation!$A:$D,3,0)</f>
        <v>#N/A</v>
      </c>
      <c r="V570" s="153" t="e">
        <f>+VLOOKUP($L570,Data_Validation!$A:$D,4,0)</f>
        <v>#N/A</v>
      </c>
      <c r="W570" s="153" t="e">
        <f>+VLOOKUP($L570,Data_Validation!$A:$E,5,0)</f>
        <v>#N/A</v>
      </c>
      <c r="X570" s="153" t="e">
        <f>+VLOOKUP($L570,Data_Validation!$A:$F,6,0)</f>
        <v>#N/A</v>
      </c>
    </row>
    <row r="571" spans="1:24" ht="15" customHeight="1">
      <c r="A571" s="1112"/>
      <c r="B571" s="1112"/>
      <c r="C571" s="1114"/>
      <c r="D571" s="1114"/>
      <c r="E571" s="1114"/>
      <c r="F571" s="1112"/>
      <c r="G571" s="1112"/>
      <c r="H571" s="1112"/>
      <c r="I571" s="1113"/>
      <c r="J571" s="1113"/>
      <c r="K571" s="1113"/>
      <c r="L571" s="150">
        <f t="shared" si="36"/>
        <v>0</v>
      </c>
      <c r="M571" s="151">
        <f t="shared" si="37"/>
        <v>0</v>
      </c>
      <c r="N571" s="152">
        <f>+IF(OR($Q571=Parametres!$G$2,$Q571=Parametres!$G$3),I571,C571)</f>
        <v>0</v>
      </c>
      <c r="O571" s="152">
        <f>+IF(OR($Q571=Parametres!$G$2,$Q571=Parametres!$G$3),J571,D571)</f>
        <v>0</v>
      </c>
      <c r="P571" s="152">
        <f>+IF(OR($Q571=Parametres!$G$2,$Q571=Parametres!$G$3),K571,E571)</f>
        <v>0</v>
      </c>
      <c r="Q571" s="151">
        <f t="shared" si="41"/>
        <v>0</v>
      </c>
      <c r="R571" s="150">
        <f t="shared" si="41"/>
        <v>0</v>
      </c>
      <c r="S571" s="151">
        <f t="shared" si="41"/>
        <v>0</v>
      </c>
      <c r="T571" s="153" t="e">
        <f>+VLOOKUP($L571,Data_Validation!$A:$D,1,0)</f>
        <v>#N/A</v>
      </c>
      <c r="U571" s="153" t="e">
        <f>+VLOOKUP($L571,Data_Validation!$A:$D,3,0)</f>
        <v>#N/A</v>
      </c>
      <c r="V571" s="153" t="e">
        <f>+VLOOKUP($L571,Data_Validation!$A:$D,4,0)</f>
        <v>#N/A</v>
      </c>
      <c r="W571" s="153" t="e">
        <f>+VLOOKUP($L571,Data_Validation!$A:$E,5,0)</f>
        <v>#N/A</v>
      </c>
      <c r="X571" s="153" t="e">
        <f>+VLOOKUP($L571,Data_Validation!$A:$F,6,0)</f>
        <v>#N/A</v>
      </c>
    </row>
    <row r="572" spans="1:24" ht="15.75" customHeight="1">
      <c r="A572" s="1112"/>
      <c r="B572" s="1112"/>
      <c r="C572" s="1114"/>
      <c r="D572" s="1114"/>
      <c r="E572" s="1114"/>
      <c r="F572" s="1112"/>
      <c r="G572" s="1112"/>
      <c r="H572" s="1112"/>
      <c r="I572" s="1113"/>
      <c r="J572" s="1113"/>
      <c r="K572" s="1113"/>
      <c r="L572" s="150">
        <f t="shared" si="36"/>
        <v>0</v>
      </c>
      <c r="M572" s="151">
        <f t="shared" si="37"/>
        <v>0</v>
      </c>
      <c r="N572" s="152">
        <f>+IF(OR($Q572=Parametres!$G$2,$Q572=Parametres!$G$3),I572,C572)</f>
        <v>0</v>
      </c>
      <c r="O572" s="152">
        <f>+IF(OR($Q572=Parametres!$G$2,$Q572=Parametres!$G$3),J572,D572)</f>
        <v>0</v>
      </c>
      <c r="P572" s="152">
        <f>+IF(OR($Q572=Parametres!$G$2,$Q572=Parametres!$G$3),K572,E572)</f>
        <v>0</v>
      </c>
      <c r="Q572" s="151">
        <f t="shared" si="41"/>
        <v>0</v>
      </c>
      <c r="R572" s="150">
        <f t="shared" si="41"/>
        <v>0</v>
      </c>
      <c r="S572" s="151">
        <f t="shared" si="41"/>
        <v>0</v>
      </c>
      <c r="T572" s="153" t="e">
        <f>+VLOOKUP($L572,Data_Validation!$A:$D,1,0)</f>
        <v>#N/A</v>
      </c>
      <c r="U572" s="153" t="e">
        <f>+VLOOKUP($L572,Data_Validation!$A:$D,3,0)</f>
        <v>#N/A</v>
      </c>
      <c r="V572" s="153" t="e">
        <f>+VLOOKUP($L572,Data_Validation!$A:$D,4,0)</f>
        <v>#N/A</v>
      </c>
      <c r="W572" s="153" t="e">
        <f>+VLOOKUP($L572,Data_Validation!$A:$E,5,0)</f>
        <v>#N/A</v>
      </c>
      <c r="X572" s="153" t="e">
        <f>+VLOOKUP($L572,Data_Validation!$A:$F,6,0)</f>
        <v>#N/A</v>
      </c>
    </row>
    <row r="573" spans="1:24" ht="15" customHeight="1">
      <c r="A573" s="1112"/>
      <c r="B573" s="1112"/>
      <c r="C573" s="1114"/>
      <c r="D573" s="1114"/>
      <c r="E573" s="1114"/>
      <c r="F573" s="1112"/>
      <c r="G573" s="1112"/>
      <c r="H573" s="1112"/>
      <c r="I573" s="1113"/>
      <c r="J573" s="1113"/>
      <c r="K573" s="1113"/>
      <c r="L573" s="150">
        <f t="shared" si="36"/>
        <v>0</v>
      </c>
      <c r="M573" s="151">
        <f t="shared" si="37"/>
        <v>0</v>
      </c>
      <c r="N573" s="152">
        <f>+IF(OR($Q573=Parametres!$G$2,$Q573=Parametres!$G$3),I573,C573)</f>
        <v>0</v>
      </c>
      <c r="O573" s="152">
        <f>+IF(OR($Q573=Parametres!$G$2,$Q573=Parametres!$G$3),J573,D573)</f>
        <v>0</v>
      </c>
      <c r="P573" s="152">
        <f>+IF(OR($Q573=Parametres!$G$2,$Q573=Parametres!$G$3),K573,E573)</f>
        <v>0</v>
      </c>
      <c r="Q573" s="151">
        <f t="shared" si="41"/>
        <v>0</v>
      </c>
      <c r="R573" s="150">
        <f t="shared" si="41"/>
        <v>0</v>
      </c>
      <c r="S573" s="151">
        <f t="shared" si="41"/>
        <v>0</v>
      </c>
      <c r="T573" s="153" t="e">
        <f>+VLOOKUP($L573,Data_Validation!$A:$D,1,0)</f>
        <v>#N/A</v>
      </c>
      <c r="U573" s="153" t="e">
        <f>+VLOOKUP($L573,Data_Validation!$A:$D,3,0)</f>
        <v>#N/A</v>
      </c>
      <c r="V573" s="153" t="e">
        <f>+VLOOKUP($L573,Data_Validation!$A:$D,4,0)</f>
        <v>#N/A</v>
      </c>
      <c r="W573" s="153" t="e">
        <f>+VLOOKUP($L573,Data_Validation!$A:$E,5,0)</f>
        <v>#N/A</v>
      </c>
      <c r="X573" s="153" t="e">
        <f>+VLOOKUP($L573,Data_Validation!$A:$F,6,0)</f>
        <v>#N/A</v>
      </c>
    </row>
    <row r="574" spans="1:24" ht="15" customHeight="1">
      <c r="A574" s="1112"/>
      <c r="B574" s="1112"/>
      <c r="C574" s="1114"/>
      <c r="D574" s="1114"/>
      <c r="E574" s="1114"/>
      <c r="F574" s="1112"/>
      <c r="G574" s="1112"/>
      <c r="H574" s="1112"/>
      <c r="I574" s="1113"/>
      <c r="J574" s="1113"/>
      <c r="K574" s="1113"/>
      <c r="L574" s="150">
        <f t="shared" si="36"/>
        <v>0</v>
      </c>
      <c r="M574" s="151">
        <f t="shared" si="37"/>
        <v>0</v>
      </c>
      <c r="N574" s="152">
        <f>+IF(OR($Q574=Parametres!$G$2,$Q574=Parametres!$G$3),I574,C574)</f>
        <v>0</v>
      </c>
      <c r="O574" s="152">
        <f>+IF(OR($Q574=Parametres!$G$2,$Q574=Parametres!$G$3),J574,D574)</f>
        <v>0</v>
      </c>
      <c r="P574" s="152">
        <f>+IF(OR($Q574=Parametres!$G$2,$Q574=Parametres!$G$3),K574,E574)</f>
        <v>0</v>
      </c>
      <c r="Q574" s="151">
        <f t="shared" si="41"/>
        <v>0</v>
      </c>
      <c r="R574" s="150">
        <f t="shared" si="41"/>
        <v>0</v>
      </c>
      <c r="S574" s="151">
        <f t="shared" si="41"/>
        <v>0</v>
      </c>
      <c r="T574" s="153" t="e">
        <f>+VLOOKUP($L574,Data_Validation!$A:$D,1,0)</f>
        <v>#N/A</v>
      </c>
      <c r="U574" s="153" t="e">
        <f>+VLOOKUP($L574,Data_Validation!$A:$D,3,0)</f>
        <v>#N/A</v>
      </c>
      <c r="V574" s="153" t="e">
        <f>+VLOOKUP($L574,Data_Validation!$A:$D,4,0)</f>
        <v>#N/A</v>
      </c>
      <c r="W574" s="153" t="e">
        <f>+VLOOKUP($L574,Data_Validation!$A:$E,5,0)</f>
        <v>#N/A</v>
      </c>
      <c r="X574" s="153" t="e">
        <f>+VLOOKUP($L574,Data_Validation!$A:$F,6,0)</f>
        <v>#N/A</v>
      </c>
    </row>
    <row r="575" spans="1:24" ht="15" customHeight="1">
      <c r="A575" s="1112"/>
      <c r="B575" s="1112"/>
      <c r="C575" s="1114"/>
      <c r="D575" s="1114"/>
      <c r="E575" s="1114"/>
      <c r="F575" s="1112"/>
      <c r="G575" s="1112"/>
      <c r="H575" s="1112"/>
      <c r="I575" s="1113"/>
      <c r="J575" s="1113"/>
      <c r="K575" s="1113"/>
      <c r="L575" s="150">
        <f t="shared" si="36"/>
        <v>0</v>
      </c>
      <c r="M575" s="151">
        <f t="shared" si="37"/>
        <v>0</v>
      </c>
      <c r="N575" s="152">
        <f>+IF(OR($Q575=Parametres!$G$2,$Q575=Parametres!$G$3),I575,C575)</f>
        <v>0</v>
      </c>
      <c r="O575" s="152">
        <f>+IF(OR($Q575=Parametres!$G$2,$Q575=Parametres!$G$3),J575,D575)</f>
        <v>0</v>
      </c>
      <c r="P575" s="152">
        <f>+IF(OR($Q575=Parametres!$G$2,$Q575=Parametres!$G$3),K575,E575)</f>
        <v>0</v>
      </c>
      <c r="Q575" s="151">
        <f t="shared" si="41"/>
        <v>0</v>
      </c>
      <c r="R575" s="150">
        <f t="shared" si="41"/>
        <v>0</v>
      </c>
      <c r="S575" s="151">
        <f t="shared" si="41"/>
        <v>0</v>
      </c>
      <c r="T575" s="153" t="e">
        <f>+VLOOKUP($L575,Data_Validation!$A:$D,1,0)</f>
        <v>#N/A</v>
      </c>
      <c r="U575" s="153" t="e">
        <f>+VLOOKUP($L575,Data_Validation!$A:$D,3,0)</f>
        <v>#N/A</v>
      </c>
      <c r="V575" s="153" t="e">
        <f>+VLOOKUP($L575,Data_Validation!$A:$D,4,0)</f>
        <v>#N/A</v>
      </c>
      <c r="W575" s="153" t="e">
        <f>+VLOOKUP($L575,Data_Validation!$A:$E,5,0)</f>
        <v>#N/A</v>
      </c>
      <c r="X575" s="153" t="e">
        <f>+VLOOKUP($L575,Data_Validation!$A:$F,6,0)</f>
        <v>#N/A</v>
      </c>
    </row>
    <row r="576" spans="1:24" ht="15" customHeight="1">
      <c r="A576" s="1112"/>
      <c r="B576" s="1112"/>
      <c r="C576" s="1114"/>
      <c r="D576" s="1114"/>
      <c r="E576" s="1114"/>
      <c r="F576" s="1112"/>
      <c r="G576" s="1112"/>
      <c r="H576" s="1112"/>
      <c r="I576" s="1113"/>
      <c r="J576" s="1113"/>
      <c r="K576" s="1113"/>
      <c r="L576" s="150">
        <f t="shared" si="36"/>
        <v>0</v>
      </c>
      <c r="M576" s="151">
        <f t="shared" si="37"/>
        <v>0</v>
      </c>
      <c r="N576" s="152">
        <f>+IF(OR($Q576=Parametres!$G$2,$Q576=Parametres!$G$3),I576,C576)</f>
        <v>0</v>
      </c>
      <c r="O576" s="152">
        <f>+IF(OR($Q576=Parametres!$G$2,$Q576=Parametres!$G$3),J576,D576)</f>
        <v>0</v>
      </c>
      <c r="P576" s="152">
        <f>+IF(OR($Q576=Parametres!$G$2,$Q576=Parametres!$G$3),K576,E576)</f>
        <v>0</v>
      </c>
      <c r="Q576" s="151">
        <f t="shared" si="41"/>
        <v>0</v>
      </c>
      <c r="R576" s="150">
        <f t="shared" si="41"/>
        <v>0</v>
      </c>
      <c r="S576" s="151">
        <f t="shared" si="41"/>
        <v>0</v>
      </c>
      <c r="T576" s="153" t="e">
        <f>+VLOOKUP($L576,Data_Validation!$A:$D,1,0)</f>
        <v>#N/A</v>
      </c>
      <c r="U576" s="153" t="e">
        <f>+VLOOKUP($L576,Data_Validation!$A:$D,3,0)</f>
        <v>#N/A</v>
      </c>
      <c r="V576" s="153" t="s">
        <v>262</v>
      </c>
      <c r="W576" s="153" t="e">
        <f>+VLOOKUP($L576,Data_Validation!$A:$E,5,0)</f>
        <v>#N/A</v>
      </c>
      <c r="X576" s="153" t="e">
        <f>+VLOOKUP($L576,Data_Validation!$A:$F,6,0)</f>
        <v>#N/A</v>
      </c>
    </row>
    <row r="577" spans="1:24" ht="15" customHeight="1">
      <c r="A577" s="1112"/>
      <c r="B577" s="1112"/>
      <c r="C577" s="1114"/>
      <c r="D577" s="1114"/>
      <c r="E577" s="1114"/>
      <c r="F577" s="1112"/>
      <c r="G577" s="1112"/>
      <c r="H577" s="1112"/>
      <c r="I577" s="1113"/>
      <c r="J577" s="1113"/>
      <c r="K577" s="1113"/>
      <c r="L577" s="150">
        <f t="shared" si="36"/>
        <v>0</v>
      </c>
      <c r="M577" s="151">
        <f t="shared" si="37"/>
        <v>0</v>
      </c>
      <c r="N577" s="152">
        <f>+IF(OR($Q577=Parametres!$G$2,$Q577=Parametres!$G$3),I577,C577)</f>
        <v>0</v>
      </c>
      <c r="O577" s="152">
        <f>+IF(OR($Q577=Parametres!$G$2,$Q577=Parametres!$G$3),J577,D577)</f>
        <v>0</v>
      </c>
      <c r="P577" s="152">
        <f>+IF(OR($Q577=Parametres!$G$2,$Q577=Parametres!$G$3),K577,E577)</f>
        <v>0</v>
      </c>
      <c r="Q577" s="151">
        <f t="shared" si="41"/>
        <v>0</v>
      </c>
      <c r="R577" s="150">
        <f t="shared" si="41"/>
        <v>0</v>
      </c>
      <c r="S577" s="151">
        <f t="shared" si="41"/>
        <v>0</v>
      </c>
      <c r="T577" s="153" t="e">
        <f>+VLOOKUP($L577,Data_Validation!$A:$D,1,0)</f>
        <v>#N/A</v>
      </c>
      <c r="U577" s="153" t="e">
        <f>+VLOOKUP($L577,Data_Validation!$A:$D,3,0)</f>
        <v>#N/A</v>
      </c>
      <c r="V577" s="153" t="e">
        <f>+VLOOKUP($L577,Data_Validation!$A:$D,4,0)</f>
        <v>#N/A</v>
      </c>
      <c r="W577" s="153" t="e">
        <f>+VLOOKUP($L577,Data_Validation!$A:$E,5,0)</f>
        <v>#N/A</v>
      </c>
      <c r="X577" s="153" t="e">
        <f>+VLOOKUP($L577,Data_Validation!$A:$F,6,0)</f>
        <v>#N/A</v>
      </c>
    </row>
    <row r="578" spans="1:24" ht="15" customHeight="1">
      <c r="A578" s="1112"/>
      <c r="B578" s="1112"/>
      <c r="C578" s="1114"/>
      <c r="D578" s="1114"/>
      <c r="E578" s="1114"/>
      <c r="F578" s="1112"/>
      <c r="G578" s="1112"/>
      <c r="H578" s="1112"/>
      <c r="I578" s="1113"/>
      <c r="J578" s="1113"/>
      <c r="K578" s="1113"/>
      <c r="L578" s="150">
        <f t="shared" si="36"/>
        <v>0</v>
      </c>
      <c r="M578" s="151">
        <f t="shared" si="37"/>
        <v>0</v>
      </c>
      <c r="N578" s="152">
        <f>+IF(OR($Q578=Parametres!$G$2,$Q578=Parametres!$G$3),I578,C578)</f>
        <v>0</v>
      </c>
      <c r="O578" s="152">
        <f>+IF(OR($Q578=Parametres!$G$2,$Q578=Parametres!$G$3),J578,D578)</f>
        <v>0</v>
      </c>
      <c r="P578" s="152">
        <f>+IF(OR($Q578=Parametres!$G$2,$Q578=Parametres!$G$3),K578,E578)</f>
        <v>0</v>
      </c>
      <c r="Q578" s="151">
        <f t="shared" ref="Q578:S593" si="42">+F578</f>
        <v>0</v>
      </c>
      <c r="R578" s="150">
        <f t="shared" si="42"/>
        <v>0</v>
      </c>
      <c r="S578" s="151">
        <f t="shared" si="42"/>
        <v>0</v>
      </c>
      <c r="T578" s="153" t="e">
        <f>+VLOOKUP($L578,Data_Validation!$A:$D,1,0)</f>
        <v>#N/A</v>
      </c>
      <c r="U578" s="153" t="e">
        <f>+VLOOKUP($L578,Data_Validation!$A:$D,3,0)</f>
        <v>#N/A</v>
      </c>
      <c r="V578" s="153" t="e">
        <f>+VLOOKUP($L578,Data_Validation!$A:$D,4,0)</f>
        <v>#N/A</v>
      </c>
      <c r="W578" s="153" t="e">
        <f>+VLOOKUP($L578,Data_Validation!$A:$E,5,0)</f>
        <v>#N/A</v>
      </c>
      <c r="X578" s="153" t="e">
        <f>+VLOOKUP($L578,Data_Validation!$A:$F,6,0)</f>
        <v>#N/A</v>
      </c>
    </row>
    <row r="579" spans="1:24" ht="15.75" customHeight="1">
      <c r="A579" s="1112"/>
      <c r="B579" s="1112"/>
      <c r="C579" s="1114"/>
      <c r="D579" s="1114"/>
      <c r="E579" s="1114"/>
      <c r="F579" s="1112"/>
      <c r="G579" s="1112"/>
      <c r="H579" s="1112"/>
      <c r="I579" s="1113"/>
      <c r="J579" s="1113"/>
      <c r="K579" s="1113"/>
      <c r="L579" s="150">
        <f t="shared" si="36"/>
        <v>0</v>
      </c>
      <c r="M579" s="151">
        <f t="shared" si="37"/>
        <v>0</v>
      </c>
      <c r="N579" s="152">
        <f>+IF(OR($Q579=Parametres!$G$2,$Q579=Parametres!$G$3),I579,C579)</f>
        <v>0</v>
      </c>
      <c r="O579" s="152">
        <f>+IF(OR($Q579=Parametres!$G$2,$Q579=Parametres!$G$3),J579,D579)</f>
        <v>0</v>
      </c>
      <c r="P579" s="152">
        <f>+IF(OR($Q579=Parametres!$G$2,$Q579=Parametres!$G$3),K579,E579)</f>
        <v>0</v>
      </c>
      <c r="Q579" s="151">
        <f t="shared" si="42"/>
        <v>0</v>
      </c>
      <c r="R579" s="150">
        <f t="shared" si="42"/>
        <v>0</v>
      </c>
      <c r="S579" s="151">
        <f t="shared" si="42"/>
        <v>0</v>
      </c>
      <c r="T579" s="153" t="e">
        <f>+VLOOKUP($L579,Data_Validation!$A:$D,1,0)</f>
        <v>#N/A</v>
      </c>
      <c r="U579" s="153" t="e">
        <f>+VLOOKUP($L579,Data_Validation!$A:$D,3,0)</f>
        <v>#N/A</v>
      </c>
      <c r="V579" s="153" t="e">
        <f>+VLOOKUP($L579,Data_Validation!$A:$D,4,0)</f>
        <v>#N/A</v>
      </c>
      <c r="W579" s="153" t="e">
        <f>+VLOOKUP($L579,Data_Validation!$A:$E,5,0)</f>
        <v>#N/A</v>
      </c>
      <c r="X579" s="153" t="e">
        <f>+VLOOKUP($L579,Data_Validation!$A:$F,6,0)</f>
        <v>#N/A</v>
      </c>
    </row>
    <row r="580" spans="1:24" ht="15" customHeight="1">
      <c r="A580" s="1112"/>
      <c r="B580" s="1112"/>
      <c r="C580" s="1114"/>
      <c r="D580" s="1114"/>
      <c r="E580" s="1114"/>
      <c r="F580" s="1112"/>
      <c r="G580" s="1112"/>
      <c r="H580" s="1112"/>
      <c r="I580" s="1113"/>
      <c r="J580" s="1113"/>
      <c r="K580" s="1113"/>
      <c r="L580" s="150">
        <f t="shared" si="36"/>
        <v>0</v>
      </c>
      <c r="M580" s="151">
        <f t="shared" si="37"/>
        <v>0</v>
      </c>
      <c r="N580" s="152">
        <f>+IF(OR($Q580=Parametres!$G$2,$Q580=Parametres!$G$3),I580,C580)</f>
        <v>0</v>
      </c>
      <c r="O580" s="152">
        <f>+IF(OR($Q580=Parametres!$G$2,$Q580=Parametres!$G$3),J580,D580)</f>
        <v>0</v>
      </c>
      <c r="P580" s="152">
        <f>+IF(OR($Q580=Parametres!$G$2,$Q580=Parametres!$G$3),K580,E580)</f>
        <v>0</v>
      </c>
      <c r="Q580" s="151">
        <f t="shared" si="42"/>
        <v>0</v>
      </c>
      <c r="R580" s="150">
        <f t="shared" si="42"/>
        <v>0</v>
      </c>
      <c r="S580" s="151">
        <f t="shared" si="42"/>
        <v>0</v>
      </c>
      <c r="T580" s="153" t="e">
        <f>+VLOOKUP($L580,Data_Validation!$A:$D,1,0)</f>
        <v>#N/A</v>
      </c>
      <c r="U580" s="153" t="e">
        <f>+VLOOKUP($L580,Data_Validation!$A:$D,3,0)</f>
        <v>#N/A</v>
      </c>
      <c r="V580" s="153" t="e">
        <f>+VLOOKUP($L580,Data_Validation!$A:$D,4,0)</f>
        <v>#N/A</v>
      </c>
      <c r="W580" s="153" t="e">
        <f>+VLOOKUP($L580,Data_Validation!$A:$E,5,0)</f>
        <v>#N/A</v>
      </c>
      <c r="X580" s="153" t="e">
        <f>+VLOOKUP($L580,Data_Validation!$A:$F,6,0)</f>
        <v>#N/A</v>
      </c>
    </row>
    <row r="581" spans="1:24" ht="15" customHeight="1">
      <c r="A581" s="1112"/>
      <c r="B581" s="1112"/>
      <c r="C581" s="1114"/>
      <c r="D581" s="1114"/>
      <c r="E581" s="1114"/>
      <c r="F581" s="1112"/>
      <c r="G581" s="1112"/>
      <c r="H581" s="1112"/>
      <c r="I581" s="1113"/>
      <c r="J581" s="1113"/>
      <c r="K581" s="1113"/>
      <c r="L581" s="150">
        <f t="shared" si="36"/>
        <v>0</v>
      </c>
      <c r="M581" s="151">
        <f t="shared" si="37"/>
        <v>0</v>
      </c>
      <c r="N581" s="152">
        <f>+IF(OR($Q581=Parametres!$G$2,$Q581=Parametres!$G$3),I581,C581)</f>
        <v>0</v>
      </c>
      <c r="O581" s="152">
        <f>+IF(OR($Q581=Parametres!$G$2,$Q581=Parametres!$G$3),J581,D581)</f>
        <v>0</v>
      </c>
      <c r="P581" s="152">
        <f>+IF(OR($Q581=Parametres!$G$2,$Q581=Parametres!$G$3),K581,E581)</f>
        <v>0</v>
      </c>
      <c r="Q581" s="151">
        <f t="shared" si="42"/>
        <v>0</v>
      </c>
      <c r="R581" s="150">
        <f t="shared" si="42"/>
        <v>0</v>
      </c>
      <c r="S581" s="151">
        <f t="shared" si="42"/>
        <v>0</v>
      </c>
      <c r="T581" s="153" t="e">
        <f>+VLOOKUP($L581,Data_Validation!$A:$D,1,0)</f>
        <v>#N/A</v>
      </c>
      <c r="U581" s="153" t="e">
        <f>+VLOOKUP($L581,Data_Validation!$A:$D,3,0)</f>
        <v>#N/A</v>
      </c>
      <c r="V581" s="153" t="e">
        <f>+VLOOKUP($L581,Data_Validation!$A:$D,4,0)</f>
        <v>#N/A</v>
      </c>
      <c r="W581" s="153" t="e">
        <f>+VLOOKUP($L581,Data_Validation!$A:$E,5,0)</f>
        <v>#N/A</v>
      </c>
      <c r="X581" s="153" t="e">
        <f>+VLOOKUP($L581,Data_Validation!$A:$F,6,0)</f>
        <v>#N/A</v>
      </c>
    </row>
    <row r="582" spans="1:24" ht="15" customHeight="1">
      <c r="A582" s="1112"/>
      <c r="B582" s="1112"/>
      <c r="C582" s="1114"/>
      <c r="D582" s="1114"/>
      <c r="E582" s="1114"/>
      <c r="F582" s="1112"/>
      <c r="G582" s="1112"/>
      <c r="H582" s="1112"/>
      <c r="I582" s="1113"/>
      <c r="J582" s="1113"/>
      <c r="K582" s="1113"/>
      <c r="L582" s="150">
        <f t="shared" si="36"/>
        <v>0</v>
      </c>
      <c r="M582" s="151">
        <f t="shared" si="37"/>
        <v>0</v>
      </c>
      <c r="N582" s="152">
        <f>+IF(OR($Q582=Parametres!$G$2,$Q582=Parametres!$G$3),I582,C582)</f>
        <v>0</v>
      </c>
      <c r="O582" s="152">
        <f>+IF(OR($Q582=Parametres!$G$2,$Q582=Parametres!$G$3),J582,D582)</f>
        <v>0</v>
      </c>
      <c r="P582" s="152">
        <f>+IF(OR($Q582=Parametres!$G$2,$Q582=Parametres!$G$3),K582,E582)</f>
        <v>0</v>
      </c>
      <c r="Q582" s="151">
        <f t="shared" si="42"/>
        <v>0</v>
      </c>
      <c r="R582" s="150">
        <f t="shared" si="42"/>
        <v>0</v>
      </c>
      <c r="S582" s="151">
        <f t="shared" si="42"/>
        <v>0</v>
      </c>
      <c r="T582" s="153" t="e">
        <f>+VLOOKUP($L582,Data_Validation!$A:$D,1,0)</f>
        <v>#N/A</v>
      </c>
      <c r="U582" s="153" t="e">
        <f>+VLOOKUP($L582,Data_Validation!$A:$D,3,0)</f>
        <v>#N/A</v>
      </c>
      <c r="V582" s="153" t="e">
        <f>+VLOOKUP($L582,Data_Validation!$A:$D,4,0)</f>
        <v>#N/A</v>
      </c>
      <c r="W582" s="153" t="e">
        <f>+VLOOKUP($L582,Data_Validation!$A:$E,5,0)</f>
        <v>#N/A</v>
      </c>
      <c r="X582" s="153" t="e">
        <f>+VLOOKUP($L582,Data_Validation!$A:$F,6,0)</f>
        <v>#N/A</v>
      </c>
    </row>
    <row r="583" spans="1:24" ht="15.75" customHeight="1">
      <c r="A583" s="1112"/>
      <c r="B583" s="1112"/>
      <c r="C583" s="1114"/>
      <c r="D583" s="1114"/>
      <c r="E583" s="1114"/>
      <c r="F583" s="1112"/>
      <c r="G583" s="1112"/>
      <c r="H583" s="1112"/>
      <c r="I583" s="1113"/>
      <c r="J583" s="1113"/>
      <c r="K583" s="1113"/>
      <c r="L583" s="150">
        <f t="shared" si="36"/>
        <v>0</v>
      </c>
      <c r="M583" s="151">
        <f t="shared" si="37"/>
        <v>0</v>
      </c>
      <c r="N583" s="152">
        <f>+IF(OR($Q583=Parametres!$G$2,$Q583=Parametres!$G$3),I583,C583)</f>
        <v>0</v>
      </c>
      <c r="O583" s="152">
        <f>+IF(OR($Q583=Parametres!$G$2,$Q583=Parametres!$G$3),J583,D583)</f>
        <v>0</v>
      </c>
      <c r="P583" s="152">
        <f>+IF(OR($Q583=Parametres!$G$2,$Q583=Parametres!$G$3),K583,E583)</f>
        <v>0</v>
      </c>
      <c r="Q583" s="151">
        <f t="shared" si="42"/>
        <v>0</v>
      </c>
      <c r="R583" s="150">
        <f t="shared" si="42"/>
        <v>0</v>
      </c>
      <c r="S583" s="151">
        <f t="shared" si="42"/>
        <v>0</v>
      </c>
      <c r="T583" s="153" t="e">
        <f>+VLOOKUP($L583,Data_Validation!$A:$D,1,0)</f>
        <v>#N/A</v>
      </c>
      <c r="U583" s="153" t="e">
        <f>+VLOOKUP($L583,Data_Validation!$A:$D,3,0)</f>
        <v>#N/A</v>
      </c>
      <c r="V583" s="153" t="e">
        <f>+VLOOKUP($L583,Data_Validation!$A:$D,4,0)</f>
        <v>#N/A</v>
      </c>
      <c r="W583" s="153" t="e">
        <f>+VLOOKUP($L583,Data_Validation!$A:$E,5,0)</f>
        <v>#N/A</v>
      </c>
      <c r="X583" s="153" t="e">
        <f>+VLOOKUP($L583,Data_Validation!$A:$F,6,0)</f>
        <v>#N/A</v>
      </c>
    </row>
    <row r="584" spans="1:24" ht="15" customHeight="1">
      <c r="A584" s="1112"/>
      <c r="B584" s="1112"/>
      <c r="C584" s="1114"/>
      <c r="D584" s="1114"/>
      <c r="E584" s="1114"/>
      <c r="F584" s="1112"/>
      <c r="G584" s="1112"/>
      <c r="H584" s="1112"/>
      <c r="I584" s="1113"/>
      <c r="J584" s="1113"/>
      <c r="K584" s="1113"/>
      <c r="L584" s="150">
        <f t="shared" si="36"/>
        <v>0</v>
      </c>
      <c r="M584" s="151">
        <f t="shared" si="37"/>
        <v>0</v>
      </c>
      <c r="N584" s="152">
        <f>+IF(OR($Q584=Parametres!$G$2,$Q584=Parametres!$G$3),I584,C584)</f>
        <v>0</v>
      </c>
      <c r="O584" s="152">
        <f>+IF(OR($Q584=Parametres!$G$2,$Q584=Parametres!$G$3),J584,D584)</f>
        <v>0</v>
      </c>
      <c r="P584" s="152">
        <f>+IF(OR($Q584=Parametres!$G$2,$Q584=Parametres!$G$3),K584,E584)</f>
        <v>0</v>
      </c>
      <c r="Q584" s="151">
        <f t="shared" si="42"/>
        <v>0</v>
      </c>
      <c r="R584" s="150">
        <f t="shared" si="42"/>
        <v>0</v>
      </c>
      <c r="S584" s="151">
        <f t="shared" si="42"/>
        <v>0</v>
      </c>
      <c r="T584" s="153" t="e">
        <f>+VLOOKUP($L584,Data_Validation!$A:$D,1,0)</f>
        <v>#N/A</v>
      </c>
      <c r="U584" s="153" t="e">
        <f>+VLOOKUP($L584,Data_Validation!$A:$D,3,0)</f>
        <v>#N/A</v>
      </c>
      <c r="V584" s="153" t="e">
        <f>+VLOOKUP($L584,Data_Validation!$A:$D,4,0)</f>
        <v>#N/A</v>
      </c>
      <c r="W584" s="153" t="e">
        <f>+VLOOKUP($L584,Data_Validation!$A:$E,5,0)</f>
        <v>#N/A</v>
      </c>
      <c r="X584" s="153" t="e">
        <f>+VLOOKUP($L584,Data_Validation!$A:$F,6,0)</f>
        <v>#N/A</v>
      </c>
    </row>
    <row r="585" spans="1:24" ht="15" customHeight="1">
      <c r="A585" s="1112"/>
      <c r="B585" s="1112"/>
      <c r="C585" s="1114"/>
      <c r="D585" s="1114"/>
      <c r="E585" s="1114"/>
      <c r="F585" s="1112"/>
      <c r="G585" s="1112"/>
      <c r="H585" s="1112"/>
      <c r="I585" s="1113"/>
      <c r="J585" s="1113"/>
      <c r="K585" s="1113"/>
      <c r="L585" s="150">
        <f t="shared" si="36"/>
        <v>0</v>
      </c>
      <c r="M585" s="151">
        <f t="shared" si="37"/>
        <v>0</v>
      </c>
      <c r="N585" s="152">
        <f>+IF(OR($Q585=Parametres!$G$2,$Q585=Parametres!$G$3),I585,C585)</f>
        <v>0</v>
      </c>
      <c r="O585" s="152">
        <f>+IF(OR($Q585=Parametres!$G$2,$Q585=Parametres!$G$3),J585,D585)</f>
        <v>0</v>
      </c>
      <c r="P585" s="152">
        <f>+IF(OR($Q585=Parametres!$G$2,$Q585=Parametres!$G$3),K585,E585)</f>
        <v>0</v>
      </c>
      <c r="Q585" s="151">
        <f t="shared" si="42"/>
        <v>0</v>
      </c>
      <c r="R585" s="150">
        <f t="shared" si="42"/>
        <v>0</v>
      </c>
      <c r="S585" s="151">
        <f t="shared" si="42"/>
        <v>0</v>
      </c>
      <c r="T585" s="153" t="e">
        <f>+VLOOKUP($L585,Data_Validation!$A:$D,1,0)</f>
        <v>#N/A</v>
      </c>
      <c r="U585" s="153" t="e">
        <f>+VLOOKUP($L585,Data_Validation!$A:$D,3,0)</f>
        <v>#N/A</v>
      </c>
      <c r="V585" s="153" t="e">
        <f>+VLOOKUP($L585,Data_Validation!$A:$D,4,0)</f>
        <v>#N/A</v>
      </c>
      <c r="W585" s="153" t="e">
        <f>+VLOOKUP($L585,Data_Validation!$A:$E,5,0)</f>
        <v>#N/A</v>
      </c>
      <c r="X585" s="153" t="e">
        <f>+VLOOKUP($L585,Data_Validation!$A:$F,6,0)</f>
        <v>#N/A</v>
      </c>
    </row>
    <row r="586" spans="1:24" ht="15" customHeight="1">
      <c r="A586" s="1112"/>
      <c r="B586" s="1112"/>
      <c r="C586" s="1114"/>
      <c r="D586" s="1114"/>
      <c r="E586" s="1114"/>
      <c r="F586" s="1112"/>
      <c r="G586" s="1112"/>
      <c r="H586" s="1112"/>
      <c r="I586" s="1113"/>
      <c r="J586" s="1113"/>
      <c r="K586" s="1113"/>
      <c r="L586" s="150">
        <f t="shared" si="36"/>
        <v>0</v>
      </c>
      <c r="M586" s="151">
        <f t="shared" si="37"/>
        <v>0</v>
      </c>
      <c r="N586" s="152">
        <f>+IF(OR($Q586=Parametres!$G$2,$Q586=Parametres!$G$3),I586,C586)</f>
        <v>0</v>
      </c>
      <c r="O586" s="152">
        <f>+IF(OR($Q586=Parametres!$G$2,$Q586=Parametres!$G$3),J586,D586)</f>
        <v>0</v>
      </c>
      <c r="P586" s="152">
        <f>+IF(OR($Q586=Parametres!$G$2,$Q586=Parametres!$G$3),K586,E586)</f>
        <v>0</v>
      </c>
      <c r="Q586" s="151">
        <f t="shared" si="42"/>
        <v>0</v>
      </c>
      <c r="R586" s="150">
        <f t="shared" si="42"/>
        <v>0</v>
      </c>
      <c r="S586" s="151">
        <f t="shared" si="42"/>
        <v>0</v>
      </c>
      <c r="T586" s="153" t="e">
        <f>+VLOOKUP($L586,Data_Validation!$A:$D,1,0)</f>
        <v>#N/A</v>
      </c>
      <c r="U586" s="153" t="e">
        <f>+VLOOKUP($L586,Data_Validation!$A:$D,3,0)</f>
        <v>#N/A</v>
      </c>
      <c r="V586" s="153" t="e">
        <f>+VLOOKUP($L586,Data_Validation!$A:$D,4,0)</f>
        <v>#N/A</v>
      </c>
      <c r="W586" s="153" t="e">
        <f>+VLOOKUP($L586,Data_Validation!$A:$E,5,0)</f>
        <v>#N/A</v>
      </c>
      <c r="X586" s="153" t="e">
        <f>+VLOOKUP($L586,Data_Validation!$A:$F,6,0)</f>
        <v>#N/A</v>
      </c>
    </row>
    <row r="587" spans="1:24" ht="15" customHeight="1">
      <c r="A587" s="1112"/>
      <c r="B587" s="1112"/>
      <c r="C587" s="1114"/>
      <c r="D587" s="1114"/>
      <c r="E587" s="1114"/>
      <c r="F587" s="1112"/>
      <c r="G587" s="1112"/>
      <c r="H587" s="1112"/>
      <c r="I587" s="1113"/>
      <c r="J587" s="1113"/>
      <c r="K587" s="1113"/>
      <c r="L587" s="150">
        <f t="shared" si="36"/>
        <v>0</v>
      </c>
      <c r="M587" s="151">
        <f t="shared" si="37"/>
        <v>0</v>
      </c>
      <c r="N587" s="152">
        <f>+IF(OR($Q587=Parametres!$G$2,$Q587=Parametres!$G$3),I587,C587)</f>
        <v>0</v>
      </c>
      <c r="O587" s="152">
        <f>+IF(OR($Q587=Parametres!$G$2,$Q587=Parametres!$G$3),J587,D587)</f>
        <v>0</v>
      </c>
      <c r="P587" s="152">
        <f>+IF(OR($Q587=Parametres!$G$2,$Q587=Parametres!$G$3),K587,E587)</f>
        <v>0</v>
      </c>
      <c r="Q587" s="151">
        <f t="shared" si="42"/>
        <v>0</v>
      </c>
      <c r="R587" s="150">
        <f t="shared" si="42"/>
        <v>0</v>
      </c>
      <c r="S587" s="151">
        <f t="shared" si="42"/>
        <v>0</v>
      </c>
      <c r="T587" s="153" t="e">
        <f>+VLOOKUP($L587,Data_Validation!$A:$D,1,0)</f>
        <v>#N/A</v>
      </c>
      <c r="U587" s="153" t="e">
        <f>+VLOOKUP($L587,Data_Validation!$A:$D,3,0)</f>
        <v>#N/A</v>
      </c>
      <c r="V587" s="153" t="e">
        <f>+VLOOKUP($L587,Data_Validation!$A:$D,4,0)</f>
        <v>#N/A</v>
      </c>
      <c r="W587" s="153" t="e">
        <f>+VLOOKUP($L587,Data_Validation!$A:$E,5,0)</f>
        <v>#N/A</v>
      </c>
      <c r="X587" s="153" t="e">
        <f>+VLOOKUP($L587,Data_Validation!$A:$F,6,0)</f>
        <v>#N/A</v>
      </c>
    </row>
    <row r="588" spans="1:24" ht="15" customHeight="1">
      <c r="A588" s="1112"/>
      <c r="B588" s="1112"/>
      <c r="C588" s="1114"/>
      <c r="D588" s="1114"/>
      <c r="E588" s="1114"/>
      <c r="F588" s="1112"/>
      <c r="G588" s="1112"/>
      <c r="H588" s="1112"/>
      <c r="I588" s="1113"/>
      <c r="J588" s="1113"/>
      <c r="K588" s="1113"/>
      <c r="L588" s="150">
        <f t="shared" si="36"/>
        <v>0</v>
      </c>
      <c r="M588" s="151">
        <f t="shared" si="37"/>
        <v>0</v>
      </c>
      <c r="N588" s="152">
        <f>+IF(OR($Q588=Parametres!$G$2,$Q588=Parametres!$G$3),I588,C588)</f>
        <v>0</v>
      </c>
      <c r="O588" s="152">
        <f>+IF(OR($Q588=Parametres!$G$2,$Q588=Parametres!$G$3),J588,D588)</f>
        <v>0</v>
      </c>
      <c r="P588" s="152">
        <f>+IF(OR($Q588=Parametres!$G$2,$Q588=Parametres!$G$3),K588,E588)</f>
        <v>0</v>
      </c>
      <c r="Q588" s="151">
        <f t="shared" si="42"/>
        <v>0</v>
      </c>
      <c r="R588" s="150">
        <f t="shared" si="42"/>
        <v>0</v>
      </c>
      <c r="S588" s="151">
        <f t="shared" si="42"/>
        <v>0</v>
      </c>
      <c r="T588" s="153" t="e">
        <f>+VLOOKUP($L588,Data_Validation!$A:$D,1,0)</f>
        <v>#N/A</v>
      </c>
      <c r="U588" s="153" t="e">
        <f>+VLOOKUP($L588,Data_Validation!$A:$D,3,0)</f>
        <v>#N/A</v>
      </c>
      <c r="V588" s="153" t="e">
        <f>+VLOOKUP($L588,Data_Validation!$A:$D,4,0)</f>
        <v>#N/A</v>
      </c>
      <c r="W588" s="153" t="e">
        <f>+VLOOKUP($L588,Data_Validation!$A:$E,5,0)</f>
        <v>#N/A</v>
      </c>
      <c r="X588" s="153" t="e">
        <f>+VLOOKUP($L588,Data_Validation!$A:$F,6,0)</f>
        <v>#N/A</v>
      </c>
    </row>
    <row r="589" spans="1:24" ht="15" customHeight="1">
      <c r="A589" s="1112"/>
      <c r="B589" s="1112"/>
      <c r="C589" s="1114"/>
      <c r="D589" s="1114"/>
      <c r="E589" s="1114"/>
      <c r="F589" s="1112"/>
      <c r="G589" s="1112"/>
      <c r="H589" s="1112"/>
      <c r="I589" s="1113"/>
      <c r="J589" s="1113"/>
      <c r="K589" s="1113"/>
      <c r="L589" s="150">
        <f t="shared" si="36"/>
        <v>0</v>
      </c>
      <c r="M589" s="151">
        <f t="shared" si="37"/>
        <v>0</v>
      </c>
      <c r="N589" s="152">
        <f>+IF(OR($Q589=Parametres!$G$2,$Q589=Parametres!$G$3),I589,C589)</f>
        <v>0</v>
      </c>
      <c r="O589" s="152">
        <f>+IF(OR($Q589=Parametres!$G$2,$Q589=Parametres!$G$3),J589,D589)</f>
        <v>0</v>
      </c>
      <c r="P589" s="152">
        <f>+IF(OR($Q589=Parametres!$G$2,$Q589=Parametres!$G$3),K589,E589)</f>
        <v>0</v>
      </c>
      <c r="Q589" s="151">
        <f t="shared" si="42"/>
        <v>0</v>
      </c>
      <c r="R589" s="150">
        <f t="shared" si="42"/>
        <v>0</v>
      </c>
      <c r="S589" s="151">
        <f t="shared" si="42"/>
        <v>0</v>
      </c>
      <c r="T589" s="153" t="e">
        <f>+VLOOKUP($L589,Data_Validation!$A:$D,1,0)</f>
        <v>#N/A</v>
      </c>
      <c r="U589" s="153" t="e">
        <f>+VLOOKUP($L589,Data_Validation!$A:$D,3,0)</f>
        <v>#N/A</v>
      </c>
      <c r="V589" s="153" t="e">
        <f>+VLOOKUP($L589,Data_Validation!$A:$D,4,0)</f>
        <v>#N/A</v>
      </c>
      <c r="W589" s="153" t="e">
        <f>+VLOOKUP($L589,Data_Validation!$A:$E,5,0)</f>
        <v>#N/A</v>
      </c>
      <c r="X589" s="153" t="e">
        <f>+VLOOKUP($L589,Data_Validation!$A:$F,6,0)</f>
        <v>#N/A</v>
      </c>
    </row>
    <row r="590" spans="1:24" ht="15" customHeight="1">
      <c r="A590" s="1112"/>
      <c r="B590" s="1112"/>
      <c r="C590" s="1114"/>
      <c r="D590" s="1114"/>
      <c r="E590" s="1114"/>
      <c r="F590" s="1112"/>
      <c r="G590" s="1112"/>
      <c r="H590" s="1112"/>
      <c r="I590" s="1113"/>
      <c r="J590" s="1113"/>
      <c r="K590" s="1113"/>
      <c r="L590" s="150">
        <f t="shared" si="36"/>
        <v>0</v>
      </c>
      <c r="M590" s="151">
        <f t="shared" si="37"/>
        <v>0</v>
      </c>
      <c r="N590" s="152">
        <f>+IF(OR($Q590=Parametres!$G$2,$Q590=Parametres!$G$3),I590,C590)</f>
        <v>0</v>
      </c>
      <c r="O590" s="152">
        <f>+IF(OR($Q590=Parametres!$G$2,$Q590=Parametres!$G$3),J590,D590)</f>
        <v>0</v>
      </c>
      <c r="P590" s="152">
        <f>+IF(OR($Q590=Parametres!$G$2,$Q590=Parametres!$G$3),K590,E590)</f>
        <v>0</v>
      </c>
      <c r="Q590" s="151">
        <f t="shared" si="42"/>
        <v>0</v>
      </c>
      <c r="R590" s="150">
        <f t="shared" si="42"/>
        <v>0</v>
      </c>
      <c r="S590" s="151">
        <f t="shared" si="42"/>
        <v>0</v>
      </c>
      <c r="T590" s="153" t="e">
        <f>+VLOOKUP($L590,Data_Validation!$A:$D,1,0)</f>
        <v>#N/A</v>
      </c>
      <c r="U590" s="153" t="e">
        <f>+VLOOKUP($L590,Data_Validation!$A:$D,3,0)</f>
        <v>#N/A</v>
      </c>
      <c r="V590" s="153" t="e">
        <f>+VLOOKUP($L590,Data_Validation!$A:$D,4,0)</f>
        <v>#N/A</v>
      </c>
      <c r="W590" s="153" t="e">
        <f>+VLOOKUP($L590,Data_Validation!$A:$E,5,0)</f>
        <v>#N/A</v>
      </c>
      <c r="X590" s="153" t="e">
        <f>+VLOOKUP($L590,Data_Validation!$A:$F,6,0)</f>
        <v>#N/A</v>
      </c>
    </row>
    <row r="591" spans="1:24" ht="15" customHeight="1">
      <c r="A591" s="1112"/>
      <c r="B591" s="1112"/>
      <c r="C591" s="1114"/>
      <c r="D591" s="1114"/>
      <c r="E591" s="1114"/>
      <c r="F591" s="1112"/>
      <c r="G591" s="1112"/>
      <c r="H591" s="1112"/>
      <c r="I591" s="1113"/>
      <c r="J591" s="1113"/>
      <c r="K591" s="1113"/>
      <c r="L591" s="150">
        <f t="shared" si="36"/>
        <v>0</v>
      </c>
      <c r="M591" s="151">
        <f t="shared" si="37"/>
        <v>0</v>
      </c>
      <c r="N591" s="152">
        <f>+IF(OR($Q591=Parametres!$G$2,$Q591=Parametres!$G$3),I591,C591)</f>
        <v>0</v>
      </c>
      <c r="O591" s="152">
        <f>+IF(OR($Q591=Parametres!$G$2,$Q591=Parametres!$G$3),J591,D591)</f>
        <v>0</v>
      </c>
      <c r="P591" s="152">
        <f>+IF(OR($Q591=Parametres!$G$2,$Q591=Parametres!$G$3),K591,E591)</f>
        <v>0</v>
      </c>
      <c r="Q591" s="151">
        <f t="shared" si="42"/>
        <v>0</v>
      </c>
      <c r="R591" s="150">
        <f t="shared" si="42"/>
        <v>0</v>
      </c>
      <c r="S591" s="151">
        <f t="shared" si="42"/>
        <v>0</v>
      </c>
      <c r="T591" s="153" t="e">
        <f>+VLOOKUP($L591,Data_Validation!$A:$D,1,0)</f>
        <v>#N/A</v>
      </c>
      <c r="U591" s="153" t="e">
        <f>+VLOOKUP($L591,Data_Validation!$A:$D,3,0)</f>
        <v>#N/A</v>
      </c>
      <c r="V591" s="153" t="e">
        <f>+VLOOKUP($L591,Data_Validation!$A:$D,4,0)</f>
        <v>#N/A</v>
      </c>
      <c r="W591" s="153" t="e">
        <f>+VLOOKUP($L591,Data_Validation!$A:$E,5,0)</f>
        <v>#N/A</v>
      </c>
      <c r="X591" s="153" t="e">
        <f>+VLOOKUP($L591,Data_Validation!$A:$F,6,0)</f>
        <v>#N/A</v>
      </c>
    </row>
    <row r="592" spans="1:24" ht="15" customHeight="1">
      <c r="A592" s="1112"/>
      <c r="B592" s="1112"/>
      <c r="C592" s="1114"/>
      <c r="D592" s="1114"/>
      <c r="E592" s="1114"/>
      <c r="F592" s="1112"/>
      <c r="G592" s="1112"/>
      <c r="H592" s="1112"/>
      <c r="I592" s="1113"/>
      <c r="J592" s="1113"/>
      <c r="K592" s="1113"/>
      <c r="L592" s="150">
        <f t="shared" si="36"/>
        <v>0</v>
      </c>
      <c r="M592" s="151">
        <f t="shared" si="37"/>
        <v>0</v>
      </c>
      <c r="N592" s="152">
        <f>+IF(OR($Q592=Parametres!$G$2,$Q592=Parametres!$G$3),I592,C592)</f>
        <v>0</v>
      </c>
      <c r="O592" s="152">
        <f>+IF(OR($Q592=Parametres!$G$2,$Q592=Parametres!$G$3),J592,D592)</f>
        <v>0</v>
      </c>
      <c r="P592" s="152">
        <f>+IF(OR($Q592=Parametres!$G$2,$Q592=Parametres!$G$3),K592,E592)</f>
        <v>0</v>
      </c>
      <c r="Q592" s="151">
        <f t="shared" si="42"/>
        <v>0</v>
      </c>
      <c r="R592" s="150">
        <f t="shared" si="42"/>
        <v>0</v>
      </c>
      <c r="S592" s="151">
        <f t="shared" si="42"/>
        <v>0</v>
      </c>
      <c r="T592" s="153" t="e">
        <f>+VLOOKUP($L592,Data_Validation!$A:$D,1,0)</f>
        <v>#N/A</v>
      </c>
      <c r="U592" s="153" t="e">
        <f>+VLOOKUP($L592,Data_Validation!$A:$D,3,0)</f>
        <v>#N/A</v>
      </c>
      <c r="V592" s="153" t="e">
        <f>+VLOOKUP($L592,Data_Validation!$A:$D,4,0)</f>
        <v>#N/A</v>
      </c>
      <c r="W592" s="153" t="e">
        <f>+VLOOKUP($L592,Data_Validation!$A:$E,5,0)</f>
        <v>#N/A</v>
      </c>
      <c r="X592" s="153" t="e">
        <f>+VLOOKUP($L592,Data_Validation!$A:$F,6,0)</f>
        <v>#N/A</v>
      </c>
    </row>
    <row r="593" spans="1:24" ht="15" customHeight="1">
      <c r="A593" s="1112"/>
      <c r="B593" s="1112"/>
      <c r="C593" s="1114"/>
      <c r="D593" s="1114"/>
      <c r="E593" s="1114"/>
      <c r="F593" s="1112"/>
      <c r="G593" s="1112"/>
      <c r="H593" s="1112"/>
      <c r="I593" s="1113"/>
      <c r="J593" s="1113"/>
      <c r="K593" s="1113"/>
      <c r="L593" s="150">
        <f t="shared" si="36"/>
        <v>0</v>
      </c>
      <c r="M593" s="151">
        <f t="shared" si="37"/>
        <v>0</v>
      </c>
      <c r="N593" s="152">
        <f>+IF(OR($Q593=Parametres!$G$2,$Q593=Parametres!$G$3),I593,C593)</f>
        <v>0</v>
      </c>
      <c r="O593" s="152">
        <f>+IF(OR($Q593=Parametres!$G$2,$Q593=Parametres!$G$3),J593,D593)</f>
        <v>0</v>
      </c>
      <c r="P593" s="152">
        <f>+IF(OR($Q593=Parametres!$G$2,$Q593=Parametres!$G$3),K593,E593)</f>
        <v>0</v>
      </c>
      <c r="Q593" s="151">
        <f t="shared" si="42"/>
        <v>0</v>
      </c>
      <c r="R593" s="150">
        <f t="shared" si="42"/>
        <v>0</v>
      </c>
      <c r="S593" s="151">
        <f t="shared" si="42"/>
        <v>0</v>
      </c>
      <c r="T593" s="153" t="e">
        <f>+VLOOKUP($L593,Data_Validation!$A:$D,1,0)</f>
        <v>#N/A</v>
      </c>
      <c r="U593" s="153" t="e">
        <f>+VLOOKUP($L593,Data_Validation!$A:$D,3,0)</f>
        <v>#N/A</v>
      </c>
      <c r="V593" s="153" t="e">
        <f>+VLOOKUP($L593,Data_Validation!$A:$D,4,0)</f>
        <v>#N/A</v>
      </c>
      <c r="W593" s="153" t="e">
        <f>+VLOOKUP($L593,Data_Validation!$A:$E,5,0)</f>
        <v>#N/A</v>
      </c>
      <c r="X593" s="153" t="e">
        <f>+VLOOKUP($L593,Data_Validation!$A:$F,6,0)</f>
        <v>#N/A</v>
      </c>
    </row>
    <row r="594" spans="1:24" ht="15" customHeight="1">
      <c r="A594" s="1112"/>
      <c r="B594" s="1112"/>
      <c r="C594" s="1114"/>
      <c r="D594" s="1114"/>
      <c r="E594" s="1114"/>
      <c r="F594" s="1112"/>
      <c r="G594" s="1112"/>
      <c r="H594" s="1112"/>
      <c r="I594" s="1113"/>
      <c r="J594" s="1113"/>
      <c r="K594" s="1113"/>
      <c r="L594" s="150">
        <f t="shared" si="36"/>
        <v>0</v>
      </c>
      <c r="M594" s="151">
        <f t="shared" si="37"/>
        <v>0</v>
      </c>
      <c r="N594" s="152">
        <f>+IF(OR($Q594=Parametres!$G$2,$Q594=Parametres!$G$3),I594,C594)</f>
        <v>0</v>
      </c>
      <c r="O594" s="152">
        <f>+IF(OR($Q594=Parametres!$G$2,$Q594=Parametres!$G$3),J594,D594)</f>
        <v>0</v>
      </c>
      <c r="P594" s="152">
        <f>+IF(OR($Q594=Parametres!$G$2,$Q594=Parametres!$G$3),K594,E594)</f>
        <v>0</v>
      </c>
      <c r="Q594" s="151">
        <f t="shared" ref="Q594:S609" si="43">+F594</f>
        <v>0</v>
      </c>
      <c r="R594" s="150">
        <f t="shared" si="43"/>
        <v>0</v>
      </c>
      <c r="S594" s="151">
        <f t="shared" si="43"/>
        <v>0</v>
      </c>
      <c r="T594" s="153" t="e">
        <f>+VLOOKUP($L594,Data_Validation!$A:$D,1,0)</f>
        <v>#N/A</v>
      </c>
      <c r="U594" s="153" t="e">
        <f>+VLOOKUP($L594,Data_Validation!$A:$D,3,0)</f>
        <v>#N/A</v>
      </c>
      <c r="V594" s="153" t="e">
        <f>+VLOOKUP($L594,Data_Validation!$A:$D,4,0)</f>
        <v>#N/A</v>
      </c>
      <c r="W594" s="153" t="e">
        <f>+VLOOKUP($L594,Data_Validation!$A:$E,5,0)</f>
        <v>#N/A</v>
      </c>
      <c r="X594" s="153" t="e">
        <f>+VLOOKUP($L594,Data_Validation!$A:$F,6,0)</f>
        <v>#N/A</v>
      </c>
    </row>
    <row r="595" spans="1:24" ht="15" customHeight="1">
      <c r="A595" s="1112"/>
      <c r="B595" s="1112"/>
      <c r="C595" s="1114"/>
      <c r="D595" s="1114"/>
      <c r="E595" s="1114"/>
      <c r="F595" s="1112"/>
      <c r="G595" s="1112"/>
      <c r="H595" s="1112"/>
      <c r="I595" s="1113"/>
      <c r="J595" s="1113"/>
      <c r="K595" s="1113"/>
      <c r="L595" s="150">
        <f t="shared" si="36"/>
        <v>0</v>
      </c>
      <c r="M595" s="151">
        <f t="shared" si="37"/>
        <v>0</v>
      </c>
      <c r="N595" s="152">
        <f>+IF(OR($Q595=Parametres!$G$2,$Q595=Parametres!$G$3),I595,C595)</f>
        <v>0</v>
      </c>
      <c r="O595" s="152">
        <f>+IF(OR($Q595=Parametres!$G$2,$Q595=Parametres!$G$3),J595,D595)</f>
        <v>0</v>
      </c>
      <c r="P595" s="152">
        <f>+IF(OR($Q595=Parametres!$G$2,$Q595=Parametres!$G$3),K595,E595)</f>
        <v>0</v>
      </c>
      <c r="Q595" s="151">
        <f t="shared" si="43"/>
        <v>0</v>
      </c>
      <c r="R595" s="150">
        <f t="shared" si="43"/>
        <v>0</v>
      </c>
      <c r="S595" s="151">
        <f t="shared" si="43"/>
        <v>0</v>
      </c>
      <c r="T595" s="153" t="e">
        <f>+VLOOKUP($L595,Data_Validation!$A:$D,1,0)</f>
        <v>#N/A</v>
      </c>
      <c r="U595" s="153" t="e">
        <f>+VLOOKUP($L595,Data_Validation!$A:$D,3,0)</f>
        <v>#N/A</v>
      </c>
      <c r="V595" s="153" t="e">
        <f>+VLOOKUP($L595,Data_Validation!$A:$D,4,0)</f>
        <v>#N/A</v>
      </c>
      <c r="W595" s="153" t="e">
        <f>+VLOOKUP($L595,Data_Validation!$A:$E,5,0)</f>
        <v>#N/A</v>
      </c>
      <c r="X595" s="153" t="e">
        <f>+VLOOKUP($L595,Data_Validation!$A:$F,6,0)</f>
        <v>#N/A</v>
      </c>
    </row>
    <row r="596" spans="1:24" ht="15" customHeight="1">
      <c r="A596" s="1112"/>
      <c r="B596" s="1112"/>
      <c r="C596" s="1114"/>
      <c r="D596" s="1114"/>
      <c r="E596" s="1114"/>
      <c r="F596" s="1112"/>
      <c r="G596" s="1112"/>
      <c r="H596" s="1112"/>
      <c r="I596" s="1113"/>
      <c r="J596" s="1113"/>
      <c r="K596" s="1113"/>
      <c r="L596" s="150">
        <f t="shared" si="36"/>
        <v>0</v>
      </c>
      <c r="M596" s="151">
        <f t="shared" si="37"/>
        <v>0</v>
      </c>
      <c r="N596" s="152">
        <f>+IF(OR($Q596=Parametres!$G$2,$Q596=Parametres!$G$3),I596,C596)</f>
        <v>0</v>
      </c>
      <c r="O596" s="152">
        <f>+IF(OR($Q596=Parametres!$G$2,$Q596=Parametres!$G$3),J596,D596)</f>
        <v>0</v>
      </c>
      <c r="P596" s="152">
        <f>+IF(OR($Q596=Parametres!$G$2,$Q596=Parametres!$G$3),K596,E596)</f>
        <v>0</v>
      </c>
      <c r="Q596" s="151">
        <f t="shared" si="43"/>
        <v>0</v>
      </c>
      <c r="R596" s="150">
        <f t="shared" si="43"/>
        <v>0</v>
      </c>
      <c r="S596" s="151">
        <f t="shared" si="43"/>
        <v>0</v>
      </c>
      <c r="T596" s="153" t="e">
        <f>+VLOOKUP($L596,Data_Validation!$A:$D,1,0)</f>
        <v>#N/A</v>
      </c>
      <c r="U596" s="153" t="e">
        <f>+VLOOKUP($L596,Data_Validation!$A:$D,3,0)</f>
        <v>#N/A</v>
      </c>
      <c r="V596" s="153" t="e">
        <f>+VLOOKUP($L596,Data_Validation!$A:$D,4,0)</f>
        <v>#N/A</v>
      </c>
      <c r="W596" s="153" t="e">
        <f>+VLOOKUP($L596,Data_Validation!$A:$E,5,0)</f>
        <v>#N/A</v>
      </c>
      <c r="X596" s="153" t="e">
        <f>+VLOOKUP($L596,Data_Validation!$A:$F,6,0)</f>
        <v>#N/A</v>
      </c>
    </row>
    <row r="597" spans="1:24" ht="15" customHeight="1">
      <c r="A597" s="1112"/>
      <c r="B597" s="1112"/>
      <c r="C597" s="1114"/>
      <c r="D597" s="1114"/>
      <c r="E597" s="1114"/>
      <c r="F597" s="1112"/>
      <c r="G597" s="1112"/>
      <c r="H597" s="1112"/>
      <c r="I597" s="1113"/>
      <c r="J597" s="1113"/>
      <c r="K597" s="1113"/>
      <c r="L597" s="150">
        <f t="shared" si="36"/>
        <v>0</v>
      </c>
      <c r="M597" s="151">
        <f t="shared" si="37"/>
        <v>0</v>
      </c>
      <c r="N597" s="152">
        <f>+IF(OR($Q597=Parametres!$G$2,$Q597=Parametres!$G$3),I597,C597)</f>
        <v>0</v>
      </c>
      <c r="O597" s="152">
        <f>+IF(OR($Q597=Parametres!$G$2,$Q597=Parametres!$G$3),J597,D597)</f>
        <v>0</v>
      </c>
      <c r="P597" s="152">
        <f>+IF(OR($Q597=Parametres!$G$2,$Q597=Parametres!$G$3),K597,E597)</f>
        <v>0</v>
      </c>
      <c r="Q597" s="151">
        <f t="shared" si="43"/>
        <v>0</v>
      </c>
      <c r="R597" s="150">
        <f t="shared" si="43"/>
        <v>0</v>
      </c>
      <c r="S597" s="151">
        <f t="shared" si="43"/>
        <v>0</v>
      </c>
      <c r="T597" s="153" t="e">
        <f>+VLOOKUP($L597,Data_Validation!$A:$D,1,0)</f>
        <v>#N/A</v>
      </c>
      <c r="U597" s="153" t="e">
        <f>+VLOOKUP($L597,Data_Validation!$A:$D,3,0)</f>
        <v>#N/A</v>
      </c>
      <c r="V597" s="153" t="e">
        <f>+VLOOKUP($L597,Data_Validation!$A:$D,4,0)</f>
        <v>#N/A</v>
      </c>
      <c r="W597" s="153" t="e">
        <f>+VLOOKUP($L597,Data_Validation!$A:$E,5,0)</f>
        <v>#N/A</v>
      </c>
      <c r="X597" s="153" t="e">
        <f>+VLOOKUP($L597,Data_Validation!$A:$F,6,0)</f>
        <v>#N/A</v>
      </c>
    </row>
    <row r="598" spans="1:24" ht="15" customHeight="1">
      <c r="A598" s="1112"/>
      <c r="B598" s="1112"/>
      <c r="C598" s="1114"/>
      <c r="D598" s="1114"/>
      <c r="E598" s="1114"/>
      <c r="F598" s="1112"/>
      <c r="G598" s="1112"/>
      <c r="H598" s="1112"/>
      <c r="I598" s="1113"/>
      <c r="J598" s="1113"/>
      <c r="K598" s="1113"/>
      <c r="L598" s="150">
        <f t="shared" si="36"/>
        <v>0</v>
      </c>
      <c r="M598" s="151">
        <f t="shared" si="37"/>
        <v>0</v>
      </c>
      <c r="N598" s="152">
        <f>+IF(OR($Q598=Parametres!$G$2,$Q598=Parametres!$G$3),I598,C598)</f>
        <v>0</v>
      </c>
      <c r="O598" s="152">
        <f>+IF(OR($Q598=Parametres!$G$2,$Q598=Parametres!$G$3),J598,D598)</f>
        <v>0</v>
      </c>
      <c r="P598" s="152">
        <f>+IF(OR($Q598=Parametres!$G$2,$Q598=Parametres!$G$3),K598,E598)</f>
        <v>0</v>
      </c>
      <c r="Q598" s="151">
        <f t="shared" si="43"/>
        <v>0</v>
      </c>
      <c r="R598" s="150">
        <f t="shared" si="43"/>
        <v>0</v>
      </c>
      <c r="S598" s="151">
        <f t="shared" si="43"/>
        <v>0</v>
      </c>
      <c r="T598" s="153" t="e">
        <f>+VLOOKUP($L598,Data_Validation!$A:$D,1,0)</f>
        <v>#N/A</v>
      </c>
      <c r="U598" s="153" t="e">
        <f>+VLOOKUP($L598,Data_Validation!$A:$D,3,0)</f>
        <v>#N/A</v>
      </c>
      <c r="V598" s="153" t="e">
        <f>+VLOOKUP($L598,Data_Validation!$A:$D,4,0)</f>
        <v>#N/A</v>
      </c>
      <c r="W598" s="153" t="e">
        <f>+VLOOKUP($L598,Data_Validation!$A:$E,5,0)</f>
        <v>#N/A</v>
      </c>
      <c r="X598" s="153" t="e">
        <f>+VLOOKUP($L598,Data_Validation!$A:$F,6,0)</f>
        <v>#N/A</v>
      </c>
    </row>
    <row r="599" spans="1:24" ht="15" customHeight="1">
      <c r="A599" s="1112"/>
      <c r="B599" s="1112"/>
      <c r="C599" s="1114"/>
      <c r="D599" s="1114"/>
      <c r="E599" s="1114"/>
      <c r="F599" s="1112"/>
      <c r="G599" s="1112"/>
      <c r="H599" s="1112"/>
      <c r="I599" s="1113"/>
      <c r="J599" s="1113"/>
      <c r="K599" s="1113"/>
      <c r="L599" s="150">
        <f t="shared" si="36"/>
        <v>0</v>
      </c>
      <c r="M599" s="151">
        <f t="shared" si="37"/>
        <v>0</v>
      </c>
      <c r="N599" s="152">
        <f>+IF(OR($Q599=Parametres!$G$2,$Q599=Parametres!$G$3),I599,C599)</f>
        <v>0</v>
      </c>
      <c r="O599" s="152">
        <f>+IF(OR($Q599=Parametres!$G$2,$Q599=Parametres!$G$3),J599,D599)</f>
        <v>0</v>
      </c>
      <c r="P599" s="152">
        <f>+IF(OR($Q599=Parametres!$G$2,$Q599=Parametres!$G$3),K599,E599)</f>
        <v>0</v>
      </c>
      <c r="Q599" s="151">
        <f t="shared" si="43"/>
        <v>0</v>
      </c>
      <c r="R599" s="150">
        <f t="shared" si="43"/>
        <v>0</v>
      </c>
      <c r="S599" s="151">
        <f t="shared" si="43"/>
        <v>0</v>
      </c>
      <c r="T599" s="153" t="e">
        <f>+VLOOKUP($L599,Data_Validation!$A:$D,1,0)</f>
        <v>#N/A</v>
      </c>
      <c r="U599" s="153" t="e">
        <f>+VLOOKUP($L599,Data_Validation!$A:$D,3,0)</f>
        <v>#N/A</v>
      </c>
      <c r="V599" s="153" t="e">
        <f>+VLOOKUP($L599,Data_Validation!$A:$D,4,0)</f>
        <v>#N/A</v>
      </c>
      <c r="W599" s="153" t="e">
        <f>+VLOOKUP($L599,Data_Validation!$A:$E,5,0)</f>
        <v>#N/A</v>
      </c>
      <c r="X599" s="153" t="e">
        <f>+VLOOKUP($L599,Data_Validation!$A:$F,6,0)</f>
        <v>#N/A</v>
      </c>
    </row>
    <row r="600" spans="1:24" ht="15" customHeight="1">
      <c r="A600" s="1112"/>
      <c r="B600" s="1112"/>
      <c r="C600" s="1114"/>
      <c r="D600" s="1114"/>
      <c r="E600" s="1114"/>
      <c r="F600" s="1112"/>
      <c r="G600" s="1112"/>
      <c r="H600" s="1112"/>
      <c r="I600" s="1113"/>
      <c r="J600" s="1113"/>
      <c r="K600" s="1113"/>
      <c r="L600" s="150">
        <f t="shared" si="36"/>
        <v>0</v>
      </c>
      <c r="M600" s="151">
        <f t="shared" si="37"/>
        <v>0</v>
      </c>
      <c r="N600" s="152">
        <f>+IF(OR($Q600=Parametres!$G$2,$Q600=Parametres!$G$3),I600,C600)</f>
        <v>0</v>
      </c>
      <c r="O600" s="152">
        <f>+IF(OR($Q600=Parametres!$G$2,$Q600=Parametres!$G$3),J600,D600)</f>
        <v>0</v>
      </c>
      <c r="P600" s="152">
        <f>+IF(OR($Q600=Parametres!$G$2,$Q600=Parametres!$G$3),K600,E600)</f>
        <v>0</v>
      </c>
      <c r="Q600" s="151">
        <f t="shared" si="43"/>
        <v>0</v>
      </c>
      <c r="R600" s="150">
        <f t="shared" si="43"/>
        <v>0</v>
      </c>
      <c r="S600" s="151">
        <f t="shared" si="43"/>
        <v>0</v>
      </c>
      <c r="T600" s="153" t="e">
        <f>+VLOOKUP($L600,Data_Validation!$A:$D,1,0)</f>
        <v>#N/A</v>
      </c>
      <c r="U600" s="153" t="e">
        <f>+VLOOKUP($L600,Data_Validation!$A:$D,3,0)</f>
        <v>#N/A</v>
      </c>
      <c r="V600" s="153" t="e">
        <f>+VLOOKUP($L600,Data_Validation!$A:$D,4,0)</f>
        <v>#N/A</v>
      </c>
      <c r="W600" s="153" t="e">
        <f>+VLOOKUP($L600,Data_Validation!$A:$E,5,0)</f>
        <v>#N/A</v>
      </c>
      <c r="X600" s="153" t="e">
        <f>+VLOOKUP($L600,Data_Validation!$A:$F,6,0)</f>
        <v>#N/A</v>
      </c>
    </row>
    <row r="601" spans="1:24" ht="15" customHeight="1">
      <c r="A601" s="1112"/>
      <c r="B601" s="1112"/>
      <c r="C601" s="1114"/>
      <c r="D601" s="1114"/>
      <c r="E601" s="1114"/>
      <c r="F601" s="1112"/>
      <c r="G601" s="1112"/>
      <c r="H601" s="1112"/>
      <c r="I601" s="1113"/>
      <c r="J601" s="1113"/>
      <c r="K601" s="1113"/>
      <c r="L601" s="150">
        <f t="shared" si="36"/>
        <v>0</v>
      </c>
      <c r="M601" s="151">
        <f t="shared" si="37"/>
        <v>0</v>
      </c>
      <c r="N601" s="152">
        <f>+IF(OR($Q601=Parametres!$G$2,$Q601=Parametres!$G$3),I601,C601)</f>
        <v>0</v>
      </c>
      <c r="O601" s="152">
        <f>+IF(OR($Q601=Parametres!$G$2,$Q601=Parametres!$G$3),J601,D601)</f>
        <v>0</v>
      </c>
      <c r="P601" s="152">
        <f>+IF(OR($Q601=Parametres!$G$2,$Q601=Parametres!$G$3),K601,E601)</f>
        <v>0</v>
      </c>
      <c r="Q601" s="151">
        <f t="shared" si="43"/>
        <v>0</v>
      </c>
      <c r="R601" s="150">
        <f t="shared" si="43"/>
        <v>0</v>
      </c>
      <c r="S601" s="151">
        <f t="shared" si="43"/>
        <v>0</v>
      </c>
      <c r="T601" s="153" t="e">
        <f>+VLOOKUP($L601,Data_Validation!$A:$D,1,0)</f>
        <v>#N/A</v>
      </c>
      <c r="U601" s="153" t="e">
        <f>+VLOOKUP($L601,Data_Validation!$A:$D,3,0)</f>
        <v>#N/A</v>
      </c>
      <c r="V601" s="153" t="e">
        <f>+VLOOKUP($L601,Data_Validation!$A:$D,4,0)</f>
        <v>#N/A</v>
      </c>
      <c r="W601" s="153" t="e">
        <f>+VLOOKUP($L601,Data_Validation!$A:$E,5,0)</f>
        <v>#N/A</v>
      </c>
      <c r="X601" s="153" t="e">
        <f>+VLOOKUP($L601,Data_Validation!$A:$F,6,0)</f>
        <v>#N/A</v>
      </c>
    </row>
    <row r="602" spans="1:24" ht="15" customHeight="1">
      <c r="A602" s="1112"/>
      <c r="B602" s="1112"/>
      <c r="C602" s="1114"/>
      <c r="D602" s="1114"/>
      <c r="E602" s="1114"/>
      <c r="F602" s="1112"/>
      <c r="G602" s="1112"/>
      <c r="H602" s="1112"/>
      <c r="I602" s="1113"/>
      <c r="J602" s="1113"/>
      <c r="K602" s="1113"/>
      <c r="L602" s="150">
        <f t="shared" si="36"/>
        <v>0</v>
      </c>
      <c r="M602" s="151">
        <f t="shared" si="37"/>
        <v>0</v>
      </c>
      <c r="N602" s="152">
        <f>+IF(OR($Q602=Parametres!$G$2,$Q602=Parametres!$G$3),I602,C602)</f>
        <v>0</v>
      </c>
      <c r="O602" s="152">
        <f>+IF(OR($Q602=Parametres!$G$2,$Q602=Parametres!$G$3),J602,D602)</f>
        <v>0</v>
      </c>
      <c r="P602" s="152">
        <f>+IF(OR($Q602=Parametres!$G$2,$Q602=Parametres!$G$3),K602,E602)</f>
        <v>0</v>
      </c>
      <c r="Q602" s="151">
        <f t="shared" si="43"/>
        <v>0</v>
      </c>
      <c r="R602" s="150">
        <f t="shared" si="43"/>
        <v>0</v>
      </c>
      <c r="S602" s="151">
        <f t="shared" si="43"/>
        <v>0</v>
      </c>
      <c r="T602" s="153" t="e">
        <f>+VLOOKUP($L602,Data_Validation!$A:$D,1,0)</f>
        <v>#N/A</v>
      </c>
      <c r="U602" s="153" t="e">
        <f>+VLOOKUP($L602,Data_Validation!$A:$D,3,0)</f>
        <v>#N/A</v>
      </c>
      <c r="V602" s="153" t="e">
        <f>+VLOOKUP($L602,Data_Validation!$A:$D,4,0)</f>
        <v>#N/A</v>
      </c>
      <c r="W602" s="153" t="e">
        <f>+VLOOKUP($L602,Data_Validation!$A:$E,5,0)</f>
        <v>#N/A</v>
      </c>
      <c r="X602" s="153" t="e">
        <f>+VLOOKUP($L602,Data_Validation!$A:$F,6,0)</f>
        <v>#N/A</v>
      </c>
    </row>
    <row r="603" spans="1:24" ht="15" customHeight="1">
      <c r="A603" s="1112"/>
      <c r="B603" s="1112"/>
      <c r="C603" s="1114"/>
      <c r="D603" s="1114"/>
      <c r="E603" s="1114"/>
      <c r="F603" s="1112"/>
      <c r="G603" s="1112"/>
      <c r="H603" s="1112"/>
      <c r="I603" s="1113"/>
      <c r="J603" s="1113"/>
      <c r="K603" s="1113"/>
      <c r="L603" s="150">
        <f t="shared" si="36"/>
        <v>0</v>
      </c>
      <c r="M603" s="151">
        <f t="shared" si="37"/>
        <v>0</v>
      </c>
      <c r="N603" s="152">
        <f>+IF(OR($Q603=Parametres!$G$2,$Q603=Parametres!$G$3),I603,C603)</f>
        <v>0</v>
      </c>
      <c r="O603" s="152">
        <f>+IF(OR($Q603=Parametres!$G$2,$Q603=Parametres!$G$3),J603,D603)</f>
        <v>0</v>
      </c>
      <c r="P603" s="152">
        <f>+IF(OR($Q603=Parametres!$G$2,$Q603=Parametres!$G$3),K603,E603)</f>
        <v>0</v>
      </c>
      <c r="Q603" s="151">
        <f t="shared" si="43"/>
        <v>0</v>
      </c>
      <c r="R603" s="150">
        <f t="shared" si="43"/>
        <v>0</v>
      </c>
      <c r="S603" s="151">
        <f t="shared" si="43"/>
        <v>0</v>
      </c>
      <c r="T603" s="153" t="e">
        <f>+VLOOKUP($L603,Data_Validation!$A:$D,1,0)</f>
        <v>#N/A</v>
      </c>
      <c r="U603" s="153" t="e">
        <f>+VLOOKUP($L603,Data_Validation!$A:$D,3,0)</f>
        <v>#N/A</v>
      </c>
      <c r="V603" s="153" t="e">
        <f>+VLOOKUP($L603,Data_Validation!$A:$D,4,0)</f>
        <v>#N/A</v>
      </c>
      <c r="W603" s="153" t="e">
        <f>+VLOOKUP($L603,Data_Validation!$A:$E,5,0)</f>
        <v>#N/A</v>
      </c>
      <c r="X603" s="153" t="e">
        <f>+VLOOKUP($L603,Data_Validation!$A:$F,6,0)</f>
        <v>#N/A</v>
      </c>
    </row>
    <row r="604" spans="1:24" ht="15" customHeight="1">
      <c r="A604" s="1112"/>
      <c r="B604" s="1112"/>
      <c r="C604" s="1114"/>
      <c r="D604" s="1114"/>
      <c r="E604" s="1114"/>
      <c r="F604" s="1112"/>
      <c r="G604" s="1112"/>
      <c r="H604" s="1112"/>
      <c r="I604" s="1113"/>
      <c r="J604" s="1113"/>
      <c r="K604" s="1113"/>
      <c r="L604" s="150">
        <f t="shared" si="36"/>
        <v>0</v>
      </c>
      <c r="M604" s="151">
        <f t="shared" si="37"/>
        <v>0</v>
      </c>
      <c r="N604" s="152">
        <f>+IF(OR($Q604=Parametres!$G$2,$Q604=Parametres!$G$3),I604,C604)</f>
        <v>0</v>
      </c>
      <c r="O604" s="152">
        <f>+IF(OR($Q604=Parametres!$G$2,$Q604=Parametres!$G$3),J604,D604)</f>
        <v>0</v>
      </c>
      <c r="P604" s="152">
        <f>+IF(OR($Q604=Parametres!$G$2,$Q604=Parametres!$G$3),K604,E604)</f>
        <v>0</v>
      </c>
      <c r="Q604" s="151">
        <f t="shared" si="43"/>
        <v>0</v>
      </c>
      <c r="R604" s="150">
        <f t="shared" si="43"/>
        <v>0</v>
      </c>
      <c r="S604" s="151">
        <f t="shared" si="43"/>
        <v>0</v>
      </c>
      <c r="T604" s="153" t="e">
        <f>+VLOOKUP($L604,Data_Validation!$A:$D,1,0)</f>
        <v>#N/A</v>
      </c>
      <c r="U604" s="153" t="e">
        <f>+VLOOKUP($L604,Data_Validation!$A:$D,3,0)</f>
        <v>#N/A</v>
      </c>
      <c r="V604" s="153" t="e">
        <f>+VLOOKUP($L604,Data_Validation!$A:$D,4,0)</f>
        <v>#N/A</v>
      </c>
      <c r="W604" s="153" t="e">
        <f>+VLOOKUP($L604,Data_Validation!$A:$E,5,0)</f>
        <v>#N/A</v>
      </c>
      <c r="X604" s="153" t="e">
        <f>+VLOOKUP($L604,Data_Validation!$A:$F,6,0)</f>
        <v>#N/A</v>
      </c>
    </row>
    <row r="605" spans="1:24" ht="15" customHeight="1">
      <c r="A605" s="1112"/>
      <c r="B605" s="1112"/>
      <c r="C605" s="1114"/>
      <c r="D605" s="1114"/>
      <c r="E605" s="1114"/>
      <c r="F605" s="1112"/>
      <c r="G605" s="1112"/>
      <c r="H605" s="1112"/>
      <c r="I605" s="1113"/>
      <c r="J605" s="1113"/>
      <c r="K605" s="1113"/>
      <c r="L605" s="150">
        <f t="shared" si="36"/>
        <v>0</v>
      </c>
      <c r="M605" s="151">
        <f t="shared" si="37"/>
        <v>0</v>
      </c>
      <c r="N605" s="152">
        <f>+IF(OR($Q605=Parametres!$G$2,$Q605=Parametres!$G$3),I605,C605)</f>
        <v>0</v>
      </c>
      <c r="O605" s="152">
        <f>+IF(OR($Q605=Parametres!$G$2,$Q605=Parametres!$G$3),J605,D605)</f>
        <v>0</v>
      </c>
      <c r="P605" s="152">
        <f>+IF(OR($Q605=Parametres!$G$2,$Q605=Parametres!$G$3),K605,E605)</f>
        <v>0</v>
      </c>
      <c r="Q605" s="151">
        <f t="shared" si="43"/>
        <v>0</v>
      </c>
      <c r="R605" s="150">
        <f t="shared" si="43"/>
        <v>0</v>
      </c>
      <c r="S605" s="151">
        <f t="shared" si="43"/>
        <v>0</v>
      </c>
      <c r="T605" s="153" t="e">
        <f>+VLOOKUP($L605,Data_Validation!$A:$D,1,0)</f>
        <v>#N/A</v>
      </c>
      <c r="U605" s="153" t="e">
        <f>+VLOOKUP($L605,Data_Validation!$A:$D,3,0)</f>
        <v>#N/A</v>
      </c>
      <c r="V605" s="153" t="e">
        <f>+VLOOKUP($L605,Data_Validation!$A:$D,4,0)</f>
        <v>#N/A</v>
      </c>
      <c r="W605" s="153" t="e">
        <f>+VLOOKUP($L605,Data_Validation!$A:$E,5,0)</f>
        <v>#N/A</v>
      </c>
      <c r="X605" s="153" t="e">
        <f>+VLOOKUP($L605,Data_Validation!$A:$F,6,0)</f>
        <v>#N/A</v>
      </c>
    </row>
    <row r="606" spans="1:24" ht="15" customHeight="1">
      <c r="A606" s="1112"/>
      <c r="B606" s="1112"/>
      <c r="C606" s="1114"/>
      <c r="D606" s="1114"/>
      <c r="E606" s="1114"/>
      <c r="F606" s="1112"/>
      <c r="G606" s="1112"/>
      <c r="H606" s="1112"/>
      <c r="I606" s="1113"/>
      <c r="J606" s="1113"/>
      <c r="K606" s="1113"/>
      <c r="L606" s="150">
        <f t="shared" si="36"/>
        <v>0</v>
      </c>
      <c r="M606" s="151">
        <f t="shared" si="37"/>
        <v>0</v>
      </c>
      <c r="N606" s="152">
        <f>+IF(OR($Q606=Parametres!$G$2,$Q606=Parametres!$G$3),I606,C606)</f>
        <v>0</v>
      </c>
      <c r="O606" s="152">
        <f>+IF(OR($Q606=Parametres!$G$2,$Q606=Parametres!$G$3),J606,D606)</f>
        <v>0</v>
      </c>
      <c r="P606" s="152">
        <f>+IF(OR($Q606=Parametres!$G$2,$Q606=Parametres!$G$3),K606,E606)</f>
        <v>0</v>
      </c>
      <c r="Q606" s="151">
        <f t="shared" si="43"/>
        <v>0</v>
      </c>
      <c r="R606" s="150">
        <f t="shared" si="43"/>
        <v>0</v>
      </c>
      <c r="S606" s="151">
        <f t="shared" si="43"/>
        <v>0</v>
      </c>
      <c r="T606" s="153" t="e">
        <f>+VLOOKUP($L606,Data_Validation!$A:$D,1,0)</f>
        <v>#N/A</v>
      </c>
      <c r="U606" s="153" t="e">
        <f>+VLOOKUP($L606,Data_Validation!$A:$D,3,0)</f>
        <v>#N/A</v>
      </c>
      <c r="V606" s="153" t="e">
        <f>+VLOOKUP($L606,Data_Validation!$A:$D,4,0)</f>
        <v>#N/A</v>
      </c>
      <c r="W606" s="153" t="e">
        <f>+VLOOKUP($L606,Data_Validation!$A:$E,5,0)</f>
        <v>#N/A</v>
      </c>
      <c r="X606" s="153" t="e">
        <f>+VLOOKUP($L606,Data_Validation!$A:$F,6,0)</f>
        <v>#N/A</v>
      </c>
    </row>
    <row r="607" spans="1:24" ht="15" customHeight="1">
      <c r="A607" s="1112"/>
      <c r="B607" s="1112"/>
      <c r="C607" s="1114"/>
      <c r="D607" s="1114"/>
      <c r="E607" s="1114"/>
      <c r="F607" s="1112"/>
      <c r="G607" s="1112"/>
      <c r="H607" s="1112"/>
      <c r="I607" s="1113"/>
      <c r="J607" s="1113"/>
      <c r="K607" s="1113"/>
      <c r="L607" s="150">
        <f t="shared" si="36"/>
        <v>0</v>
      </c>
      <c r="M607" s="151">
        <f t="shared" si="37"/>
        <v>0</v>
      </c>
      <c r="N607" s="152">
        <f>+IF(OR($Q607=Parametres!$G$2,$Q607=Parametres!$G$3),I607,C607)</f>
        <v>0</v>
      </c>
      <c r="O607" s="152">
        <f>+IF(OR($Q607=Parametres!$G$2,$Q607=Parametres!$G$3),J607,D607)</f>
        <v>0</v>
      </c>
      <c r="P607" s="152">
        <f>+IF(OR($Q607=Parametres!$G$2,$Q607=Parametres!$G$3),K607,E607)</f>
        <v>0</v>
      </c>
      <c r="Q607" s="151">
        <f t="shared" si="43"/>
        <v>0</v>
      </c>
      <c r="R607" s="150">
        <f t="shared" si="43"/>
        <v>0</v>
      </c>
      <c r="S607" s="151">
        <f t="shared" si="43"/>
        <v>0</v>
      </c>
      <c r="T607" s="153" t="e">
        <f>+VLOOKUP($L607,Data_Validation!$A:$D,1,0)</f>
        <v>#N/A</v>
      </c>
      <c r="U607" s="153" t="e">
        <f>+VLOOKUP($L607,Data_Validation!$A:$D,3,0)</f>
        <v>#N/A</v>
      </c>
      <c r="V607" s="153" t="e">
        <f>+VLOOKUP($L607,Data_Validation!$A:$D,4,0)</f>
        <v>#N/A</v>
      </c>
      <c r="W607" s="153" t="e">
        <f>+VLOOKUP($L607,Data_Validation!$A:$E,5,0)</f>
        <v>#N/A</v>
      </c>
      <c r="X607" s="153" t="e">
        <f>+VLOOKUP($L607,Data_Validation!$A:$F,6,0)</f>
        <v>#N/A</v>
      </c>
    </row>
    <row r="608" spans="1:24" ht="15" customHeight="1">
      <c r="A608" s="1112"/>
      <c r="B608" s="1112"/>
      <c r="C608" s="1114"/>
      <c r="D608" s="1114"/>
      <c r="E608" s="1114"/>
      <c r="F608" s="1112"/>
      <c r="G608" s="1112"/>
      <c r="H608" s="1112"/>
      <c r="I608" s="1113"/>
      <c r="J608" s="1113"/>
      <c r="K608" s="1113"/>
      <c r="L608" s="150">
        <f t="shared" si="36"/>
        <v>0</v>
      </c>
      <c r="M608" s="151">
        <f t="shared" si="37"/>
        <v>0</v>
      </c>
      <c r="N608" s="152">
        <f>+IF(OR($Q608=Parametres!$G$2,$Q608=Parametres!$G$3),I608,C608)</f>
        <v>0</v>
      </c>
      <c r="O608" s="152">
        <f>+IF(OR($Q608=Parametres!$G$2,$Q608=Parametres!$G$3),J608,D608)</f>
        <v>0</v>
      </c>
      <c r="P608" s="152">
        <f>+IF(OR($Q608=Parametres!$G$2,$Q608=Parametres!$G$3),K608,E608)</f>
        <v>0</v>
      </c>
      <c r="Q608" s="151">
        <f t="shared" si="43"/>
        <v>0</v>
      </c>
      <c r="R608" s="150">
        <f t="shared" si="43"/>
        <v>0</v>
      </c>
      <c r="S608" s="151">
        <f t="shared" si="43"/>
        <v>0</v>
      </c>
      <c r="T608" s="153" t="e">
        <f>+VLOOKUP($L608,Data_Validation!$A:$D,1,0)</f>
        <v>#N/A</v>
      </c>
      <c r="U608" s="153" t="e">
        <f>+VLOOKUP($L608,Data_Validation!$A:$D,3,0)</f>
        <v>#N/A</v>
      </c>
      <c r="V608" s="153" t="e">
        <f>+VLOOKUP($L608,Data_Validation!$A:$D,4,0)</f>
        <v>#N/A</v>
      </c>
      <c r="W608" s="153" t="e">
        <f>+VLOOKUP($L608,Data_Validation!$A:$E,5,0)</f>
        <v>#N/A</v>
      </c>
      <c r="X608" s="153" t="e">
        <f>+VLOOKUP($L608,Data_Validation!$A:$F,6,0)</f>
        <v>#N/A</v>
      </c>
    </row>
    <row r="609" spans="1:24" ht="15" customHeight="1">
      <c r="A609" s="1112"/>
      <c r="B609" s="1112"/>
      <c r="C609" s="1114"/>
      <c r="D609" s="1114"/>
      <c r="E609" s="1114"/>
      <c r="F609" s="1112"/>
      <c r="G609" s="1112"/>
      <c r="H609" s="1112"/>
      <c r="I609" s="1113"/>
      <c r="J609" s="1113"/>
      <c r="K609" s="1113"/>
      <c r="L609" s="150">
        <f t="shared" si="36"/>
        <v>0</v>
      </c>
      <c r="M609" s="151">
        <f t="shared" si="37"/>
        <v>0</v>
      </c>
      <c r="N609" s="152">
        <f>+IF(OR($Q609=Parametres!$G$2,$Q609=Parametres!$G$3),I609,C609)</f>
        <v>0</v>
      </c>
      <c r="O609" s="152">
        <f>+IF(OR($Q609=Parametres!$G$2,$Q609=Parametres!$G$3),J609,D609)</f>
        <v>0</v>
      </c>
      <c r="P609" s="152">
        <f>+IF(OR($Q609=Parametres!$G$2,$Q609=Parametres!$G$3),K609,E609)</f>
        <v>0</v>
      </c>
      <c r="Q609" s="151">
        <f t="shared" si="43"/>
        <v>0</v>
      </c>
      <c r="R609" s="150">
        <f t="shared" si="43"/>
        <v>0</v>
      </c>
      <c r="S609" s="151">
        <f t="shared" si="43"/>
        <v>0</v>
      </c>
      <c r="T609" s="153" t="e">
        <f>+VLOOKUP($L609,Data_Validation!$A:$D,1,0)</f>
        <v>#N/A</v>
      </c>
      <c r="U609" s="153" t="e">
        <f>+VLOOKUP($L609,Data_Validation!$A:$D,3,0)</f>
        <v>#N/A</v>
      </c>
      <c r="V609" s="153" t="e">
        <f>+VLOOKUP($L609,Data_Validation!$A:$D,4,0)</f>
        <v>#N/A</v>
      </c>
      <c r="W609" s="153" t="e">
        <f>+VLOOKUP($L609,Data_Validation!$A:$E,5,0)</f>
        <v>#N/A</v>
      </c>
      <c r="X609" s="153" t="e">
        <f>+VLOOKUP($L609,Data_Validation!$A:$F,6,0)</f>
        <v>#N/A</v>
      </c>
    </row>
    <row r="610" spans="1:24" ht="15" customHeight="1">
      <c r="A610" s="1112"/>
      <c r="B610" s="1112"/>
      <c r="C610" s="1114"/>
      <c r="D610" s="1114"/>
      <c r="E610" s="1114"/>
      <c r="F610" s="1112"/>
      <c r="G610" s="1112"/>
      <c r="H610" s="1112"/>
      <c r="I610" s="1113"/>
      <c r="J610" s="1113"/>
      <c r="K610" s="1113"/>
      <c r="L610" s="150">
        <f t="shared" si="36"/>
        <v>0</v>
      </c>
      <c r="M610" s="151">
        <f t="shared" si="37"/>
        <v>0</v>
      </c>
      <c r="N610" s="152">
        <f>+IF(OR($Q610=Parametres!$G$2,$Q610=Parametres!$G$3),I610,C610)</f>
        <v>0</v>
      </c>
      <c r="O610" s="152">
        <f>+IF(OR($Q610=Parametres!$G$2,$Q610=Parametres!$G$3),J610,D610)</f>
        <v>0</v>
      </c>
      <c r="P610" s="152">
        <f>+IF(OR($Q610=Parametres!$G$2,$Q610=Parametres!$G$3),K610,E610)</f>
        <v>0</v>
      </c>
      <c r="Q610" s="151">
        <f t="shared" ref="Q610:S625" si="44">+F610</f>
        <v>0</v>
      </c>
      <c r="R610" s="150">
        <f t="shared" si="44"/>
        <v>0</v>
      </c>
      <c r="S610" s="151">
        <f t="shared" si="44"/>
        <v>0</v>
      </c>
      <c r="T610" s="153" t="e">
        <f>+VLOOKUP($L610,Data_Validation!$A:$D,1,0)</f>
        <v>#N/A</v>
      </c>
      <c r="U610" s="153" t="e">
        <f>+VLOOKUP($L610,Data_Validation!$A:$D,3,0)</f>
        <v>#N/A</v>
      </c>
      <c r="V610" s="153" t="e">
        <f>+VLOOKUP($L610,Data_Validation!$A:$D,4,0)</f>
        <v>#N/A</v>
      </c>
      <c r="W610" s="153" t="e">
        <f>+VLOOKUP($L610,Data_Validation!$A:$E,5,0)</f>
        <v>#N/A</v>
      </c>
      <c r="X610" s="153" t="e">
        <f>+VLOOKUP($L610,Data_Validation!$A:$F,6,0)</f>
        <v>#N/A</v>
      </c>
    </row>
    <row r="611" spans="1:24" ht="15" customHeight="1">
      <c r="A611" s="1112"/>
      <c r="B611" s="1112"/>
      <c r="C611" s="1114"/>
      <c r="D611" s="1114"/>
      <c r="E611" s="1114"/>
      <c r="F611" s="1112"/>
      <c r="G611" s="1112"/>
      <c r="H611" s="1112"/>
      <c r="I611" s="1113"/>
      <c r="J611" s="1113"/>
      <c r="K611" s="1113"/>
      <c r="L611" s="150">
        <f t="shared" si="36"/>
        <v>0</v>
      </c>
      <c r="M611" s="151">
        <f t="shared" si="37"/>
        <v>0</v>
      </c>
      <c r="N611" s="152">
        <f>+IF(OR($Q611=Parametres!$G$2,$Q611=Parametres!$G$3),I611,C611)</f>
        <v>0</v>
      </c>
      <c r="O611" s="152">
        <f>+IF(OR($Q611=Parametres!$G$2,$Q611=Parametres!$G$3),J611,D611)</f>
        <v>0</v>
      </c>
      <c r="P611" s="152">
        <f>+IF(OR($Q611=Parametres!$G$2,$Q611=Parametres!$G$3),K611,E611)</f>
        <v>0</v>
      </c>
      <c r="Q611" s="151">
        <f t="shared" si="44"/>
        <v>0</v>
      </c>
      <c r="R611" s="150">
        <f t="shared" si="44"/>
        <v>0</v>
      </c>
      <c r="S611" s="151">
        <f t="shared" si="44"/>
        <v>0</v>
      </c>
      <c r="T611" s="153" t="e">
        <f>+VLOOKUP($L611,Data_Validation!$A:$D,1,0)</f>
        <v>#N/A</v>
      </c>
      <c r="U611" s="153" t="e">
        <f>+VLOOKUP($L611,Data_Validation!$A:$D,3,0)</f>
        <v>#N/A</v>
      </c>
      <c r="V611" s="153" t="e">
        <f>+VLOOKUP($L611,Data_Validation!$A:$D,4,0)</f>
        <v>#N/A</v>
      </c>
      <c r="W611" s="153" t="e">
        <f>+VLOOKUP($L611,Data_Validation!$A:$E,5,0)</f>
        <v>#N/A</v>
      </c>
      <c r="X611" s="153" t="e">
        <f>+VLOOKUP($L611,Data_Validation!$A:$F,6,0)</f>
        <v>#N/A</v>
      </c>
    </row>
    <row r="612" spans="1:24" ht="15" customHeight="1">
      <c r="A612" s="1112"/>
      <c r="B612" s="1112"/>
      <c r="C612" s="1114"/>
      <c r="D612" s="1114"/>
      <c r="E612" s="1114"/>
      <c r="F612" s="1112"/>
      <c r="G612" s="1112"/>
      <c r="H612" s="1112"/>
      <c r="I612" s="1113"/>
      <c r="J612" s="1113"/>
      <c r="K612" s="1113"/>
      <c r="L612" s="150">
        <f t="shared" si="36"/>
        <v>0</v>
      </c>
      <c r="M612" s="151">
        <f t="shared" si="37"/>
        <v>0</v>
      </c>
      <c r="N612" s="152">
        <f>+IF(OR($Q612=Parametres!$G$2,$Q612=Parametres!$G$3),I612,C612)</f>
        <v>0</v>
      </c>
      <c r="O612" s="152">
        <f>+IF(OR($Q612=Parametres!$G$2,$Q612=Parametres!$G$3),J612,D612)</f>
        <v>0</v>
      </c>
      <c r="P612" s="152">
        <f>+IF(OR($Q612=Parametres!$G$2,$Q612=Parametres!$G$3),K612,E612)</f>
        <v>0</v>
      </c>
      <c r="Q612" s="151">
        <f t="shared" si="44"/>
        <v>0</v>
      </c>
      <c r="R612" s="150">
        <f t="shared" si="44"/>
        <v>0</v>
      </c>
      <c r="S612" s="151">
        <f t="shared" si="44"/>
        <v>0</v>
      </c>
      <c r="T612" s="153" t="e">
        <f>+VLOOKUP($L612,Data_Validation!$A:$D,1,0)</f>
        <v>#N/A</v>
      </c>
      <c r="U612" s="153" t="e">
        <f>+VLOOKUP($L612,Data_Validation!$A:$D,3,0)</f>
        <v>#N/A</v>
      </c>
      <c r="V612" s="153" t="e">
        <f>+VLOOKUP($L612,Data_Validation!$A:$D,4,0)</f>
        <v>#N/A</v>
      </c>
      <c r="W612" s="153" t="e">
        <f>+VLOOKUP($L612,Data_Validation!$A:$E,5,0)</f>
        <v>#N/A</v>
      </c>
      <c r="X612" s="153" t="e">
        <f>+VLOOKUP($L612,Data_Validation!$A:$F,6,0)</f>
        <v>#N/A</v>
      </c>
    </row>
    <row r="613" spans="1:24" ht="15" customHeight="1">
      <c r="A613" s="1112"/>
      <c r="B613" s="1112"/>
      <c r="C613" s="1114"/>
      <c r="D613" s="1114"/>
      <c r="E613" s="1114"/>
      <c r="F613" s="1112"/>
      <c r="G613" s="1112"/>
      <c r="H613" s="1112"/>
      <c r="I613" s="1113"/>
      <c r="J613" s="1113"/>
      <c r="K613" s="1113"/>
      <c r="L613" s="150">
        <f t="shared" si="36"/>
        <v>0</v>
      </c>
      <c r="M613" s="151">
        <f t="shared" si="37"/>
        <v>0</v>
      </c>
      <c r="N613" s="152">
        <f>+IF(OR($Q613=Parametres!$G$2,$Q613=Parametres!$G$3),I613,C613)</f>
        <v>0</v>
      </c>
      <c r="O613" s="152">
        <f>+IF(OR($Q613=Parametres!$G$2,$Q613=Parametres!$G$3),J613,D613)</f>
        <v>0</v>
      </c>
      <c r="P613" s="152">
        <f>+IF(OR($Q613=Parametres!$G$2,$Q613=Parametres!$G$3),K613,E613)</f>
        <v>0</v>
      </c>
      <c r="Q613" s="151">
        <f t="shared" si="44"/>
        <v>0</v>
      </c>
      <c r="R613" s="150">
        <f t="shared" si="44"/>
        <v>0</v>
      </c>
      <c r="S613" s="151">
        <f t="shared" si="44"/>
        <v>0</v>
      </c>
      <c r="T613" s="153" t="e">
        <f>+VLOOKUP($L613,Data_Validation!$A:$D,1,0)</f>
        <v>#N/A</v>
      </c>
      <c r="U613" s="153" t="e">
        <f>+VLOOKUP($L613,Data_Validation!$A:$D,3,0)</f>
        <v>#N/A</v>
      </c>
      <c r="V613" s="153" t="e">
        <f>+VLOOKUP($L613,Data_Validation!$A:$D,4,0)</f>
        <v>#N/A</v>
      </c>
      <c r="W613" s="153" t="e">
        <f>+VLOOKUP($L613,Data_Validation!$A:$E,5,0)</f>
        <v>#N/A</v>
      </c>
      <c r="X613" s="153" t="e">
        <f>+VLOOKUP($L613,Data_Validation!$A:$F,6,0)</f>
        <v>#N/A</v>
      </c>
    </row>
    <row r="614" spans="1:24" ht="15" customHeight="1">
      <c r="A614" s="1112"/>
      <c r="B614" s="1112"/>
      <c r="C614" s="1114"/>
      <c r="D614" s="1114"/>
      <c r="E614" s="1114"/>
      <c r="F614" s="1112"/>
      <c r="G614" s="1112"/>
      <c r="H614" s="1112"/>
      <c r="I614" s="1113"/>
      <c r="J614" s="1113"/>
      <c r="K614" s="1113"/>
      <c r="L614" s="150">
        <f t="shared" si="36"/>
        <v>0</v>
      </c>
      <c r="M614" s="151">
        <f t="shared" si="37"/>
        <v>0</v>
      </c>
      <c r="N614" s="152">
        <f>+IF(OR($Q614=Parametres!$G$2,$Q614=Parametres!$G$3),I614,C614)</f>
        <v>0</v>
      </c>
      <c r="O614" s="152">
        <f>+IF(OR($Q614=Parametres!$G$2,$Q614=Parametres!$G$3),J614,D614)</f>
        <v>0</v>
      </c>
      <c r="P614" s="152">
        <f>+IF(OR($Q614=Parametres!$G$2,$Q614=Parametres!$G$3),K614,E614)</f>
        <v>0</v>
      </c>
      <c r="Q614" s="151">
        <f t="shared" si="44"/>
        <v>0</v>
      </c>
      <c r="R614" s="150">
        <f t="shared" si="44"/>
        <v>0</v>
      </c>
      <c r="S614" s="151">
        <f t="shared" si="44"/>
        <v>0</v>
      </c>
      <c r="T614" s="153" t="e">
        <f>+VLOOKUP($L614,Data_Validation!$A:$D,1,0)</f>
        <v>#N/A</v>
      </c>
      <c r="U614" s="153" t="e">
        <f>+VLOOKUP($L614,Data_Validation!$A:$D,3,0)</f>
        <v>#N/A</v>
      </c>
      <c r="V614" s="153" t="e">
        <f>+VLOOKUP($L614,Data_Validation!$A:$D,4,0)</f>
        <v>#N/A</v>
      </c>
      <c r="W614" s="153" t="e">
        <f>+VLOOKUP($L614,Data_Validation!$A:$E,5,0)</f>
        <v>#N/A</v>
      </c>
      <c r="X614" s="153" t="e">
        <f>+VLOOKUP($L614,Data_Validation!$A:$F,6,0)</f>
        <v>#N/A</v>
      </c>
    </row>
    <row r="615" spans="1:24" ht="15" customHeight="1">
      <c r="A615" s="1112"/>
      <c r="B615" s="1112"/>
      <c r="C615" s="1114"/>
      <c r="D615" s="1114"/>
      <c r="E615" s="1114"/>
      <c r="F615" s="1112"/>
      <c r="G615" s="1112"/>
      <c r="H615" s="1112"/>
      <c r="I615" s="1113"/>
      <c r="J615" s="1113"/>
      <c r="K615" s="1113"/>
      <c r="L615" s="150">
        <f t="shared" si="36"/>
        <v>0</v>
      </c>
      <c r="M615" s="151">
        <f t="shared" si="37"/>
        <v>0</v>
      </c>
      <c r="N615" s="152">
        <f>+IF(OR($Q615=Parametres!$G$2,$Q615=Parametres!$G$3),I615,C615)</f>
        <v>0</v>
      </c>
      <c r="O615" s="152">
        <f>+IF(OR($Q615=Parametres!$G$2,$Q615=Parametres!$G$3),J615,D615)</f>
        <v>0</v>
      </c>
      <c r="P615" s="152">
        <f>+IF(OR($Q615=Parametres!$G$2,$Q615=Parametres!$G$3),K615,E615)</f>
        <v>0</v>
      </c>
      <c r="Q615" s="151">
        <f t="shared" si="44"/>
        <v>0</v>
      </c>
      <c r="R615" s="150">
        <f t="shared" si="44"/>
        <v>0</v>
      </c>
      <c r="S615" s="151">
        <f t="shared" si="44"/>
        <v>0</v>
      </c>
      <c r="T615" s="153" t="e">
        <f>+VLOOKUP($L615,Data_Validation!$A:$D,1,0)</f>
        <v>#N/A</v>
      </c>
      <c r="U615" s="153" t="e">
        <f>+VLOOKUP($L615,Data_Validation!$A:$D,3,0)</f>
        <v>#N/A</v>
      </c>
      <c r="V615" s="153" t="e">
        <f>+VLOOKUP($L615,Data_Validation!$A:$D,4,0)</f>
        <v>#N/A</v>
      </c>
      <c r="W615" s="153" t="e">
        <f>+VLOOKUP($L615,Data_Validation!$A:$E,5,0)</f>
        <v>#N/A</v>
      </c>
      <c r="X615" s="153" t="e">
        <f>+VLOOKUP($L615,Data_Validation!$A:$F,6,0)</f>
        <v>#N/A</v>
      </c>
    </row>
    <row r="616" spans="1:24" ht="15" customHeight="1">
      <c r="A616" s="1112"/>
      <c r="B616" s="1112"/>
      <c r="C616" s="1114"/>
      <c r="D616" s="1114"/>
      <c r="E616" s="1114"/>
      <c r="F616" s="1112"/>
      <c r="G616" s="1112"/>
      <c r="H616" s="1112"/>
      <c r="I616" s="1113"/>
      <c r="J616" s="1113"/>
      <c r="K616" s="1113"/>
      <c r="L616" s="150">
        <f t="shared" si="36"/>
        <v>0</v>
      </c>
      <c r="M616" s="151">
        <f t="shared" si="37"/>
        <v>0</v>
      </c>
      <c r="N616" s="152">
        <f>+IF(OR($Q616=Parametres!$G$2,$Q616=Parametres!$G$3),I616,C616)</f>
        <v>0</v>
      </c>
      <c r="O616" s="152">
        <f>+IF(OR($Q616=Parametres!$G$2,$Q616=Parametres!$G$3),J616,D616)</f>
        <v>0</v>
      </c>
      <c r="P616" s="152">
        <f>+IF(OR($Q616=Parametres!$G$2,$Q616=Parametres!$G$3),K616,E616)</f>
        <v>0</v>
      </c>
      <c r="Q616" s="151">
        <f t="shared" si="44"/>
        <v>0</v>
      </c>
      <c r="R616" s="150">
        <f t="shared" si="44"/>
        <v>0</v>
      </c>
      <c r="S616" s="151">
        <f t="shared" si="44"/>
        <v>0</v>
      </c>
      <c r="T616" s="153" t="e">
        <f>+VLOOKUP($L616,Data_Validation!$A:$D,1,0)</f>
        <v>#N/A</v>
      </c>
      <c r="U616" s="153" t="e">
        <f>+VLOOKUP($L616,Data_Validation!$A:$D,3,0)</f>
        <v>#N/A</v>
      </c>
      <c r="V616" s="153" t="e">
        <f>+VLOOKUP($L616,Data_Validation!$A:$D,4,0)</f>
        <v>#N/A</v>
      </c>
      <c r="W616" s="153" t="e">
        <f>+VLOOKUP($L616,Data_Validation!$A:$E,5,0)</f>
        <v>#N/A</v>
      </c>
      <c r="X616" s="153" t="e">
        <f>+VLOOKUP($L616,Data_Validation!$A:$F,6,0)</f>
        <v>#N/A</v>
      </c>
    </row>
    <row r="617" spans="1:24" ht="15" customHeight="1">
      <c r="A617" s="1112"/>
      <c r="B617" s="1112"/>
      <c r="C617" s="1114"/>
      <c r="D617" s="1114"/>
      <c r="E617" s="1114"/>
      <c r="F617" s="1112"/>
      <c r="G617" s="1112"/>
      <c r="H617" s="1112"/>
      <c r="I617" s="1113"/>
      <c r="J617" s="1113"/>
      <c r="K617" s="1113"/>
      <c r="L617" s="150">
        <f t="shared" si="36"/>
        <v>0</v>
      </c>
      <c r="M617" s="151">
        <f t="shared" si="37"/>
        <v>0</v>
      </c>
      <c r="N617" s="152">
        <f>+IF(OR($Q617=Parametres!$G$2,$Q617=Parametres!$G$3),I617,C617)</f>
        <v>0</v>
      </c>
      <c r="O617" s="152">
        <f>+IF(OR($Q617=Parametres!$G$2,$Q617=Parametres!$G$3),J617,D617)</f>
        <v>0</v>
      </c>
      <c r="P617" s="152">
        <f>+IF(OR($Q617=Parametres!$G$2,$Q617=Parametres!$G$3),K617,E617)</f>
        <v>0</v>
      </c>
      <c r="Q617" s="151">
        <f t="shared" si="44"/>
        <v>0</v>
      </c>
      <c r="R617" s="150">
        <f t="shared" si="44"/>
        <v>0</v>
      </c>
      <c r="S617" s="151">
        <f t="shared" si="44"/>
        <v>0</v>
      </c>
      <c r="T617" s="153" t="e">
        <f>+VLOOKUP($L617,Data_Validation!$A:$D,1,0)</f>
        <v>#N/A</v>
      </c>
      <c r="U617" s="153" t="e">
        <f>+VLOOKUP($L617,Data_Validation!$A:$D,3,0)</f>
        <v>#N/A</v>
      </c>
      <c r="V617" s="153" t="e">
        <f>+VLOOKUP($L617,Data_Validation!$A:$D,4,0)</f>
        <v>#N/A</v>
      </c>
      <c r="W617" s="153" t="e">
        <f>+VLOOKUP($L617,Data_Validation!$A:$E,5,0)</f>
        <v>#N/A</v>
      </c>
      <c r="X617" s="153" t="e">
        <f>+VLOOKUP($L617,Data_Validation!$A:$F,6,0)</f>
        <v>#N/A</v>
      </c>
    </row>
    <row r="618" spans="1:24" ht="15" customHeight="1">
      <c r="A618" s="1112"/>
      <c r="B618" s="1112"/>
      <c r="C618" s="1114"/>
      <c r="D618" s="1114"/>
      <c r="E618" s="1114"/>
      <c r="F618" s="1112"/>
      <c r="G618" s="1112"/>
      <c r="H618" s="1112"/>
      <c r="I618" s="1113"/>
      <c r="J618" s="1113"/>
      <c r="K618" s="1113"/>
      <c r="L618" s="150">
        <f t="shared" si="36"/>
        <v>0</v>
      </c>
      <c r="M618" s="151">
        <f t="shared" si="37"/>
        <v>0</v>
      </c>
      <c r="N618" s="152">
        <f>+IF(OR($Q618=Parametres!$G$2,$Q618=Parametres!$G$3),I618,C618)</f>
        <v>0</v>
      </c>
      <c r="O618" s="152">
        <f>+IF(OR($Q618=Parametres!$G$2,$Q618=Parametres!$G$3),J618,D618)</f>
        <v>0</v>
      </c>
      <c r="P618" s="152">
        <f>+IF(OR($Q618=Parametres!$G$2,$Q618=Parametres!$G$3),K618,E618)</f>
        <v>0</v>
      </c>
      <c r="Q618" s="151">
        <f t="shared" si="44"/>
        <v>0</v>
      </c>
      <c r="R618" s="150">
        <f t="shared" si="44"/>
        <v>0</v>
      </c>
      <c r="S618" s="151">
        <f t="shared" si="44"/>
        <v>0</v>
      </c>
      <c r="T618" s="153" t="e">
        <f>+VLOOKUP($L618,Data_Validation!$A:$D,1,0)</f>
        <v>#N/A</v>
      </c>
      <c r="U618" s="153" t="e">
        <f>+VLOOKUP($L618,Data_Validation!$A:$D,3,0)</f>
        <v>#N/A</v>
      </c>
      <c r="V618" s="153" t="e">
        <f>+VLOOKUP($L618,Data_Validation!$A:$D,4,0)</f>
        <v>#N/A</v>
      </c>
      <c r="W618" s="153" t="e">
        <f>+VLOOKUP($L618,Data_Validation!$A:$E,5,0)</f>
        <v>#N/A</v>
      </c>
      <c r="X618" s="153" t="e">
        <f>+VLOOKUP($L618,Data_Validation!$A:$F,6,0)</f>
        <v>#N/A</v>
      </c>
    </row>
    <row r="619" spans="1:24" ht="15" customHeight="1">
      <c r="A619" s="1112"/>
      <c r="B619" s="1112"/>
      <c r="C619" s="1114"/>
      <c r="D619" s="1114"/>
      <c r="E619" s="1114"/>
      <c r="F619" s="1112"/>
      <c r="G619" s="1112"/>
      <c r="H619" s="1112"/>
      <c r="I619" s="1113"/>
      <c r="J619" s="1113"/>
      <c r="K619" s="1113"/>
      <c r="L619" s="150">
        <f t="shared" si="36"/>
        <v>0</v>
      </c>
      <c r="M619" s="151">
        <f t="shared" si="37"/>
        <v>0</v>
      </c>
      <c r="N619" s="152">
        <f>+IF(OR($Q619=Parametres!$G$2,$Q619=Parametres!$G$3),I619,C619)</f>
        <v>0</v>
      </c>
      <c r="O619" s="152">
        <f>+IF(OR($Q619=Parametres!$G$2,$Q619=Parametres!$G$3),J619,D619)</f>
        <v>0</v>
      </c>
      <c r="P619" s="152">
        <f>+IF(OR($Q619=Parametres!$G$2,$Q619=Parametres!$G$3),K619,E619)</f>
        <v>0</v>
      </c>
      <c r="Q619" s="151">
        <f t="shared" si="44"/>
        <v>0</v>
      </c>
      <c r="R619" s="150">
        <f t="shared" si="44"/>
        <v>0</v>
      </c>
      <c r="S619" s="151">
        <f t="shared" si="44"/>
        <v>0</v>
      </c>
      <c r="T619" s="153" t="e">
        <f>+VLOOKUP($L619,Data_Validation!$A:$D,1,0)</f>
        <v>#N/A</v>
      </c>
      <c r="U619" s="153" t="e">
        <f>+VLOOKUP($L619,Data_Validation!$A:$D,3,0)</f>
        <v>#N/A</v>
      </c>
      <c r="V619" s="153" t="e">
        <f>+VLOOKUP($L619,Data_Validation!$A:$D,4,0)</f>
        <v>#N/A</v>
      </c>
      <c r="W619" s="153" t="e">
        <f>+VLOOKUP($L619,Data_Validation!$A:$E,5,0)</f>
        <v>#N/A</v>
      </c>
      <c r="X619" s="153" t="e">
        <f>+VLOOKUP($L619,Data_Validation!$A:$F,6,0)</f>
        <v>#N/A</v>
      </c>
    </row>
    <row r="620" spans="1:24" ht="15" customHeight="1">
      <c r="A620" s="1112"/>
      <c r="B620" s="1112"/>
      <c r="C620" s="1114"/>
      <c r="D620" s="1114"/>
      <c r="E620" s="1114"/>
      <c r="F620" s="1112"/>
      <c r="G620" s="1112"/>
      <c r="H620" s="1112"/>
      <c r="I620" s="1113"/>
      <c r="J620" s="1113"/>
      <c r="K620" s="1113"/>
      <c r="L620" s="150">
        <f t="shared" si="36"/>
        <v>0</v>
      </c>
      <c r="M620" s="151">
        <f t="shared" si="37"/>
        <v>0</v>
      </c>
      <c r="N620" s="152">
        <f>+IF(OR($Q620=Parametres!$G$2,$Q620=Parametres!$G$3),I620,C620)</f>
        <v>0</v>
      </c>
      <c r="O620" s="152">
        <f>+IF(OR($Q620=Parametres!$G$2,$Q620=Parametres!$G$3),J620,D620)</f>
        <v>0</v>
      </c>
      <c r="P620" s="152">
        <f>+IF(OR($Q620=Parametres!$G$2,$Q620=Parametres!$G$3),K620,E620)</f>
        <v>0</v>
      </c>
      <c r="Q620" s="151">
        <f t="shared" si="44"/>
        <v>0</v>
      </c>
      <c r="R620" s="150">
        <f t="shared" si="44"/>
        <v>0</v>
      </c>
      <c r="S620" s="151">
        <f t="shared" si="44"/>
        <v>0</v>
      </c>
      <c r="T620" s="153" t="e">
        <f>+VLOOKUP($L620,Data_Validation!$A:$D,1,0)</f>
        <v>#N/A</v>
      </c>
      <c r="U620" s="153" t="e">
        <f>+VLOOKUP($L620,Data_Validation!$A:$D,3,0)</f>
        <v>#N/A</v>
      </c>
      <c r="V620" s="153" t="e">
        <f>+VLOOKUP($L620,Data_Validation!$A:$D,4,0)</f>
        <v>#N/A</v>
      </c>
      <c r="W620" s="153" t="e">
        <f>+VLOOKUP($L620,Data_Validation!$A:$E,5,0)</f>
        <v>#N/A</v>
      </c>
      <c r="X620" s="153" t="e">
        <f>+VLOOKUP($L620,Data_Validation!$A:$F,6,0)</f>
        <v>#N/A</v>
      </c>
    </row>
    <row r="621" spans="1:24" ht="15" customHeight="1">
      <c r="A621" s="1112"/>
      <c r="B621" s="1112"/>
      <c r="C621" s="1114"/>
      <c r="D621" s="1114"/>
      <c r="E621" s="1114"/>
      <c r="F621" s="1112"/>
      <c r="G621" s="1112"/>
      <c r="H621" s="1112"/>
      <c r="I621" s="1113"/>
      <c r="J621" s="1113"/>
      <c r="K621" s="1113"/>
      <c r="L621" s="150">
        <f t="shared" si="36"/>
        <v>0</v>
      </c>
      <c r="M621" s="151">
        <f t="shared" si="37"/>
        <v>0</v>
      </c>
      <c r="N621" s="152">
        <f>+IF(OR($Q621=Parametres!$G$2,$Q621=Parametres!$G$3),I621,C621)</f>
        <v>0</v>
      </c>
      <c r="O621" s="152">
        <f>+IF(OR($Q621=Parametres!$G$2,$Q621=Parametres!$G$3),J621,D621)</f>
        <v>0</v>
      </c>
      <c r="P621" s="152">
        <f>+IF(OR($Q621=Parametres!$G$2,$Q621=Parametres!$G$3),K621,E621)</f>
        <v>0</v>
      </c>
      <c r="Q621" s="151">
        <f t="shared" si="44"/>
        <v>0</v>
      </c>
      <c r="R621" s="150">
        <f t="shared" si="44"/>
        <v>0</v>
      </c>
      <c r="S621" s="151">
        <f t="shared" si="44"/>
        <v>0</v>
      </c>
      <c r="T621" s="153" t="e">
        <f>+VLOOKUP($L621,Data_Validation!$A:$D,1,0)</f>
        <v>#N/A</v>
      </c>
      <c r="U621" s="153" t="e">
        <f>+VLOOKUP($L621,Data_Validation!$A:$D,3,0)</f>
        <v>#N/A</v>
      </c>
      <c r="V621" s="153" t="e">
        <f>+VLOOKUP($L621,Data_Validation!$A:$D,4,0)</f>
        <v>#N/A</v>
      </c>
      <c r="W621" s="153" t="e">
        <f>+VLOOKUP($L621,Data_Validation!$A:$E,5,0)</f>
        <v>#N/A</v>
      </c>
      <c r="X621" s="153" t="e">
        <f>+VLOOKUP($L621,Data_Validation!$A:$F,6,0)</f>
        <v>#N/A</v>
      </c>
    </row>
    <row r="622" spans="1:24" ht="15" customHeight="1">
      <c r="A622" s="1112"/>
      <c r="B622" s="1112"/>
      <c r="C622" s="1114"/>
      <c r="D622" s="1114"/>
      <c r="E622" s="1114"/>
      <c r="F622" s="1112"/>
      <c r="G622" s="1112"/>
      <c r="H622" s="1112"/>
      <c r="I622" s="1113"/>
      <c r="J622" s="1113"/>
      <c r="K622" s="1113"/>
      <c r="L622" s="150">
        <f t="shared" si="36"/>
        <v>0</v>
      </c>
      <c r="M622" s="151">
        <f t="shared" si="37"/>
        <v>0</v>
      </c>
      <c r="N622" s="152">
        <f>+IF(OR($Q622=Parametres!$G$2,$Q622=Parametres!$G$3),I622,C622)</f>
        <v>0</v>
      </c>
      <c r="O622" s="566">
        <f>+IF(OR($Q622=Parametres!$G$2,$Q622=Parametres!$G$3),J622,D622)</f>
        <v>0</v>
      </c>
      <c r="P622" s="152">
        <f>+IF(OR($Q622=Parametres!$G$2,$Q622=Parametres!$G$3),K622,E622)</f>
        <v>0</v>
      </c>
      <c r="Q622" s="151">
        <f t="shared" si="44"/>
        <v>0</v>
      </c>
      <c r="R622" s="150">
        <f t="shared" si="44"/>
        <v>0</v>
      </c>
      <c r="S622" s="151">
        <f t="shared" si="44"/>
        <v>0</v>
      </c>
      <c r="T622" s="153" t="e">
        <f>+VLOOKUP($L622,Data_Validation!$A:$D,1,0)</f>
        <v>#N/A</v>
      </c>
      <c r="U622" s="153" t="e">
        <f>+VLOOKUP($L622,Data_Validation!$A:$D,3,0)</f>
        <v>#N/A</v>
      </c>
      <c r="V622" s="153" t="e">
        <f>+VLOOKUP($L622,Data_Validation!$A:$D,4,0)</f>
        <v>#N/A</v>
      </c>
      <c r="W622" s="153" t="e">
        <f>+VLOOKUP($L622,Data_Validation!$A:$E,5,0)</f>
        <v>#N/A</v>
      </c>
      <c r="X622" s="153" t="e">
        <f>+VLOOKUP($L622,Data_Validation!$A:$F,6,0)</f>
        <v>#N/A</v>
      </c>
    </row>
    <row r="623" spans="1:24" ht="15" customHeight="1">
      <c r="A623" s="1112"/>
      <c r="B623" s="1112"/>
      <c r="C623" s="1114"/>
      <c r="D623" s="1114"/>
      <c r="E623" s="1114"/>
      <c r="F623" s="1112"/>
      <c r="G623" s="1112"/>
      <c r="H623" s="1112"/>
      <c r="I623" s="1113"/>
      <c r="J623" s="1113"/>
      <c r="K623" s="1113"/>
      <c r="L623" s="150">
        <f t="shared" si="36"/>
        <v>0</v>
      </c>
      <c r="M623" s="151">
        <f t="shared" si="37"/>
        <v>0</v>
      </c>
      <c r="N623" s="152">
        <f>+IF(OR($Q623=Parametres!$G$2,$Q623=Parametres!$G$3),I623,C623)</f>
        <v>0</v>
      </c>
      <c r="O623" s="152">
        <f>+IF(OR($Q623=Parametres!$G$2,$Q623=Parametres!$G$3),J623,D623)</f>
        <v>0</v>
      </c>
      <c r="P623" s="152">
        <f>+IF(OR($Q623=Parametres!$G$2,$Q623=Parametres!$G$3),K623,E623)</f>
        <v>0</v>
      </c>
      <c r="Q623" s="151">
        <f t="shared" si="44"/>
        <v>0</v>
      </c>
      <c r="R623" s="150">
        <f t="shared" si="44"/>
        <v>0</v>
      </c>
      <c r="S623" s="151">
        <f t="shared" si="44"/>
        <v>0</v>
      </c>
      <c r="T623" s="153" t="e">
        <f>+VLOOKUP($L623,Data_Validation!$A:$D,1,0)</f>
        <v>#N/A</v>
      </c>
      <c r="U623" s="153" t="e">
        <f>+VLOOKUP($L623,Data_Validation!$A:$D,3,0)</f>
        <v>#N/A</v>
      </c>
      <c r="V623" s="153" t="e">
        <f>+VLOOKUP($L623,Data_Validation!$A:$D,4,0)</f>
        <v>#N/A</v>
      </c>
      <c r="W623" s="153" t="e">
        <f>+VLOOKUP($L623,Data_Validation!$A:$E,5,0)</f>
        <v>#N/A</v>
      </c>
      <c r="X623" s="153" t="e">
        <f>+VLOOKUP($L623,Data_Validation!$A:$F,6,0)</f>
        <v>#N/A</v>
      </c>
    </row>
    <row r="624" spans="1:24" ht="15" customHeight="1">
      <c r="A624" s="1112"/>
      <c r="B624" s="1112"/>
      <c r="C624" s="1114"/>
      <c r="D624" s="1114"/>
      <c r="E624" s="1114"/>
      <c r="F624" s="1112"/>
      <c r="G624" s="1112"/>
      <c r="H624" s="1112"/>
      <c r="I624" s="1113"/>
      <c r="J624" s="1113"/>
      <c r="K624" s="1113"/>
      <c r="L624" s="150">
        <f t="shared" si="36"/>
        <v>0</v>
      </c>
      <c r="M624" s="151">
        <f t="shared" si="37"/>
        <v>0</v>
      </c>
      <c r="N624" s="152">
        <f>+IF(OR($Q624=Parametres!$G$2,$Q624=Parametres!$G$3),I624,C624)</f>
        <v>0</v>
      </c>
      <c r="O624" s="152">
        <f>+IF(OR($Q624=Parametres!$G$2,$Q624=Parametres!$G$3),J624,D624)</f>
        <v>0</v>
      </c>
      <c r="P624" s="152">
        <f>+IF(OR($Q624=Parametres!$G$2,$Q624=Parametres!$G$3),K624,E624)</f>
        <v>0</v>
      </c>
      <c r="Q624" s="151">
        <f t="shared" si="44"/>
        <v>0</v>
      </c>
      <c r="R624" s="150">
        <f t="shared" si="44"/>
        <v>0</v>
      </c>
      <c r="S624" s="151">
        <f t="shared" si="44"/>
        <v>0</v>
      </c>
      <c r="T624" s="153" t="e">
        <f>+VLOOKUP($L624,Data_Validation!$A:$D,1,0)</f>
        <v>#N/A</v>
      </c>
      <c r="U624" s="153" t="e">
        <f>+VLOOKUP($L624,Data_Validation!$A:$D,3,0)</f>
        <v>#N/A</v>
      </c>
      <c r="V624" s="153" t="e">
        <f>+VLOOKUP($L624,Data_Validation!$A:$D,4,0)</f>
        <v>#N/A</v>
      </c>
      <c r="W624" s="153" t="e">
        <f>+VLOOKUP($L624,Data_Validation!$A:$E,5,0)</f>
        <v>#N/A</v>
      </c>
      <c r="X624" s="153" t="e">
        <f>+VLOOKUP($L624,Data_Validation!$A:$F,6,0)</f>
        <v>#N/A</v>
      </c>
    </row>
    <row r="625" spans="1:24" ht="15" customHeight="1">
      <c r="A625" s="1112"/>
      <c r="B625" s="1112"/>
      <c r="C625" s="1114"/>
      <c r="D625" s="1114"/>
      <c r="E625" s="1114"/>
      <c r="F625" s="1112"/>
      <c r="G625" s="1112"/>
      <c r="H625" s="1112"/>
      <c r="I625" s="1113"/>
      <c r="J625" s="1113"/>
      <c r="K625" s="1113"/>
      <c r="L625" s="150">
        <f t="shared" si="36"/>
        <v>0</v>
      </c>
      <c r="M625" s="151">
        <f t="shared" si="37"/>
        <v>0</v>
      </c>
      <c r="N625" s="152">
        <f>+IF(OR($Q625=Parametres!$G$2,$Q625=Parametres!$G$3),I625,C625)</f>
        <v>0</v>
      </c>
      <c r="O625" s="152">
        <f>+IF(OR($Q625=Parametres!$G$2,$Q625=Parametres!$G$3),J625,D625)</f>
        <v>0</v>
      </c>
      <c r="P625" s="152">
        <f>+IF(OR($Q625=Parametres!$G$2,$Q625=Parametres!$G$3),K625,E625)</f>
        <v>0</v>
      </c>
      <c r="Q625" s="151">
        <f t="shared" si="44"/>
        <v>0</v>
      </c>
      <c r="R625" s="150">
        <f t="shared" si="44"/>
        <v>0</v>
      </c>
      <c r="S625" s="151">
        <f t="shared" si="44"/>
        <v>0</v>
      </c>
      <c r="T625" s="153" t="e">
        <f>+VLOOKUP($L625,Data_Validation!$A:$D,1,0)</f>
        <v>#N/A</v>
      </c>
      <c r="U625" s="153" t="e">
        <f>+VLOOKUP($L625,Data_Validation!$A:$D,3,0)</f>
        <v>#N/A</v>
      </c>
      <c r="V625" s="153" t="e">
        <f>+VLOOKUP($L625,Data_Validation!$A:$D,4,0)</f>
        <v>#N/A</v>
      </c>
      <c r="W625" s="153" t="e">
        <f>+VLOOKUP($L625,Data_Validation!$A:$E,5,0)</f>
        <v>#N/A</v>
      </c>
      <c r="X625" s="153" t="e">
        <f>+VLOOKUP($L625,Data_Validation!$A:$F,6,0)</f>
        <v>#N/A</v>
      </c>
    </row>
    <row r="626" spans="1:24" ht="15" customHeight="1">
      <c r="A626" s="1112"/>
      <c r="B626" s="1112"/>
      <c r="C626" s="1114"/>
      <c r="D626" s="1114"/>
      <c r="E626" s="1114"/>
      <c r="F626" s="1112"/>
      <c r="G626" s="1112"/>
      <c r="H626" s="1112"/>
      <c r="I626" s="1113"/>
      <c r="J626" s="1113"/>
      <c r="K626" s="1113"/>
      <c r="L626" s="150">
        <f t="shared" si="36"/>
        <v>0</v>
      </c>
      <c r="M626" s="151">
        <f t="shared" si="37"/>
        <v>0</v>
      </c>
      <c r="N626" s="152">
        <f>+IF(OR($Q626=Parametres!$G$2,$Q626=Parametres!$G$3),I626,C626)</f>
        <v>0</v>
      </c>
      <c r="O626" s="152">
        <f>+IF(OR($Q626=Parametres!$G$2,$Q626=Parametres!$G$3),J626,D626)</f>
        <v>0</v>
      </c>
      <c r="P626" s="152">
        <f>+IF(OR($Q626=Parametres!$G$2,$Q626=Parametres!$G$3),K626,E626)</f>
        <v>0</v>
      </c>
      <c r="Q626" s="151">
        <f t="shared" ref="Q626:S641" si="45">+F626</f>
        <v>0</v>
      </c>
      <c r="R626" s="150">
        <f t="shared" si="45"/>
        <v>0</v>
      </c>
      <c r="S626" s="151">
        <f t="shared" si="45"/>
        <v>0</v>
      </c>
      <c r="T626" s="153" t="e">
        <f>+VLOOKUP($L626,Data_Validation!$A:$D,1,0)</f>
        <v>#N/A</v>
      </c>
      <c r="U626" s="153" t="e">
        <f>+VLOOKUP($L626,Data_Validation!$A:$D,3,0)</f>
        <v>#N/A</v>
      </c>
      <c r="V626" s="153" t="e">
        <f>+VLOOKUP($L626,Data_Validation!$A:$D,4,0)</f>
        <v>#N/A</v>
      </c>
      <c r="W626" s="153" t="e">
        <f>+VLOOKUP($L626,Data_Validation!$A:$E,5,0)</f>
        <v>#N/A</v>
      </c>
      <c r="X626" s="153" t="e">
        <f>+VLOOKUP($L626,Data_Validation!$A:$F,6,0)</f>
        <v>#N/A</v>
      </c>
    </row>
    <row r="627" spans="1:24" ht="15" customHeight="1">
      <c r="A627" s="1112"/>
      <c r="B627" s="1112"/>
      <c r="C627" s="1114"/>
      <c r="D627" s="1114"/>
      <c r="E627" s="1114"/>
      <c r="F627" s="1112"/>
      <c r="G627" s="1112"/>
      <c r="H627" s="1112"/>
      <c r="I627" s="1113"/>
      <c r="J627" s="1113"/>
      <c r="K627" s="1113"/>
      <c r="L627" s="150">
        <f t="shared" si="36"/>
        <v>0</v>
      </c>
      <c r="M627" s="151">
        <f t="shared" si="37"/>
        <v>0</v>
      </c>
      <c r="N627" s="152">
        <f>+IF(OR($Q627=Parametres!$G$2,$Q627=Parametres!$G$3),I627,C627)</f>
        <v>0</v>
      </c>
      <c r="O627" s="152">
        <f>+IF(OR($Q627=Parametres!$G$2,$Q627=Parametres!$G$3),J627,D627)</f>
        <v>0</v>
      </c>
      <c r="P627" s="152">
        <f>+IF(OR($Q627=Parametres!$G$2,$Q627=Parametres!$G$3),K627,E627)</f>
        <v>0</v>
      </c>
      <c r="Q627" s="151">
        <f t="shared" si="45"/>
        <v>0</v>
      </c>
      <c r="R627" s="150">
        <f t="shared" si="45"/>
        <v>0</v>
      </c>
      <c r="S627" s="151">
        <f t="shared" si="45"/>
        <v>0</v>
      </c>
      <c r="T627" s="153" t="e">
        <f>+VLOOKUP($L627,Data_Validation!$A:$D,1,0)</f>
        <v>#N/A</v>
      </c>
      <c r="U627" s="153" t="e">
        <f>+VLOOKUP($L627,Data_Validation!$A:$D,3,0)</f>
        <v>#N/A</v>
      </c>
      <c r="V627" s="153" t="e">
        <f>+VLOOKUP($L627,Data_Validation!$A:$D,4,0)</f>
        <v>#N/A</v>
      </c>
      <c r="W627" s="153" t="e">
        <f>+VLOOKUP($L627,Data_Validation!$A:$E,5,0)</f>
        <v>#N/A</v>
      </c>
      <c r="X627" s="153" t="e">
        <f>+VLOOKUP($L627,Data_Validation!$A:$F,6,0)</f>
        <v>#N/A</v>
      </c>
    </row>
    <row r="628" spans="1:24" ht="15" customHeight="1">
      <c r="A628" s="1112"/>
      <c r="B628" s="1112"/>
      <c r="C628" s="1114"/>
      <c r="D628" s="1114"/>
      <c r="E628" s="1114"/>
      <c r="F628" s="1112"/>
      <c r="G628" s="1112"/>
      <c r="H628" s="1112"/>
      <c r="I628" s="1113"/>
      <c r="J628" s="1113"/>
      <c r="K628" s="1113"/>
      <c r="L628" s="150">
        <f t="shared" si="36"/>
        <v>0</v>
      </c>
      <c r="M628" s="151">
        <f t="shared" si="37"/>
        <v>0</v>
      </c>
      <c r="N628" s="152">
        <f>+IF(OR($Q628=Parametres!$G$2,$Q628=Parametres!$G$3),I628,C628)</f>
        <v>0</v>
      </c>
      <c r="O628" s="152">
        <f>+IF(OR($Q628=Parametres!$G$2,$Q628=Parametres!$G$3),J628,D628)</f>
        <v>0</v>
      </c>
      <c r="P628" s="152">
        <f>+IF(OR($Q628=Parametres!$G$2,$Q628=Parametres!$G$3),K628,E628)</f>
        <v>0</v>
      </c>
      <c r="Q628" s="151">
        <f t="shared" si="45"/>
        <v>0</v>
      </c>
      <c r="R628" s="150">
        <f t="shared" si="45"/>
        <v>0</v>
      </c>
      <c r="S628" s="151">
        <f t="shared" si="45"/>
        <v>0</v>
      </c>
      <c r="T628" s="153" t="e">
        <f>+VLOOKUP($L628,Data_Validation!$A:$D,1,0)</f>
        <v>#N/A</v>
      </c>
      <c r="U628" s="153" t="e">
        <f>+VLOOKUP($L628,Data_Validation!$A:$D,3,0)</f>
        <v>#N/A</v>
      </c>
      <c r="V628" s="153" t="e">
        <f>+VLOOKUP($L628,Data_Validation!$A:$D,4,0)</f>
        <v>#N/A</v>
      </c>
      <c r="W628" s="153" t="e">
        <f>+VLOOKUP($L628,Data_Validation!$A:$E,5,0)</f>
        <v>#N/A</v>
      </c>
      <c r="X628" s="153" t="e">
        <f>+VLOOKUP($L628,Data_Validation!$A:$F,6,0)</f>
        <v>#N/A</v>
      </c>
    </row>
    <row r="629" spans="1:24" ht="15" customHeight="1">
      <c r="A629" s="1112"/>
      <c r="B629" s="1112"/>
      <c r="C629" s="1114"/>
      <c r="D629" s="1114"/>
      <c r="E629" s="1114"/>
      <c r="F629" s="1112"/>
      <c r="G629" s="1112"/>
      <c r="H629" s="1112"/>
      <c r="I629" s="1113"/>
      <c r="J629" s="1113"/>
      <c r="K629" s="1113"/>
      <c r="L629" s="150">
        <f t="shared" si="36"/>
        <v>0</v>
      </c>
      <c r="M629" s="151">
        <f t="shared" si="37"/>
        <v>0</v>
      </c>
      <c r="N629" s="152">
        <f>+IF(OR($Q629=Parametres!$G$2,$Q629=Parametres!$G$3),I629,C629)</f>
        <v>0</v>
      </c>
      <c r="O629" s="152">
        <f>+IF(OR($Q629=Parametres!$G$2,$Q629=Parametres!$G$3),J629,D629)</f>
        <v>0</v>
      </c>
      <c r="P629" s="152">
        <f>+IF(OR($Q629=Parametres!$G$2,$Q629=Parametres!$G$3),K629,E629)</f>
        <v>0</v>
      </c>
      <c r="Q629" s="151">
        <f t="shared" si="45"/>
        <v>0</v>
      </c>
      <c r="R629" s="150">
        <f t="shared" si="45"/>
        <v>0</v>
      </c>
      <c r="S629" s="151">
        <f t="shared" si="45"/>
        <v>0</v>
      </c>
      <c r="T629" s="153" t="e">
        <f>+VLOOKUP($L629,Data_Validation!$A:$D,1,0)</f>
        <v>#N/A</v>
      </c>
      <c r="U629" s="153" t="e">
        <f>+VLOOKUP($L629,Data_Validation!$A:$D,3,0)</f>
        <v>#N/A</v>
      </c>
      <c r="V629" s="153" t="e">
        <f>+VLOOKUP($L629,Data_Validation!$A:$D,4,0)</f>
        <v>#N/A</v>
      </c>
      <c r="W629" s="153" t="e">
        <f>+VLOOKUP($L629,Data_Validation!$A:$E,5,0)</f>
        <v>#N/A</v>
      </c>
      <c r="X629" s="153" t="e">
        <f>+VLOOKUP($L629,Data_Validation!$A:$F,6,0)</f>
        <v>#N/A</v>
      </c>
    </row>
    <row r="630" spans="1:24" ht="15" customHeight="1">
      <c r="A630" s="1112"/>
      <c r="B630" s="1112"/>
      <c r="C630" s="1114"/>
      <c r="D630" s="1114"/>
      <c r="E630" s="1114"/>
      <c r="F630" s="1112"/>
      <c r="G630" s="1112"/>
      <c r="H630" s="1112"/>
      <c r="I630" s="1113"/>
      <c r="J630" s="1113"/>
      <c r="K630" s="1113"/>
      <c r="L630" s="150">
        <f t="shared" si="36"/>
        <v>0</v>
      </c>
      <c r="M630" s="151">
        <f t="shared" si="37"/>
        <v>0</v>
      </c>
      <c r="N630" s="152">
        <f>+IF(OR($Q630=Parametres!$G$2,$Q630=Parametres!$G$3),I630,C630)</f>
        <v>0</v>
      </c>
      <c r="O630" s="152">
        <f>+IF(OR($Q630=Parametres!$G$2,$Q630=Parametres!$G$3),J630,D630)</f>
        <v>0</v>
      </c>
      <c r="P630" s="152">
        <f>+IF(OR($Q630=Parametres!$G$2,$Q630=Parametres!$G$3),K630,E630)</f>
        <v>0</v>
      </c>
      <c r="Q630" s="151">
        <f t="shared" si="45"/>
        <v>0</v>
      </c>
      <c r="R630" s="150">
        <f t="shared" si="45"/>
        <v>0</v>
      </c>
      <c r="S630" s="151">
        <f t="shared" si="45"/>
        <v>0</v>
      </c>
      <c r="T630" s="153" t="e">
        <f>+VLOOKUP($L630,Data_Validation!$A:$D,1,0)</f>
        <v>#N/A</v>
      </c>
      <c r="U630" s="153" t="e">
        <f>+VLOOKUP($L630,Data_Validation!$A:$D,3,0)</f>
        <v>#N/A</v>
      </c>
      <c r="V630" s="153" t="e">
        <f>+VLOOKUP($L630,Data_Validation!$A:$D,4,0)</f>
        <v>#N/A</v>
      </c>
      <c r="W630" s="153" t="e">
        <f>+VLOOKUP($L630,Data_Validation!$A:$E,5,0)</f>
        <v>#N/A</v>
      </c>
      <c r="X630" s="153" t="e">
        <f>+VLOOKUP($L630,Data_Validation!$A:$F,6,0)</f>
        <v>#N/A</v>
      </c>
    </row>
    <row r="631" spans="1:24" ht="15" customHeight="1">
      <c r="A631" s="1112"/>
      <c r="B631" s="1112"/>
      <c r="C631" s="1114"/>
      <c r="D631" s="1114"/>
      <c r="E631" s="1114"/>
      <c r="F631" s="1112"/>
      <c r="G631" s="1112"/>
      <c r="H631" s="1112"/>
      <c r="I631" s="1113"/>
      <c r="J631" s="1113"/>
      <c r="K631" s="1113"/>
      <c r="L631" s="150">
        <f t="shared" si="36"/>
        <v>0</v>
      </c>
      <c r="M631" s="151">
        <f t="shared" si="37"/>
        <v>0</v>
      </c>
      <c r="N631" s="152">
        <f>+IF(OR($Q631=Parametres!$G$2,$Q631=Parametres!$G$3),I631,C631)</f>
        <v>0</v>
      </c>
      <c r="O631" s="152">
        <f>+IF(OR($Q631=Parametres!$G$2,$Q631=Parametres!$G$3),J631,D631)</f>
        <v>0</v>
      </c>
      <c r="P631" s="152">
        <f>+IF(OR($Q631=Parametres!$G$2,$Q631=Parametres!$G$3),K631,E631)</f>
        <v>0</v>
      </c>
      <c r="Q631" s="151">
        <f t="shared" si="45"/>
        <v>0</v>
      </c>
      <c r="R631" s="150">
        <f t="shared" si="45"/>
        <v>0</v>
      </c>
      <c r="S631" s="151">
        <f t="shared" si="45"/>
        <v>0</v>
      </c>
      <c r="T631" s="153" t="e">
        <f>+VLOOKUP($L631,Data_Validation!$A:$D,1,0)</f>
        <v>#N/A</v>
      </c>
      <c r="U631" s="153" t="e">
        <f>+VLOOKUP($L631,Data_Validation!$A:$D,3,0)</f>
        <v>#N/A</v>
      </c>
      <c r="V631" s="153" t="e">
        <f>+VLOOKUP($L631,Data_Validation!$A:$D,4,0)</f>
        <v>#N/A</v>
      </c>
      <c r="W631" s="153" t="e">
        <f>+VLOOKUP($L631,Data_Validation!$A:$E,5,0)</f>
        <v>#N/A</v>
      </c>
      <c r="X631" s="153" t="e">
        <f>+VLOOKUP($L631,Data_Validation!$A:$F,6,0)</f>
        <v>#N/A</v>
      </c>
    </row>
    <row r="632" spans="1:24" ht="15" customHeight="1">
      <c r="A632" s="1112"/>
      <c r="B632" s="1112"/>
      <c r="C632" s="1114"/>
      <c r="D632" s="1114"/>
      <c r="E632" s="1114"/>
      <c r="F632" s="1112"/>
      <c r="G632" s="1112"/>
      <c r="H632" s="1112"/>
      <c r="I632" s="1113"/>
      <c r="J632" s="1113"/>
      <c r="K632" s="1113"/>
      <c r="L632" s="150">
        <f t="shared" si="36"/>
        <v>0</v>
      </c>
      <c r="M632" s="151">
        <f t="shared" si="37"/>
        <v>0</v>
      </c>
      <c r="N632" s="152">
        <f>+IF(OR($Q632=Parametres!$G$2,$Q632=Parametres!$G$3),I632,C632)</f>
        <v>0</v>
      </c>
      <c r="O632" s="152">
        <f>+IF(OR($Q632=Parametres!$G$2,$Q632=Parametres!$G$3),J632,D632)</f>
        <v>0</v>
      </c>
      <c r="P632" s="152">
        <f>+IF(OR($Q632=Parametres!$G$2,$Q632=Parametres!$G$3),K632,E632)</f>
        <v>0</v>
      </c>
      <c r="Q632" s="151">
        <f t="shared" si="45"/>
        <v>0</v>
      </c>
      <c r="R632" s="150">
        <f t="shared" si="45"/>
        <v>0</v>
      </c>
      <c r="S632" s="151">
        <f t="shared" si="45"/>
        <v>0</v>
      </c>
      <c r="T632" s="153" t="e">
        <f>+VLOOKUP($L632,Data_Validation!$A:$D,1,0)</f>
        <v>#N/A</v>
      </c>
      <c r="U632" s="153" t="e">
        <f>+VLOOKUP($L632,Data_Validation!$A:$D,3,0)</f>
        <v>#N/A</v>
      </c>
      <c r="V632" s="153" t="e">
        <f>+VLOOKUP($L632,Data_Validation!$A:$D,4,0)</f>
        <v>#N/A</v>
      </c>
      <c r="W632" s="153" t="e">
        <f>+VLOOKUP($L632,Data_Validation!$A:$E,5,0)</f>
        <v>#N/A</v>
      </c>
      <c r="X632" s="153" t="e">
        <f>+VLOOKUP($L632,Data_Validation!$A:$F,6,0)</f>
        <v>#N/A</v>
      </c>
    </row>
    <row r="633" spans="1:24" ht="15" customHeight="1">
      <c r="A633" s="1112"/>
      <c r="B633" s="1112"/>
      <c r="C633" s="1114"/>
      <c r="D633" s="1114"/>
      <c r="E633" s="1114"/>
      <c r="F633" s="1112"/>
      <c r="G633" s="1112"/>
      <c r="H633" s="1112"/>
      <c r="I633" s="1113"/>
      <c r="J633" s="1113"/>
      <c r="K633" s="1113"/>
      <c r="L633" s="150">
        <f t="shared" si="36"/>
        <v>0</v>
      </c>
      <c r="M633" s="151">
        <f t="shared" si="37"/>
        <v>0</v>
      </c>
      <c r="N633" s="152">
        <f>+IF(OR($Q633=Parametres!$G$2,$Q633=Parametres!$G$3),I633,C633)</f>
        <v>0</v>
      </c>
      <c r="O633" s="152">
        <f>+IF(OR($Q633=Parametres!$G$2,$Q633=Parametres!$G$3),J633,D633)</f>
        <v>0</v>
      </c>
      <c r="P633" s="152">
        <f>+IF(OR($Q633=Parametres!$G$2,$Q633=Parametres!$G$3),K633,E633)</f>
        <v>0</v>
      </c>
      <c r="Q633" s="151">
        <f t="shared" si="45"/>
        <v>0</v>
      </c>
      <c r="R633" s="150">
        <f t="shared" si="45"/>
        <v>0</v>
      </c>
      <c r="S633" s="151">
        <f t="shared" si="45"/>
        <v>0</v>
      </c>
      <c r="T633" s="153" t="e">
        <f>+VLOOKUP($L633,Data_Validation!$A:$D,1,0)</f>
        <v>#N/A</v>
      </c>
      <c r="U633" s="153" t="e">
        <f>+VLOOKUP($L633,Data_Validation!$A:$D,3,0)</f>
        <v>#N/A</v>
      </c>
      <c r="V633" s="153" t="e">
        <f>+VLOOKUP($L633,Data_Validation!$A:$D,4,0)</f>
        <v>#N/A</v>
      </c>
      <c r="W633" s="153" t="e">
        <f>+VLOOKUP($L633,Data_Validation!$A:$E,5,0)</f>
        <v>#N/A</v>
      </c>
      <c r="X633" s="153" t="e">
        <f>+VLOOKUP($L633,Data_Validation!$A:$F,6,0)</f>
        <v>#N/A</v>
      </c>
    </row>
    <row r="634" spans="1:24" ht="15" customHeight="1">
      <c r="A634" s="1112"/>
      <c r="B634" s="1112"/>
      <c r="C634" s="1114"/>
      <c r="D634" s="1114"/>
      <c r="E634" s="1114"/>
      <c r="F634" s="1112"/>
      <c r="G634" s="1112"/>
      <c r="H634" s="1112"/>
      <c r="I634" s="1113"/>
      <c r="J634" s="1113"/>
      <c r="K634" s="1113"/>
      <c r="L634" s="150">
        <f t="shared" si="36"/>
        <v>0</v>
      </c>
      <c r="M634" s="151">
        <f t="shared" si="37"/>
        <v>0</v>
      </c>
      <c r="N634" s="152">
        <f>+IF(OR($Q634=Parametres!$G$2,$Q634=Parametres!$G$3),I634,C634)</f>
        <v>0</v>
      </c>
      <c r="O634" s="152">
        <f>+IF(OR($Q634=Parametres!$G$2,$Q634=Parametres!$G$3),J634,D634)</f>
        <v>0</v>
      </c>
      <c r="P634" s="152">
        <f>+IF(OR($Q634=Parametres!$G$2,$Q634=Parametres!$G$3),K634,E634)</f>
        <v>0</v>
      </c>
      <c r="Q634" s="151">
        <f t="shared" si="45"/>
        <v>0</v>
      </c>
      <c r="R634" s="150">
        <f t="shared" si="45"/>
        <v>0</v>
      </c>
      <c r="S634" s="151">
        <f t="shared" si="45"/>
        <v>0</v>
      </c>
      <c r="T634" s="153" t="e">
        <f>+VLOOKUP($L634,Data_Validation!$A:$D,1,0)</f>
        <v>#N/A</v>
      </c>
      <c r="U634" s="153" t="e">
        <f>+VLOOKUP($L634,Data_Validation!$A:$D,3,0)</f>
        <v>#N/A</v>
      </c>
      <c r="V634" s="153" t="e">
        <f>+VLOOKUP($L634,Data_Validation!$A:$D,4,0)</f>
        <v>#N/A</v>
      </c>
      <c r="W634" s="153" t="e">
        <f>+VLOOKUP($L634,Data_Validation!$A:$E,5,0)</f>
        <v>#N/A</v>
      </c>
      <c r="X634" s="153" t="e">
        <f>+VLOOKUP($L634,Data_Validation!$A:$F,6,0)</f>
        <v>#N/A</v>
      </c>
    </row>
    <row r="635" spans="1:24" ht="15" customHeight="1">
      <c r="A635" s="1112"/>
      <c r="B635" s="1112"/>
      <c r="C635" s="1114"/>
      <c r="D635" s="1114"/>
      <c r="E635" s="1114"/>
      <c r="F635" s="1112"/>
      <c r="G635" s="1112"/>
      <c r="H635" s="1112"/>
      <c r="I635" s="1113"/>
      <c r="J635" s="1113"/>
      <c r="K635" s="1113"/>
      <c r="L635" s="150">
        <f t="shared" si="36"/>
        <v>0</v>
      </c>
      <c r="M635" s="151">
        <f t="shared" si="37"/>
        <v>0</v>
      </c>
      <c r="N635" s="152">
        <f>+IF(OR($Q635=Parametres!$G$2,$Q635=Parametres!$G$3),I635,C635)</f>
        <v>0</v>
      </c>
      <c r="O635" s="152">
        <f>+IF(OR($Q635=Parametres!$G$2,$Q635=Parametres!$G$3),J635,D635)</f>
        <v>0</v>
      </c>
      <c r="P635" s="152">
        <f>+IF(OR($Q635=Parametres!$G$2,$Q635=Parametres!$G$3),K635,E635)</f>
        <v>0</v>
      </c>
      <c r="Q635" s="151">
        <f t="shared" si="45"/>
        <v>0</v>
      </c>
      <c r="R635" s="150">
        <f t="shared" si="45"/>
        <v>0</v>
      </c>
      <c r="S635" s="151">
        <f t="shared" si="45"/>
        <v>0</v>
      </c>
      <c r="T635" s="153" t="e">
        <f>+VLOOKUP($L635,Data_Validation!$A:$D,1,0)</f>
        <v>#N/A</v>
      </c>
      <c r="U635" s="153" t="e">
        <f>+VLOOKUP($L635,Data_Validation!$A:$D,3,0)</f>
        <v>#N/A</v>
      </c>
      <c r="V635" s="153" t="e">
        <f>+VLOOKUP($L635,Data_Validation!$A:$D,4,0)</f>
        <v>#N/A</v>
      </c>
      <c r="W635" s="153" t="e">
        <f>+VLOOKUP($L635,Data_Validation!$A:$E,5,0)</f>
        <v>#N/A</v>
      </c>
      <c r="X635" s="153" t="e">
        <f>+VLOOKUP($L635,Data_Validation!$A:$F,6,0)</f>
        <v>#N/A</v>
      </c>
    </row>
    <row r="636" spans="1:24" ht="15" customHeight="1">
      <c r="A636" s="1112"/>
      <c r="B636" s="1112"/>
      <c r="C636" s="1114"/>
      <c r="D636" s="1114"/>
      <c r="E636" s="1114"/>
      <c r="F636" s="1112"/>
      <c r="G636" s="1112"/>
      <c r="H636" s="1112"/>
      <c r="I636" s="1113"/>
      <c r="J636" s="1113"/>
      <c r="K636" s="1113"/>
      <c r="L636" s="150">
        <f t="shared" si="36"/>
        <v>0</v>
      </c>
      <c r="M636" s="151">
        <f t="shared" si="37"/>
        <v>0</v>
      </c>
      <c r="N636" s="152">
        <f>+IF(OR($Q636=Parametres!$G$2,$Q636=Parametres!$G$3),I636,C636)</f>
        <v>0</v>
      </c>
      <c r="O636" s="152">
        <f>+IF(OR($Q636=Parametres!$G$2,$Q636=Parametres!$G$3),J636,D636)</f>
        <v>0</v>
      </c>
      <c r="P636" s="152">
        <f>+IF(OR($Q636=Parametres!$G$2,$Q636=Parametres!$G$3),K636,E636)</f>
        <v>0</v>
      </c>
      <c r="Q636" s="151">
        <f t="shared" si="45"/>
        <v>0</v>
      </c>
      <c r="R636" s="150">
        <f t="shared" si="45"/>
        <v>0</v>
      </c>
      <c r="S636" s="151">
        <f t="shared" si="45"/>
        <v>0</v>
      </c>
      <c r="T636" s="153" t="e">
        <f>+VLOOKUP($L636,Data_Validation!$A:$D,1,0)</f>
        <v>#N/A</v>
      </c>
      <c r="U636" s="153" t="e">
        <f>+VLOOKUP($L636,Data_Validation!$A:$D,3,0)</f>
        <v>#N/A</v>
      </c>
      <c r="V636" s="153" t="e">
        <f>+VLOOKUP($L636,Data_Validation!$A:$D,4,0)</f>
        <v>#N/A</v>
      </c>
      <c r="W636" s="153" t="e">
        <f>+VLOOKUP($L636,Data_Validation!$A:$E,5,0)</f>
        <v>#N/A</v>
      </c>
      <c r="X636" s="153" t="e">
        <f>+VLOOKUP($L636,Data_Validation!$A:$F,6,0)</f>
        <v>#N/A</v>
      </c>
    </row>
    <row r="637" spans="1:24" ht="15" customHeight="1">
      <c r="A637" s="1112"/>
      <c r="B637" s="1112"/>
      <c r="C637" s="1114"/>
      <c r="D637" s="1114"/>
      <c r="E637" s="1114"/>
      <c r="F637" s="1112"/>
      <c r="G637" s="1112"/>
      <c r="H637" s="1112"/>
      <c r="I637" s="1113"/>
      <c r="J637" s="1113"/>
      <c r="K637" s="1113"/>
      <c r="L637" s="150">
        <f t="shared" si="36"/>
        <v>0</v>
      </c>
      <c r="M637" s="151">
        <f t="shared" si="37"/>
        <v>0</v>
      </c>
      <c r="N637" s="152">
        <f>+IF(OR($Q637=Parametres!$G$2,$Q637=Parametres!$G$3),I637,C637)</f>
        <v>0</v>
      </c>
      <c r="O637" s="152">
        <f>+IF(OR($Q637=Parametres!$G$2,$Q637=Parametres!$G$3),J637,D637)</f>
        <v>0</v>
      </c>
      <c r="P637" s="152">
        <f>+IF(OR($Q637=Parametres!$G$2,$Q637=Parametres!$G$3),K637,E637)</f>
        <v>0</v>
      </c>
      <c r="Q637" s="151">
        <f t="shared" si="45"/>
        <v>0</v>
      </c>
      <c r="R637" s="150">
        <f t="shared" si="45"/>
        <v>0</v>
      </c>
      <c r="S637" s="151">
        <f t="shared" si="45"/>
        <v>0</v>
      </c>
      <c r="T637" s="153" t="e">
        <f>+VLOOKUP($L637,Data_Validation!$A:$D,1,0)</f>
        <v>#N/A</v>
      </c>
      <c r="U637" s="153" t="e">
        <f>+VLOOKUP($L637,Data_Validation!$A:$D,3,0)</f>
        <v>#N/A</v>
      </c>
      <c r="V637" s="153" t="e">
        <f>+VLOOKUP($L637,Data_Validation!$A:$D,4,0)</f>
        <v>#N/A</v>
      </c>
      <c r="W637" s="153" t="e">
        <f>+VLOOKUP($L637,Data_Validation!$A:$E,5,0)</f>
        <v>#N/A</v>
      </c>
      <c r="X637" s="153" t="e">
        <f>+VLOOKUP($L637,Data_Validation!$A:$F,6,0)</f>
        <v>#N/A</v>
      </c>
    </row>
    <row r="638" spans="1:24" ht="15" customHeight="1">
      <c r="A638" s="1112"/>
      <c r="B638" s="1112"/>
      <c r="C638" s="1114"/>
      <c r="D638" s="1114"/>
      <c r="E638" s="1114"/>
      <c r="F638" s="1112"/>
      <c r="G638" s="1112"/>
      <c r="H638" s="1112"/>
      <c r="I638" s="1113"/>
      <c r="J638" s="1113"/>
      <c r="K638" s="1113"/>
      <c r="L638" s="150">
        <f t="shared" si="36"/>
        <v>0</v>
      </c>
      <c r="M638" s="151">
        <f t="shared" si="37"/>
        <v>0</v>
      </c>
      <c r="N638" s="152">
        <f>+IF(OR($Q638=Parametres!$G$2,$Q638=Parametres!$G$3),I638,C638)</f>
        <v>0</v>
      </c>
      <c r="O638" s="152">
        <f>+IF(OR($Q638=Parametres!$G$2,$Q638=Parametres!$G$3),J638,D638)</f>
        <v>0</v>
      </c>
      <c r="P638" s="152">
        <f>+IF(OR($Q638=Parametres!$G$2,$Q638=Parametres!$G$3),K638,E638)</f>
        <v>0</v>
      </c>
      <c r="Q638" s="151">
        <f t="shared" si="45"/>
        <v>0</v>
      </c>
      <c r="R638" s="150">
        <f t="shared" si="45"/>
        <v>0</v>
      </c>
      <c r="S638" s="151">
        <f t="shared" si="45"/>
        <v>0</v>
      </c>
      <c r="T638" s="153" t="e">
        <f>+VLOOKUP($L638,Data_Validation!$A:$D,1,0)</f>
        <v>#N/A</v>
      </c>
      <c r="U638" s="153" t="e">
        <f>+VLOOKUP($L638,Data_Validation!$A:$D,3,0)</f>
        <v>#N/A</v>
      </c>
      <c r="V638" s="153" t="e">
        <f>+VLOOKUP($L638,Data_Validation!$A:$D,4,0)</f>
        <v>#N/A</v>
      </c>
      <c r="W638" s="153" t="e">
        <f>+VLOOKUP($L638,Data_Validation!$A:$E,5,0)</f>
        <v>#N/A</v>
      </c>
      <c r="X638" s="153" t="e">
        <f>+VLOOKUP($L638,Data_Validation!$A:$F,6,0)</f>
        <v>#N/A</v>
      </c>
    </row>
    <row r="639" spans="1:24" ht="15.75" customHeight="1">
      <c r="A639" s="1112"/>
      <c r="B639" s="1112"/>
      <c r="C639" s="1114"/>
      <c r="D639" s="1114"/>
      <c r="E639" s="1114"/>
      <c r="F639" s="1112"/>
      <c r="G639" s="1112"/>
      <c r="H639" s="1112"/>
      <c r="I639" s="1113"/>
      <c r="J639" s="1113"/>
      <c r="K639" s="1113"/>
      <c r="L639" s="150">
        <f t="shared" si="36"/>
        <v>0</v>
      </c>
      <c r="M639" s="151">
        <f t="shared" si="37"/>
        <v>0</v>
      </c>
      <c r="N639" s="152">
        <f>+IF(OR($Q639=Parametres!$G$2,$Q639=Parametres!$G$3),I639,C639)</f>
        <v>0</v>
      </c>
      <c r="O639" s="152">
        <f>+IF(OR($Q639=Parametres!$G$2,$Q639=Parametres!$G$3),J639,D639)</f>
        <v>0</v>
      </c>
      <c r="P639" s="152">
        <f>+IF(OR($Q639=Parametres!$G$2,$Q639=Parametres!$G$3),K639,E639)</f>
        <v>0</v>
      </c>
      <c r="Q639" s="151">
        <f t="shared" si="45"/>
        <v>0</v>
      </c>
      <c r="R639" s="150">
        <f t="shared" si="45"/>
        <v>0</v>
      </c>
      <c r="S639" s="151">
        <f t="shared" si="45"/>
        <v>0</v>
      </c>
      <c r="T639" s="153" t="e">
        <f>+VLOOKUP($L639,Data_Validation!$A:$D,1,0)</f>
        <v>#N/A</v>
      </c>
      <c r="U639" s="153" t="e">
        <f>+VLOOKUP($L639,Data_Validation!$A:$D,3,0)</f>
        <v>#N/A</v>
      </c>
      <c r="V639" s="153" t="e">
        <f>+VLOOKUP($L639,Data_Validation!$A:$D,4,0)</f>
        <v>#N/A</v>
      </c>
      <c r="W639" s="153" t="e">
        <f>+VLOOKUP($L639,Data_Validation!$A:$E,5,0)</f>
        <v>#N/A</v>
      </c>
      <c r="X639" s="153" t="e">
        <f>+VLOOKUP($L639,Data_Validation!$A:$F,6,0)</f>
        <v>#N/A</v>
      </c>
    </row>
    <row r="640" spans="1:24" ht="15.75" customHeight="1">
      <c r="A640" s="1112"/>
      <c r="B640" s="1112"/>
      <c r="C640" s="1114"/>
      <c r="D640" s="1114"/>
      <c r="E640" s="1114"/>
      <c r="F640" s="1112"/>
      <c r="G640" s="1112"/>
      <c r="H640" s="1112"/>
      <c r="I640" s="1113"/>
      <c r="J640" s="1113"/>
      <c r="K640" s="1113"/>
      <c r="L640" s="150">
        <f t="shared" si="36"/>
        <v>0</v>
      </c>
      <c r="M640" s="151">
        <f t="shared" si="37"/>
        <v>0</v>
      </c>
      <c r="N640" s="152">
        <f>+IF(OR($Q640=Parametres!$G$2,$Q640=Parametres!$G$3),I640,C640)</f>
        <v>0</v>
      </c>
      <c r="O640" s="152">
        <f>+IF(OR($Q640=Parametres!$G$2,$Q640=Parametres!$G$3),J640,D640)</f>
        <v>0</v>
      </c>
      <c r="P640" s="152">
        <f>+IF(OR($Q640=Parametres!$G$2,$Q640=Parametres!$G$3),K640,E640)</f>
        <v>0</v>
      </c>
      <c r="Q640" s="151">
        <f t="shared" si="45"/>
        <v>0</v>
      </c>
      <c r="R640" s="150">
        <f t="shared" si="45"/>
        <v>0</v>
      </c>
      <c r="S640" s="151">
        <f t="shared" si="45"/>
        <v>0</v>
      </c>
      <c r="T640" s="153" t="e">
        <f>+VLOOKUP($L640,Data_Validation!$A:$D,1,0)</f>
        <v>#N/A</v>
      </c>
      <c r="U640" s="153" t="e">
        <f>+VLOOKUP($L640,Data_Validation!$A:$D,3,0)</f>
        <v>#N/A</v>
      </c>
      <c r="V640" s="153" t="e">
        <f>+VLOOKUP($L640,Data_Validation!$A:$D,4,0)</f>
        <v>#N/A</v>
      </c>
      <c r="W640" s="153" t="e">
        <f>+VLOOKUP($L640,Data_Validation!$A:$E,5,0)</f>
        <v>#N/A</v>
      </c>
      <c r="X640" s="153" t="e">
        <f>+VLOOKUP($L640,Data_Validation!$A:$F,6,0)</f>
        <v>#N/A</v>
      </c>
    </row>
    <row r="641" spans="1:24" ht="15.75" customHeight="1">
      <c r="A641" s="1112"/>
      <c r="B641" s="1112"/>
      <c r="C641" s="1114"/>
      <c r="D641" s="1114"/>
      <c r="E641" s="1114"/>
      <c r="F641" s="1112"/>
      <c r="G641" s="1112"/>
      <c r="H641" s="1112"/>
      <c r="I641" s="1113"/>
      <c r="J641" s="1113"/>
      <c r="K641" s="1113"/>
      <c r="L641" s="150">
        <f t="shared" si="36"/>
        <v>0</v>
      </c>
      <c r="M641" s="151">
        <f t="shared" si="37"/>
        <v>0</v>
      </c>
      <c r="N641" s="152">
        <f>+IF(OR($Q641=Parametres!$G$2,$Q641=Parametres!$G$3),I641,C641)</f>
        <v>0</v>
      </c>
      <c r="O641" s="152">
        <f>+IF(OR($Q641=Parametres!$G$2,$Q641=Parametres!$G$3),J641,D641)</f>
        <v>0</v>
      </c>
      <c r="P641" s="152">
        <f>+IF(OR($Q641=Parametres!$G$2,$Q641=Parametres!$G$3),K641,E641)</f>
        <v>0</v>
      </c>
      <c r="Q641" s="151">
        <f t="shared" si="45"/>
        <v>0</v>
      </c>
      <c r="R641" s="150">
        <f t="shared" si="45"/>
        <v>0</v>
      </c>
      <c r="S641" s="151">
        <f t="shared" si="45"/>
        <v>0</v>
      </c>
      <c r="T641" s="153" t="e">
        <f>+VLOOKUP($L641,Data_Validation!$A:$D,1,0)</f>
        <v>#N/A</v>
      </c>
      <c r="U641" s="153" t="e">
        <f>+VLOOKUP($L641,Data_Validation!$A:$D,3,0)</f>
        <v>#N/A</v>
      </c>
      <c r="V641" s="153" t="e">
        <f>+VLOOKUP($L641,Data_Validation!$A:$D,4,0)</f>
        <v>#N/A</v>
      </c>
      <c r="W641" s="153" t="e">
        <f>+VLOOKUP($L641,Data_Validation!$A:$E,5,0)</f>
        <v>#N/A</v>
      </c>
      <c r="X641" s="153" t="e">
        <f>+VLOOKUP($L641,Data_Validation!$A:$F,6,0)</f>
        <v>#N/A</v>
      </c>
    </row>
    <row r="642" spans="1:24" ht="15.75" customHeight="1">
      <c r="A642" s="1112"/>
      <c r="B642" s="1112"/>
      <c r="C642" s="1114"/>
      <c r="D642" s="1114"/>
      <c r="E642" s="1114"/>
      <c r="F642" s="1112"/>
      <c r="G642" s="1112"/>
      <c r="H642" s="1112"/>
      <c r="I642" s="1113"/>
      <c r="J642" s="1113"/>
      <c r="K642" s="1113"/>
      <c r="L642" s="150">
        <f t="shared" si="36"/>
        <v>0</v>
      </c>
      <c r="M642" s="151">
        <f t="shared" si="37"/>
        <v>0</v>
      </c>
      <c r="N642" s="152">
        <f>+IF(OR($Q642=Parametres!$G$2,$Q642=Parametres!$G$3),I642,C642)</f>
        <v>0</v>
      </c>
      <c r="O642" s="152">
        <f>+IF(OR($Q642=Parametres!$G$2,$Q642=Parametres!$G$3),J642,D642)</f>
        <v>0</v>
      </c>
      <c r="P642" s="152">
        <f>+IF(OR($Q642=Parametres!$G$2,$Q642=Parametres!$G$3),K642,E642)</f>
        <v>0</v>
      </c>
      <c r="Q642" s="151">
        <f t="shared" ref="Q642:S657" si="46">+F642</f>
        <v>0</v>
      </c>
      <c r="R642" s="150">
        <f t="shared" si="46"/>
        <v>0</v>
      </c>
      <c r="S642" s="151">
        <f t="shared" si="46"/>
        <v>0</v>
      </c>
      <c r="T642" s="153" t="e">
        <f>+VLOOKUP($L642,Data_Validation!$A:$D,1,0)</f>
        <v>#N/A</v>
      </c>
      <c r="U642" s="153" t="e">
        <f>+VLOOKUP($L642,Data_Validation!$A:$D,3,0)</f>
        <v>#N/A</v>
      </c>
      <c r="V642" s="153" t="e">
        <f>+VLOOKUP($L642,Data_Validation!$A:$D,4,0)</f>
        <v>#N/A</v>
      </c>
      <c r="W642" s="153" t="e">
        <f>+VLOOKUP($L642,Data_Validation!$A:$E,5,0)</f>
        <v>#N/A</v>
      </c>
      <c r="X642" s="153" t="e">
        <f>+VLOOKUP($L642,Data_Validation!$A:$F,6,0)</f>
        <v>#N/A</v>
      </c>
    </row>
    <row r="643" spans="1:24" ht="15.75" customHeight="1">
      <c r="A643" s="1112"/>
      <c r="B643" s="1112"/>
      <c r="C643" s="1114"/>
      <c r="D643" s="1114"/>
      <c r="E643" s="1114"/>
      <c r="F643" s="1112"/>
      <c r="G643" s="1112"/>
      <c r="H643" s="1112"/>
      <c r="I643" s="1113"/>
      <c r="J643" s="1113"/>
      <c r="K643" s="1113"/>
      <c r="L643" s="150">
        <f t="shared" si="36"/>
        <v>0</v>
      </c>
      <c r="M643" s="151">
        <f t="shared" si="37"/>
        <v>0</v>
      </c>
      <c r="N643" s="152">
        <f>+IF(OR($Q643=Parametres!$G$2,$Q643=Parametres!$G$3),I643,C643)</f>
        <v>0</v>
      </c>
      <c r="O643" s="152">
        <f>+IF(OR($Q643=Parametres!$G$2,$Q643=Parametres!$G$3),J643,D643)</f>
        <v>0</v>
      </c>
      <c r="P643" s="152">
        <f>+IF(OR($Q643=Parametres!$G$2,$Q643=Parametres!$G$3),K643,E643)</f>
        <v>0</v>
      </c>
      <c r="Q643" s="151">
        <f t="shared" si="46"/>
        <v>0</v>
      </c>
      <c r="R643" s="150">
        <f t="shared" si="46"/>
        <v>0</v>
      </c>
      <c r="S643" s="151">
        <f t="shared" si="46"/>
        <v>0</v>
      </c>
      <c r="T643" s="153" t="e">
        <f>+VLOOKUP($L643,Data_Validation!$A:$D,1,0)</f>
        <v>#N/A</v>
      </c>
      <c r="U643" s="153" t="e">
        <f>+VLOOKUP($L643,Data_Validation!$A:$D,3,0)</f>
        <v>#N/A</v>
      </c>
      <c r="V643" s="153" t="e">
        <f>+VLOOKUP($L643,Data_Validation!$A:$D,4,0)</f>
        <v>#N/A</v>
      </c>
      <c r="W643" s="153" t="e">
        <f>+VLOOKUP($L643,Data_Validation!$A:$E,5,0)</f>
        <v>#N/A</v>
      </c>
      <c r="X643" s="153" t="e">
        <f>+VLOOKUP($L643,Data_Validation!$A:$F,6,0)</f>
        <v>#N/A</v>
      </c>
    </row>
    <row r="644" spans="1:24" ht="15.75" customHeight="1">
      <c r="A644" s="1112"/>
      <c r="B644" s="1112"/>
      <c r="C644" s="1114"/>
      <c r="D644" s="1114"/>
      <c r="E644" s="1114"/>
      <c r="F644" s="1112"/>
      <c r="G644" s="1112"/>
      <c r="H644" s="1112"/>
      <c r="I644" s="1113"/>
      <c r="J644" s="1113"/>
      <c r="K644" s="1113"/>
      <c r="L644" s="150">
        <f t="shared" si="36"/>
        <v>0</v>
      </c>
      <c r="M644" s="151">
        <f t="shared" si="37"/>
        <v>0</v>
      </c>
      <c r="N644" s="152">
        <f>+IF(OR($Q644=Parametres!$G$2,$Q644=Parametres!$G$3),I644,C644)</f>
        <v>0</v>
      </c>
      <c r="O644" s="152">
        <f>+IF(OR($Q644=Parametres!$G$2,$Q644=Parametres!$G$3),J644,D644)</f>
        <v>0</v>
      </c>
      <c r="P644" s="152">
        <f>+IF(OR($Q644=Parametres!$G$2,$Q644=Parametres!$G$3),K644,E644)</f>
        <v>0</v>
      </c>
      <c r="Q644" s="151">
        <f t="shared" si="46"/>
        <v>0</v>
      </c>
      <c r="R644" s="150">
        <f t="shared" si="46"/>
        <v>0</v>
      </c>
      <c r="S644" s="151">
        <f t="shared" si="46"/>
        <v>0</v>
      </c>
      <c r="T644" s="153" t="e">
        <f>+VLOOKUP($L644,Data_Validation!$A:$D,1,0)</f>
        <v>#N/A</v>
      </c>
      <c r="U644" s="153" t="e">
        <f>+VLOOKUP($L644,Data_Validation!$A:$D,3,0)</f>
        <v>#N/A</v>
      </c>
      <c r="V644" s="153" t="e">
        <f>+VLOOKUP($L644,Data_Validation!$A:$D,4,0)</f>
        <v>#N/A</v>
      </c>
      <c r="W644" s="153" t="e">
        <f>+VLOOKUP($L644,Data_Validation!$A:$E,5,0)</f>
        <v>#N/A</v>
      </c>
      <c r="X644" s="153" t="e">
        <f>+VLOOKUP($L644,Data_Validation!$A:$F,6,0)</f>
        <v>#N/A</v>
      </c>
    </row>
    <row r="645" spans="1:24" ht="15.75" customHeight="1">
      <c r="A645" s="1112"/>
      <c r="B645" s="1112"/>
      <c r="C645" s="1114"/>
      <c r="D645" s="1114"/>
      <c r="E645" s="1114"/>
      <c r="F645" s="1112"/>
      <c r="G645" s="1112"/>
      <c r="H645" s="1112"/>
      <c r="I645" s="1113"/>
      <c r="J645" s="1113"/>
      <c r="K645" s="1113"/>
      <c r="L645" s="150">
        <f t="shared" si="36"/>
        <v>0</v>
      </c>
      <c r="M645" s="151">
        <f t="shared" si="37"/>
        <v>0</v>
      </c>
      <c r="N645" s="152">
        <f>+IF(OR($Q645=Parametres!$G$2,$Q645=Parametres!$G$3),I645,C645)</f>
        <v>0</v>
      </c>
      <c r="O645" s="152">
        <f>+IF(OR($Q645=Parametres!$G$2,$Q645=Parametres!$G$3),J645,D645)</f>
        <v>0</v>
      </c>
      <c r="P645" s="152">
        <f>+IF(OR($Q645=Parametres!$G$2,$Q645=Parametres!$G$3),K645,E645)</f>
        <v>0</v>
      </c>
      <c r="Q645" s="151">
        <f t="shared" si="46"/>
        <v>0</v>
      </c>
      <c r="R645" s="150">
        <f t="shared" si="46"/>
        <v>0</v>
      </c>
      <c r="S645" s="151">
        <f t="shared" si="46"/>
        <v>0</v>
      </c>
      <c r="T645" s="153" t="e">
        <f>+VLOOKUP($L645,Data_Validation!$A:$D,1,0)</f>
        <v>#N/A</v>
      </c>
      <c r="U645" s="153" t="e">
        <f>+VLOOKUP($L645,Data_Validation!$A:$D,3,0)</f>
        <v>#N/A</v>
      </c>
      <c r="V645" s="153" t="e">
        <f>+VLOOKUP($L645,Data_Validation!$A:$D,4,0)</f>
        <v>#N/A</v>
      </c>
      <c r="W645" s="153" t="e">
        <f>+VLOOKUP($L645,Data_Validation!$A:$E,5,0)</f>
        <v>#N/A</v>
      </c>
      <c r="X645" s="153" t="e">
        <f>+VLOOKUP($L645,Data_Validation!$A:$F,6,0)</f>
        <v>#N/A</v>
      </c>
    </row>
    <row r="646" spans="1:24" ht="15.75" customHeight="1">
      <c r="A646" s="1112"/>
      <c r="B646" s="1112"/>
      <c r="C646" s="1114"/>
      <c r="D646" s="1114"/>
      <c r="E646" s="1114"/>
      <c r="F646" s="1112"/>
      <c r="G646" s="1112"/>
      <c r="H646" s="1112"/>
      <c r="I646" s="1113"/>
      <c r="J646" s="1113"/>
      <c r="K646" s="1113"/>
      <c r="L646" s="150">
        <f t="shared" si="36"/>
        <v>0</v>
      </c>
      <c r="M646" s="151">
        <f t="shared" si="37"/>
        <v>0</v>
      </c>
      <c r="N646" s="152">
        <f>+IF(OR($Q646=Parametres!$G$2,$Q646=Parametres!$G$3),I646,C646)</f>
        <v>0</v>
      </c>
      <c r="O646" s="152">
        <f>+IF(OR($Q646=Parametres!$G$2,$Q646=Parametres!$G$3),J646,D646)</f>
        <v>0</v>
      </c>
      <c r="P646" s="152">
        <f>+IF(OR($Q646=Parametres!$G$2,$Q646=Parametres!$G$3),K646,E646)</f>
        <v>0</v>
      </c>
      <c r="Q646" s="151">
        <f t="shared" si="46"/>
        <v>0</v>
      </c>
      <c r="R646" s="150">
        <f t="shared" si="46"/>
        <v>0</v>
      </c>
      <c r="S646" s="151">
        <f t="shared" si="46"/>
        <v>0</v>
      </c>
      <c r="T646" s="153" t="e">
        <f>+VLOOKUP($L646,Data_Validation!$A:$D,1,0)</f>
        <v>#N/A</v>
      </c>
      <c r="U646" s="153" t="e">
        <f>+VLOOKUP($L646,Data_Validation!$A:$D,3,0)</f>
        <v>#N/A</v>
      </c>
      <c r="V646" s="153" t="e">
        <f>+VLOOKUP($L646,Data_Validation!$A:$D,4,0)</f>
        <v>#N/A</v>
      </c>
      <c r="W646" s="153" t="e">
        <f>+VLOOKUP($L646,Data_Validation!$A:$E,5,0)</f>
        <v>#N/A</v>
      </c>
      <c r="X646" s="153" t="e">
        <f>+VLOOKUP($L646,Data_Validation!$A:$F,6,0)</f>
        <v>#N/A</v>
      </c>
    </row>
    <row r="647" spans="1:24" ht="15.75" customHeight="1">
      <c r="A647" s="1112"/>
      <c r="B647" s="1112"/>
      <c r="C647" s="1114"/>
      <c r="D647" s="1114"/>
      <c r="E647" s="1114"/>
      <c r="F647" s="1112"/>
      <c r="G647" s="1112"/>
      <c r="H647" s="1112"/>
      <c r="I647" s="1113"/>
      <c r="J647" s="1113"/>
      <c r="K647" s="1113"/>
      <c r="L647" s="150">
        <f t="shared" si="36"/>
        <v>0</v>
      </c>
      <c r="M647" s="151">
        <f t="shared" si="37"/>
        <v>0</v>
      </c>
      <c r="N647" s="152">
        <f>+IF(OR($Q647=Parametres!$G$2,$Q647=Parametres!$G$3),I647,C647)</f>
        <v>0</v>
      </c>
      <c r="O647" s="152">
        <f>+IF(OR($Q647=Parametres!$G$2,$Q647=Parametres!$G$3),J647,D647)</f>
        <v>0</v>
      </c>
      <c r="P647" s="152">
        <f>+IF(OR($Q647=Parametres!$G$2,$Q647=Parametres!$G$3),K647,E647)</f>
        <v>0</v>
      </c>
      <c r="Q647" s="151">
        <f t="shared" si="46"/>
        <v>0</v>
      </c>
      <c r="R647" s="150">
        <f t="shared" si="46"/>
        <v>0</v>
      </c>
      <c r="S647" s="151">
        <f t="shared" si="46"/>
        <v>0</v>
      </c>
      <c r="T647" s="153" t="e">
        <f>+VLOOKUP($L647,Data_Validation!$A:$D,1,0)</f>
        <v>#N/A</v>
      </c>
      <c r="U647" s="153" t="e">
        <f>+VLOOKUP($L647,Data_Validation!$A:$D,3,0)</f>
        <v>#N/A</v>
      </c>
      <c r="V647" s="153" t="e">
        <f>+VLOOKUP($L647,Data_Validation!$A:$D,4,0)</f>
        <v>#N/A</v>
      </c>
      <c r="W647" s="153" t="e">
        <f>+VLOOKUP($L647,Data_Validation!$A:$E,5,0)</f>
        <v>#N/A</v>
      </c>
      <c r="X647" s="153" t="e">
        <f>+VLOOKUP($L647,Data_Validation!$A:$F,6,0)</f>
        <v>#N/A</v>
      </c>
    </row>
    <row r="648" spans="1:24" ht="15.75" customHeight="1">
      <c r="A648" s="1112"/>
      <c r="B648" s="1112"/>
      <c r="C648" s="1114"/>
      <c r="D648" s="1114"/>
      <c r="E648" s="1114"/>
      <c r="F648" s="1112"/>
      <c r="G648" s="1112"/>
      <c r="H648" s="1112"/>
      <c r="I648" s="1113"/>
      <c r="J648" s="1113"/>
      <c r="K648" s="1113"/>
      <c r="L648" s="150">
        <f t="shared" si="36"/>
        <v>0</v>
      </c>
      <c r="M648" s="151">
        <f t="shared" si="37"/>
        <v>0</v>
      </c>
      <c r="N648" s="152">
        <f>+IF(OR($Q648=Parametres!$G$2,$Q648=Parametres!$G$3),I648,C648)</f>
        <v>0</v>
      </c>
      <c r="O648" s="152">
        <f>+IF(OR($Q648=Parametres!$G$2,$Q648=Parametres!$G$3),J648,D648)</f>
        <v>0</v>
      </c>
      <c r="P648" s="152">
        <f>+IF(OR($Q648=Parametres!$G$2,$Q648=Parametres!$G$3),K648,E648)</f>
        <v>0</v>
      </c>
      <c r="Q648" s="151">
        <f t="shared" si="46"/>
        <v>0</v>
      </c>
      <c r="R648" s="150">
        <f t="shared" si="46"/>
        <v>0</v>
      </c>
      <c r="S648" s="151">
        <f t="shared" si="46"/>
        <v>0</v>
      </c>
      <c r="T648" s="153" t="e">
        <f>+VLOOKUP($L648,Data_Validation!$A:$D,1,0)</f>
        <v>#N/A</v>
      </c>
      <c r="U648" s="153" t="e">
        <f>+VLOOKUP($L648,Data_Validation!$A:$D,3,0)</f>
        <v>#N/A</v>
      </c>
      <c r="V648" s="153" t="e">
        <f>+VLOOKUP($L648,Data_Validation!$A:$D,4,0)</f>
        <v>#N/A</v>
      </c>
      <c r="W648" s="153" t="e">
        <f>+VLOOKUP($L648,Data_Validation!$A:$E,5,0)</f>
        <v>#N/A</v>
      </c>
      <c r="X648" s="153" t="e">
        <f>+VLOOKUP($L648,Data_Validation!$A:$F,6,0)</f>
        <v>#N/A</v>
      </c>
    </row>
    <row r="649" spans="1:24" ht="15.75" customHeight="1">
      <c r="A649" s="1112"/>
      <c r="B649" s="1112"/>
      <c r="C649" s="1114"/>
      <c r="D649" s="1114"/>
      <c r="E649" s="1114"/>
      <c r="F649" s="1112"/>
      <c r="G649" s="1112"/>
      <c r="H649" s="1112"/>
      <c r="I649" s="1113"/>
      <c r="J649" s="1113"/>
      <c r="K649" s="1113"/>
      <c r="L649" s="150">
        <f t="shared" si="36"/>
        <v>0</v>
      </c>
      <c r="M649" s="151">
        <f t="shared" si="37"/>
        <v>0</v>
      </c>
      <c r="N649" s="152">
        <f>+IF(OR($Q649=Parametres!$G$2,$Q649=Parametres!$G$3),I649,C649)</f>
        <v>0</v>
      </c>
      <c r="O649" s="547">
        <f>+IF(OR($Q649=Parametres!$G$2,$Q649=Parametres!$G$3),J649,D649)</f>
        <v>0</v>
      </c>
      <c r="P649" s="152">
        <f>+IF(OR($Q649=Parametres!$G$2,$Q649=Parametres!$G$3),K649,E649)</f>
        <v>0</v>
      </c>
      <c r="Q649" s="151">
        <f t="shared" si="46"/>
        <v>0</v>
      </c>
      <c r="R649" s="150">
        <f t="shared" si="46"/>
        <v>0</v>
      </c>
      <c r="S649" s="151">
        <f t="shared" si="46"/>
        <v>0</v>
      </c>
      <c r="T649" s="153" t="e">
        <f>+VLOOKUP($L649,Data_Validation!$A:$D,1,0)</f>
        <v>#N/A</v>
      </c>
      <c r="U649" s="153" t="e">
        <f>+VLOOKUP($L649,Data_Validation!$A:$D,3,0)</f>
        <v>#N/A</v>
      </c>
      <c r="V649" s="153" t="e">
        <f>+VLOOKUP($L649,Data_Validation!$A:$D,4,0)</f>
        <v>#N/A</v>
      </c>
      <c r="W649" s="153" t="e">
        <f>+VLOOKUP($L649,Data_Validation!$A:$E,5,0)</f>
        <v>#N/A</v>
      </c>
      <c r="X649" s="153" t="e">
        <f>+VLOOKUP($L649,Data_Validation!$A:$F,6,0)</f>
        <v>#N/A</v>
      </c>
    </row>
    <row r="650" spans="1:24" ht="15.75" customHeight="1">
      <c r="A650" s="1112"/>
      <c r="B650" s="1112"/>
      <c r="C650" s="1114"/>
      <c r="D650" s="1114"/>
      <c r="E650" s="1114"/>
      <c r="F650" s="1112"/>
      <c r="G650" s="1112"/>
      <c r="H650" s="1112"/>
      <c r="I650" s="1113"/>
      <c r="J650" s="1113"/>
      <c r="K650" s="1113"/>
      <c r="L650" s="150">
        <f t="shared" si="36"/>
        <v>0</v>
      </c>
      <c r="M650" s="151">
        <f t="shared" si="37"/>
        <v>0</v>
      </c>
      <c r="N650" s="152">
        <f>+IF(OR($Q650=Parametres!$G$2,$Q650=Parametres!$G$3),I650,C650)</f>
        <v>0</v>
      </c>
      <c r="O650" s="152">
        <f>+IF(OR($Q650=Parametres!$G$2,$Q650=Parametres!$G$3),J650,D650)</f>
        <v>0</v>
      </c>
      <c r="P650" s="152">
        <f>+IF(OR($Q650=Parametres!$G$2,$Q650=Parametres!$G$3),K650,E650)</f>
        <v>0</v>
      </c>
      <c r="Q650" s="151">
        <f t="shared" si="46"/>
        <v>0</v>
      </c>
      <c r="R650" s="150">
        <f t="shared" si="46"/>
        <v>0</v>
      </c>
      <c r="S650" s="151">
        <f t="shared" si="46"/>
        <v>0</v>
      </c>
      <c r="T650" s="153" t="e">
        <f>+VLOOKUP($L650,Data_Validation!$A:$D,1,0)</f>
        <v>#N/A</v>
      </c>
      <c r="U650" s="153" t="e">
        <f>+VLOOKUP($L650,Data_Validation!$A:$D,3,0)</f>
        <v>#N/A</v>
      </c>
      <c r="V650" s="153" t="e">
        <f>+VLOOKUP($L650,Data_Validation!$A:$D,4,0)</f>
        <v>#N/A</v>
      </c>
      <c r="W650" s="153" t="e">
        <f>+VLOOKUP($L650,Data_Validation!$A:$E,5,0)</f>
        <v>#N/A</v>
      </c>
      <c r="X650" s="153" t="e">
        <f>+VLOOKUP($L650,Data_Validation!$A:$F,6,0)</f>
        <v>#N/A</v>
      </c>
    </row>
    <row r="651" spans="1:24" ht="15.75" customHeight="1">
      <c r="A651" s="1112"/>
      <c r="B651" s="1112"/>
      <c r="C651" s="1114"/>
      <c r="D651" s="1114"/>
      <c r="E651" s="1114"/>
      <c r="F651" s="1112"/>
      <c r="G651" s="1112"/>
      <c r="H651" s="1112"/>
      <c r="I651" s="1113"/>
      <c r="J651" s="1113"/>
      <c r="K651" s="1113"/>
      <c r="L651" s="150">
        <f t="shared" si="36"/>
        <v>0</v>
      </c>
      <c r="M651" s="151">
        <f t="shared" si="37"/>
        <v>0</v>
      </c>
      <c r="N651" s="152">
        <f>+IF(OR($Q651=Parametres!$G$2,$Q651=Parametres!$G$3),I651,C651)</f>
        <v>0</v>
      </c>
      <c r="O651" s="547">
        <f>+IF(OR($Q651=Parametres!$G$2,$Q651=Parametres!$G$3),J651,D651)</f>
        <v>0</v>
      </c>
      <c r="P651" s="152">
        <f>+IF(OR($Q651=Parametres!$G$2,$Q651=Parametres!$G$3),K651,E651)</f>
        <v>0</v>
      </c>
      <c r="Q651" s="151">
        <f t="shared" si="46"/>
        <v>0</v>
      </c>
      <c r="R651" s="150">
        <f t="shared" si="46"/>
        <v>0</v>
      </c>
      <c r="S651" s="151">
        <f t="shared" si="46"/>
        <v>0</v>
      </c>
      <c r="T651" s="153" t="e">
        <f>+VLOOKUP($L651,Data_Validation!$A:$D,1,0)</f>
        <v>#N/A</v>
      </c>
      <c r="U651" s="153" t="e">
        <f>+VLOOKUP($L651,Data_Validation!$A:$D,3,0)</f>
        <v>#N/A</v>
      </c>
      <c r="V651" s="153" t="e">
        <f>+VLOOKUP($L651,Data_Validation!$A:$D,4,0)</f>
        <v>#N/A</v>
      </c>
      <c r="W651" s="153" t="e">
        <f>+VLOOKUP($L651,Data_Validation!$A:$E,5,0)</f>
        <v>#N/A</v>
      </c>
      <c r="X651" s="153" t="e">
        <f>+VLOOKUP($L651,Data_Validation!$A:$F,6,0)</f>
        <v>#N/A</v>
      </c>
    </row>
    <row r="652" spans="1:24" ht="15.75" customHeight="1">
      <c r="A652" s="1112"/>
      <c r="B652" s="1112"/>
      <c r="C652" s="1114"/>
      <c r="D652" s="1114"/>
      <c r="E652" s="1114"/>
      <c r="F652" s="1112"/>
      <c r="G652" s="1112"/>
      <c r="H652" s="1112"/>
      <c r="I652" s="1113"/>
      <c r="J652" s="1113"/>
      <c r="K652" s="1113"/>
      <c r="L652" s="150">
        <f t="shared" si="36"/>
        <v>0</v>
      </c>
      <c r="M652" s="151">
        <f t="shared" si="37"/>
        <v>0</v>
      </c>
      <c r="N652" s="152">
        <f>+IF(OR($Q652=Parametres!$G$2,$Q652=Parametres!$G$3),I652,C652)</f>
        <v>0</v>
      </c>
      <c r="O652" s="152">
        <f>+IF(OR($Q652=Parametres!$G$2,$Q652=Parametres!$G$3),J652,D652)</f>
        <v>0</v>
      </c>
      <c r="P652" s="152">
        <f>+IF(OR($Q652=Parametres!$G$2,$Q652=Parametres!$G$3),K652,E652)</f>
        <v>0</v>
      </c>
      <c r="Q652" s="151">
        <f t="shared" si="46"/>
        <v>0</v>
      </c>
      <c r="R652" s="150">
        <f t="shared" si="46"/>
        <v>0</v>
      </c>
      <c r="S652" s="151">
        <f t="shared" si="46"/>
        <v>0</v>
      </c>
      <c r="T652" s="153" t="e">
        <f>+VLOOKUP($L652,Data_Validation!$A:$D,1,0)</f>
        <v>#N/A</v>
      </c>
      <c r="U652" s="153" t="e">
        <f>+VLOOKUP($L652,Data_Validation!$A:$D,3,0)</f>
        <v>#N/A</v>
      </c>
      <c r="V652" s="153" t="e">
        <f>+VLOOKUP($L652,Data_Validation!$A:$D,4,0)</f>
        <v>#N/A</v>
      </c>
      <c r="W652" s="153" t="e">
        <f>+VLOOKUP($L652,Data_Validation!$A:$E,5,0)</f>
        <v>#N/A</v>
      </c>
      <c r="X652" s="153" t="e">
        <f>+VLOOKUP($L652,Data_Validation!$A:$F,6,0)</f>
        <v>#N/A</v>
      </c>
    </row>
    <row r="653" spans="1:24" ht="15.75" customHeight="1">
      <c r="A653" s="1112"/>
      <c r="B653" s="1112"/>
      <c r="C653" s="1114"/>
      <c r="D653" s="1114"/>
      <c r="E653" s="1114"/>
      <c r="F653" s="1112"/>
      <c r="G653" s="1112"/>
      <c r="H653" s="1112"/>
      <c r="I653" s="1113"/>
      <c r="J653" s="1113"/>
      <c r="K653" s="1113"/>
      <c r="L653" s="150">
        <f t="shared" si="36"/>
        <v>0</v>
      </c>
      <c r="M653" s="151">
        <f t="shared" si="37"/>
        <v>0</v>
      </c>
      <c r="N653" s="152">
        <f>+IF(OR($Q653=Parametres!$G$2,$Q653=Parametres!$G$3),I653,C653)</f>
        <v>0</v>
      </c>
      <c r="O653" s="547">
        <f>+IF(OR($Q653=Parametres!$G$2,$Q653=Parametres!$G$3),J653,D653)</f>
        <v>0</v>
      </c>
      <c r="P653" s="152">
        <f>+IF(OR($Q653=Parametres!$G$2,$Q653=Parametres!$G$3),K653,E653)</f>
        <v>0</v>
      </c>
      <c r="Q653" s="151">
        <f t="shared" si="46"/>
        <v>0</v>
      </c>
      <c r="R653" s="150">
        <f t="shared" si="46"/>
        <v>0</v>
      </c>
      <c r="S653" s="151">
        <f t="shared" si="46"/>
        <v>0</v>
      </c>
      <c r="T653" s="153" t="e">
        <f>+VLOOKUP($L653,Data_Validation!$A:$D,1,0)</f>
        <v>#N/A</v>
      </c>
      <c r="U653" s="153" t="e">
        <f>+VLOOKUP($L653,Data_Validation!$A:$D,3,0)</f>
        <v>#N/A</v>
      </c>
      <c r="V653" s="153" t="e">
        <f>+VLOOKUP($L653,Data_Validation!$A:$D,4,0)</f>
        <v>#N/A</v>
      </c>
      <c r="W653" s="153" t="e">
        <f>+VLOOKUP($L653,Data_Validation!$A:$E,5,0)</f>
        <v>#N/A</v>
      </c>
      <c r="X653" s="153" t="e">
        <f>+VLOOKUP($L653,Data_Validation!$A:$F,6,0)</f>
        <v>#N/A</v>
      </c>
    </row>
    <row r="654" spans="1:24" ht="15.75" customHeight="1">
      <c r="A654" s="1112"/>
      <c r="B654" s="1112"/>
      <c r="C654" s="1114"/>
      <c r="D654" s="1114"/>
      <c r="E654" s="1114"/>
      <c r="F654" s="1112"/>
      <c r="G654" s="1112"/>
      <c r="H654" s="1112"/>
      <c r="I654" s="1113"/>
      <c r="J654" s="1113"/>
      <c r="K654" s="1113"/>
      <c r="L654" s="150">
        <f t="shared" si="36"/>
        <v>0</v>
      </c>
      <c r="M654" s="151">
        <f t="shared" si="37"/>
        <v>0</v>
      </c>
      <c r="N654" s="152">
        <f>+IF(OR($Q654=Parametres!$G$2,$Q654=Parametres!$G$3),I654,C654)</f>
        <v>0</v>
      </c>
      <c r="O654" s="152">
        <f>+IF(OR($Q654=Parametres!$G$2,$Q654=Parametres!$G$3),J654,D654)</f>
        <v>0</v>
      </c>
      <c r="P654" s="152">
        <f>+IF(OR($Q654=Parametres!$G$2,$Q654=Parametres!$G$3),K654,E654)</f>
        <v>0</v>
      </c>
      <c r="Q654" s="151">
        <f t="shared" si="46"/>
        <v>0</v>
      </c>
      <c r="R654" s="150">
        <f t="shared" si="46"/>
        <v>0</v>
      </c>
      <c r="S654" s="151">
        <f t="shared" si="46"/>
        <v>0</v>
      </c>
      <c r="T654" s="153" t="e">
        <f>+VLOOKUP($L654,Data_Validation!$A:$D,1,0)</f>
        <v>#N/A</v>
      </c>
      <c r="U654" s="153" t="e">
        <f>+VLOOKUP($L654,Data_Validation!$A:$D,3,0)</f>
        <v>#N/A</v>
      </c>
      <c r="V654" s="153" t="e">
        <f>+VLOOKUP($L654,Data_Validation!$A:$D,4,0)</f>
        <v>#N/A</v>
      </c>
      <c r="W654" s="153" t="e">
        <f>+VLOOKUP($L654,Data_Validation!$A:$E,5,0)</f>
        <v>#N/A</v>
      </c>
      <c r="X654" s="153" t="e">
        <f>+VLOOKUP($L654,Data_Validation!$A:$F,6,0)</f>
        <v>#N/A</v>
      </c>
    </row>
    <row r="655" spans="1:24" ht="15.75" customHeight="1">
      <c r="A655" s="1112"/>
      <c r="B655" s="1112"/>
      <c r="C655" s="1114"/>
      <c r="D655" s="1114"/>
      <c r="E655" s="1114"/>
      <c r="F655" s="1112"/>
      <c r="G655" s="1112"/>
      <c r="H655" s="1112"/>
      <c r="I655" s="1113"/>
      <c r="J655" s="1113"/>
      <c r="K655" s="1113"/>
      <c r="L655" s="150">
        <f t="shared" si="36"/>
        <v>0</v>
      </c>
      <c r="M655" s="151">
        <f t="shared" si="37"/>
        <v>0</v>
      </c>
      <c r="N655" s="152">
        <f>+IF(OR($Q655=Parametres!$G$2,$Q655=Parametres!$G$3),I655,C655)</f>
        <v>0</v>
      </c>
      <c r="O655" s="547">
        <f>+IF(OR($Q655=Parametres!$G$2,$Q655=Parametres!$G$3),J655,D655)</f>
        <v>0</v>
      </c>
      <c r="P655" s="152">
        <f>+IF(OR($Q655=Parametres!$G$2,$Q655=Parametres!$G$3),K655,E655)</f>
        <v>0</v>
      </c>
      <c r="Q655" s="151">
        <f t="shared" si="46"/>
        <v>0</v>
      </c>
      <c r="R655" s="150">
        <f t="shared" si="46"/>
        <v>0</v>
      </c>
      <c r="S655" s="151">
        <f t="shared" si="46"/>
        <v>0</v>
      </c>
      <c r="T655" s="153" t="e">
        <f>+VLOOKUP($L655,Data_Validation!$A:$D,1,0)</f>
        <v>#N/A</v>
      </c>
      <c r="U655" s="153" t="e">
        <f>+VLOOKUP($L655,Data_Validation!$A:$D,3,0)</f>
        <v>#N/A</v>
      </c>
      <c r="V655" s="153" t="e">
        <f>+VLOOKUP($L655,Data_Validation!$A:$D,4,0)</f>
        <v>#N/A</v>
      </c>
      <c r="W655" s="153" t="e">
        <f>+VLOOKUP($L655,Data_Validation!$A:$E,5,0)</f>
        <v>#N/A</v>
      </c>
      <c r="X655" s="153" t="e">
        <f>+VLOOKUP($L655,Data_Validation!$A:$F,6,0)</f>
        <v>#N/A</v>
      </c>
    </row>
    <row r="656" spans="1:24" ht="15.75" customHeight="1">
      <c r="A656" s="1112"/>
      <c r="B656" s="1112"/>
      <c r="C656" s="1114"/>
      <c r="D656" s="1114"/>
      <c r="E656" s="1114"/>
      <c r="F656" s="1112"/>
      <c r="G656" s="1112"/>
      <c r="H656" s="1112"/>
      <c r="I656" s="1113"/>
      <c r="J656" s="1113"/>
      <c r="K656" s="1113"/>
      <c r="L656" s="150">
        <f t="shared" si="36"/>
        <v>0</v>
      </c>
      <c r="M656" s="151">
        <f t="shared" si="37"/>
        <v>0</v>
      </c>
      <c r="N656" s="152">
        <f>+IF(OR($Q656=Parametres!$G$2,$Q656=Parametres!$G$3),I656,C656)</f>
        <v>0</v>
      </c>
      <c r="O656" s="547">
        <f>+IF(OR($Q656=Parametres!$G$2,$Q656=Parametres!$G$3),J656,D656)</f>
        <v>0</v>
      </c>
      <c r="P656" s="152">
        <f>+IF(OR($Q656=Parametres!$G$2,$Q656=Parametres!$G$3),K656,E656)</f>
        <v>0</v>
      </c>
      <c r="Q656" s="151">
        <f t="shared" si="46"/>
        <v>0</v>
      </c>
      <c r="R656" s="150">
        <f t="shared" si="46"/>
        <v>0</v>
      </c>
      <c r="S656" s="151">
        <f t="shared" si="46"/>
        <v>0</v>
      </c>
      <c r="T656" s="153" t="e">
        <f>+VLOOKUP($L656,Data_Validation!$A:$D,1,0)</f>
        <v>#N/A</v>
      </c>
      <c r="U656" s="153" t="e">
        <f>+VLOOKUP($L656,Data_Validation!$A:$D,3,0)</f>
        <v>#N/A</v>
      </c>
      <c r="V656" s="153" t="e">
        <f>+VLOOKUP($L656,Data_Validation!$A:$D,4,0)</f>
        <v>#N/A</v>
      </c>
      <c r="W656" s="153" t="e">
        <f>+VLOOKUP($L656,Data_Validation!$A:$E,5,0)</f>
        <v>#N/A</v>
      </c>
      <c r="X656" s="153" t="e">
        <f>+VLOOKUP($L656,Data_Validation!$A:$F,6,0)</f>
        <v>#N/A</v>
      </c>
    </row>
    <row r="657" spans="1:24" ht="15.75" customHeight="1">
      <c r="A657" s="1112"/>
      <c r="B657" s="1112"/>
      <c r="C657" s="1114"/>
      <c r="D657" s="1114"/>
      <c r="E657" s="1114"/>
      <c r="F657" s="1112"/>
      <c r="G657" s="1112"/>
      <c r="H657" s="1112"/>
      <c r="I657" s="1113"/>
      <c r="J657" s="1113"/>
      <c r="K657" s="1113"/>
      <c r="L657" s="150">
        <f t="shared" si="36"/>
        <v>0</v>
      </c>
      <c r="M657" s="151">
        <f t="shared" si="37"/>
        <v>0</v>
      </c>
      <c r="N657" s="152">
        <f>+IF(OR($Q657=Parametres!$G$2,$Q657=Parametres!$G$3),I657,C657)</f>
        <v>0</v>
      </c>
      <c r="O657" s="547">
        <f>+IF(OR($Q657=Parametres!$G$2,$Q657=Parametres!$G$3),J657,D657)</f>
        <v>0</v>
      </c>
      <c r="P657" s="152">
        <f>+IF(OR($Q657=Parametres!$G$2,$Q657=Parametres!$G$3),K657,E657)</f>
        <v>0</v>
      </c>
      <c r="Q657" s="151">
        <f t="shared" si="46"/>
        <v>0</v>
      </c>
      <c r="R657" s="150">
        <f t="shared" si="46"/>
        <v>0</v>
      </c>
      <c r="S657" s="151">
        <f t="shared" si="46"/>
        <v>0</v>
      </c>
      <c r="T657" s="153" t="e">
        <f>+VLOOKUP($L657,Data_Validation!$A:$D,1,0)</f>
        <v>#N/A</v>
      </c>
      <c r="U657" s="153" t="e">
        <f>+VLOOKUP($L657,Data_Validation!$A:$D,3,0)</f>
        <v>#N/A</v>
      </c>
      <c r="V657" s="153" t="e">
        <f>+VLOOKUP($L657,Data_Validation!$A:$D,4,0)</f>
        <v>#N/A</v>
      </c>
      <c r="W657" s="153" t="e">
        <f>+VLOOKUP($L657,Data_Validation!$A:$E,5,0)</f>
        <v>#N/A</v>
      </c>
      <c r="X657" s="153" t="e">
        <f>+VLOOKUP($L657,Data_Validation!$A:$F,6,0)</f>
        <v>#N/A</v>
      </c>
    </row>
    <row r="658" spans="1:24" ht="15.75" customHeight="1">
      <c r="A658" s="1112"/>
      <c r="B658" s="1112"/>
      <c r="C658" s="1114"/>
      <c r="D658" s="1114"/>
      <c r="E658" s="1114"/>
      <c r="F658" s="1112"/>
      <c r="G658" s="1112"/>
      <c r="H658" s="1112"/>
      <c r="I658" s="1113"/>
      <c r="J658" s="1113"/>
      <c r="K658" s="1113"/>
      <c r="L658" s="150">
        <f t="shared" si="36"/>
        <v>0</v>
      </c>
      <c r="M658" s="151">
        <f t="shared" si="37"/>
        <v>0</v>
      </c>
      <c r="N658" s="152">
        <f>+IF(OR($Q658=Parametres!$G$2,$Q658=Parametres!$G$3),I658,C658)</f>
        <v>0</v>
      </c>
      <c r="O658" s="547">
        <f>+IF(OR($Q658=Parametres!$G$2,$Q658=Parametres!$G$3),J658,D658)</f>
        <v>0</v>
      </c>
      <c r="P658" s="152">
        <f>+IF(OR($Q658=Parametres!$G$2,$Q658=Parametres!$G$3),K658,E658)</f>
        <v>0</v>
      </c>
      <c r="Q658" s="151">
        <f t="shared" ref="Q658:S673" si="47">+F658</f>
        <v>0</v>
      </c>
      <c r="R658" s="150">
        <f t="shared" si="47"/>
        <v>0</v>
      </c>
      <c r="S658" s="151">
        <f t="shared" si="47"/>
        <v>0</v>
      </c>
      <c r="T658" s="153" t="e">
        <f>+VLOOKUP($L658,Data_Validation!$A:$D,1,0)</f>
        <v>#N/A</v>
      </c>
      <c r="U658" s="153" t="e">
        <f>+VLOOKUP($L658,Data_Validation!$A:$D,3,0)</f>
        <v>#N/A</v>
      </c>
      <c r="V658" s="153" t="e">
        <f>+VLOOKUP($L658,Data_Validation!$A:$D,4,0)</f>
        <v>#N/A</v>
      </c>
      <c r="W658" s="153" t="e">
        <f>+VLOOKUP($L658,Data_Validation!$A:$E,5,0)</f>
        <v>#N/A</v>
      </c>
      <c r="X658" s="153" t="e">
        <f>+VLOOKUP($L658,Data_Validation!$A:$F,6,0)</f>
        <v>#N/A</v>
      </c>
    </row>
    <row r="659" spans="1:24" ht="15.75" customHeight="1">
      <c r="A659" s="1112"/>
      <c r="B659" s="1112"/>
      <c r="C659" s="1114"/>
      <c r="D659" s="1114"/>
      <c r="E659" s="1114"/>
      <c r="F659" s="1112"/>
      <c r="G659" s="1112"/>
      <c r="H659" s="1112"/>
      <c r="I659" s="1113"/>
      <c r="J659" s="1113"/>
      <c r="K659" s="1113"/>
      <c r="L659" s="150">
        <f t="shared" si="36"/>
        <v>0</v>
      </c>
      <c r="M659" s="151">
        <f t="shared" si="37"/>
        <v>0</v>
      </c>
      <c r="N659" s="152">
        <f>+IF(OR($Q659=Parametres!$G$2,$Q659=Parametres!$G$3),I659,C659)</f>
        <v>0</v>
      </c>
      <c r="O659" s="152">
        <f>+IF(OR($Q659=Parametres!$G$2,$Q659=Parametres!$G$3),J659,D659)</f>
        <v>0</v>
      </c>
      <c r="P659" s="152">
        <f>+IF(OR($Q659=Parametres!$G$2,$Q659=Parametres!$G$3),K659,E659)</f>
        <v>0</v>
      </c>
      <c r="Q659" s="151">
        <f t="shared" si="47"/>
        <v>0</v>
      </c>
      <c r="R659" s="150">
        <f t="shared" si="47"/>
        <v>0</v>
      </c>
      <c r="S659" s="151">
        <f t="shared" si="47"/>
        <v>0</v>
      </c>
      <c r="T659" s="153" t="e">
        <f>+VLOOKUP($L659,Data_Validation!$A:$D,1,0)</f>
        <v>#N/A</v>
      </c>
      <c r="U659" s="153" t="e">
        <f>+VLOOKUP($L659,Data_Validation!$A:$D,3,0)</f>
        <v>#N/A</v>
      </c>
      <c r="V659" s="153" t="e">
        <f>+VLOOKUP($L659,Data_Validation!$A:$D,4,0)</f>
        <v>#N/A</v>
      </c>
      <c r="W659" s="153" t="e">
        <f>+VLOOKUP($L659,Data_Validation!$A:$E,5,0)</f>
        <v>#N/A</v>
      </c>
      <c r="X659" s="153" t="e">
        <f>+VLOOKUP($L659,Data_Validation!$A:$F,6,0)</f>
        <v>#N/A</v>
      </c>
    </row>
    <row r="660" spans="1:24" ht="15.75" customHeight="1">
      <c r="A660" s="1112"/>
      <c r="B660" s="1112"/>
      <c r="C660" s="1114"/>
      <c r="D660" s="1114"/>
      <c r="E660" s="1114"/>
      <c r="F660" s="1112"/>
      <c r="G660" s="1112"/>
      <c r="H660" s="1112"/>
      <c r="I660" s="1113"/>
      <c r="J660" s="1113"/>
      <c r="K660" s="1113"/>
      <c r="L660" s="150">
        <f t="shared" si="36"/>
        <v>0</v>
      </c>
      <c r="M660" s="151">
        <f t="shared" si="37"/>
        <v>0</v>
      </c>
      <c r="N660" s="152">
        <f>+IF(OR($Q660=Parametres!$G$2,$Q660=Parametres!$G$3),I660,C660)</f>
        <v>0</v>
      </c>
      <c r="O660" s="152">
        <f>+IF(OR($Q660=Parametres!$G$2,$Q660=Parametres!$G$3),J660,D660)</f>
        <v>0</v>
      </c>
      <c r="P660" s="152">
        <f>+IF(OR($Q660=Parametres!$G$2,$Q660=Parametres!$G$3),K660,E660)</f>
        <v>0</v>
      </c>
      <c r="Q660" s="151">
        <f t="shared" si="47"/>
        <v>0</v>
      </c>
      <c r="R660" s="150">
        <f t="shared" si="47"/>
        <v>0</v>
      </c>
      <c r="S660" s="151">
        <f t="shared" si="47"/>
        <v>0</v>
      </c>
      <c r="T660" s="153" t="e">
        <f>+VLOOKUP($L660,Data_Validation!$A:$D,1,0)</f>
        <v>#N/A</v>
      </c>
      <c r="U660" s="153" t="e">
        <f>+VLOOKUP($L660,Data_Validation!$A:$D,3,0)</f>
        <v>#N/A</v>
      </c>
      <c r="V660" s="153" t="e">
        <f>+VLOOKUP($L660,Data_Validation!$A:$D,4,0)</f>
        <v>#N/A</v>
      </c>
      <c r="W660" s="153" t="e">
        <f>+VLOOKUP($L660,Data_Validation!$A:$E,5,0)</f>
        <v>#N/A</v>
      </c>
      <c r="X660" s="153" t="e">
        <f>+VLOOKUP($L660,Data_Validation!$A:$F,6,0)</f>
        <v>#N/A</v>
      </c>
    </row>
    <row r="661" spans="1:24" ht="15.75" customHeight="1">
      <c r="A661" s="1112"/>
      <c r="B661" s="1112"/>
      <c r="C661" s="1114"/>
      <c r="D661" s="1114"/>
      <c r="E661" s="1114"/>
      <c r="F661" s="1112"/>
      <c r="G661" s="1112"/>
      <c r="H661" s="1112"/>
      <c r="I661" s="1113"/>
      <c r="J661" s="1113"/>
      <c r="K661" s="1113"/>
      <c r="L661" s="150">
        <f t="shared" si="36"/>
        <v>0</v>
      </c>
      <c r="M661" s="151">
        <f t="shared" si="37"/>
        <v>0</v>
      </c>
      <c r="N661" s="152">
        <f>+IF(OR($Q661=Parametres!$G$2,$Q661=Parametres!$G$3),I661,C661)</f>
        <v>0</v>
      </c>
      <c r="O661" s="152">
        <f>+IF(OR($Q661=Parametres!$G$2,$Q661=Parametres!$G$3),J661,D661)</f>
        <v>0</v>
      </c>
      <c r="P661" s="152">
        <f>+IF(OR($Q661=Parametres!$G$2,$Q661=Parametres!$G$3),K661,E661)</f>
        <v>0</v>
      </c>
      <c r="Q661" s="151">
        <f t="shared" si="47"/>
        <v>0</v>
      </c>
      <c r="R661" s="150">
        <f t="shared" si="47"/>
        <v>0</v>
      </c>
      <c r="S661" s="151">
        <f t="shared" si="47"/>
        <v>0</v>
      </c>
      <c r="T661" s="153" t="e">
        <f>+VLOOKUP($L661,Data_Validation!$A:$D,1,0)</f>
        <v>#N/A</v>
      </c>
      <c r="U661" s="153" t="e">
        <f>+VLOOKUP($L661,Data_Validation!$A:$D,3,0)</f>
        <v>#N/A</v>
      </c>
      <c r="V661" s="153" t="e">
        <f>+VLOOKUP($L661,Data_Validation!$A:$D,4,0)</f>
        <v>#N/A</v>
      </c>
      <c r="W661" s="153" t="e">
        <f>+VLOOKUP($L661,Data_Validation!$A:$E,5,0)</f>
        <v>#N/A</v>
      </c>
      <c r="X661" s="153" t="e">
        <f>+VLOOKUP($L661,Data_Validation!$A:$F,6,0)</f>
        <v>#N/A</v>
      </c>
    </row>
    <row r="662" spans="1:24" ht="15.75" customHeight="1">
      <c r="A662" s="1112"/>
      <c r="B662" s="1112"/>
      <c r="C662" s="1114"/>
      <c r="D662" s="1114"/>
      <c r="E662" s="1114"/>
      <c r="F662" s="1112"/>
      <c r="G662" s="1112"/>
      <c r="H662" s="1112"/>
      <c r="I662" s="1113"/>
      <c r="J662" s="1113"/>
      <c r="K662" s="1113"/>
      <c r="L662" s="150">
        <f t="shared" si="36"/>
        <v>0</v>
      </c>
      <c r="M662" s="151">
        <f t="shared" si="37"/>
        <v>0</v>
      </c>
      <c r="N662" s="152">
        <f>+IF(OR($Q662=Parametres!$G$2,$Q662=Parametres!$G$3),I662,C662)</f>
        <v>0</v>
      </c>
      <c r="O662" s="566">
        <f>+IF(OR($Q662=Parametres!$G$2,$Q662=Parametres!$G$3),J662,D662)</f>
        <v>0</v>
      </c>
      <c r="P662" s="152">
        <f>+IF(OR($Q662=Parametres!$G$2,$Q662=Parametres!$G$3),K662,E662)</f>
        <v>0</v>
      </c>
      <c r="Q662" s="151">
        <f t="shared" si="47"/>
        <v>0</v>
      </c>
      <c r="R662" s="150">
        <f t="shared" si="47"/>
        <v>0</v>
      </c>
      <c r="S662" s="151">
        <f t="shared" si="47"/>
        <v>0</v>
      </c>
      <c r="T662" s="153" t="e">
        <f>+VLOOKUP($L662,Data_Validation!$A:$D,1,0)</f>
        <v>#N/A</v>
      </c>
      <c r="U662" s="153" t="e">
        <f>+VLOOKUP($L662,Data_Validation!$A:$D,3,0)</f>
        <v>#N/A</v>
      </c>
      <c r="V662" s="153" t="e">
        <f>+VLOOKUP($L662,Data_Validation!$A:$D,4,0)</f>
        <v>#N/A</v>
      </c>
      <c r="W662" s="153" t="e">
        <f>+VLOOKUP($L662,Data_Validation!$A:$E,5,0)</f>
        <v>#N/A</v>
      </c>
      <c r="X662" s="153" t="e">
        <f>+VLOOKUP($L662,Data_Validation!$A:$F,6,0)</f>
        <v>#N/A</v>
      </c>
    </row>
    <row r="663" spans="1:24" ht="15.75" customHeight="1">
      <c r="A663" s="1112"/>
      <c r="B663" s="1112"/>
      <c r="C663" s="1114"/>
      <c r="D663" s="1114"/>
      <c r="E663" s="1114"/>
      <c r="F663" s="1112"/>
      <c r="G663" s="1112"/>
      <c r="H663" s="1112"/>
      <c r="I663" s="1113"/>
      <c r="J663" s="1113"/>
      <c r="K663" s="1113"/>
      <c r="L663" s="150">
        <f t="shared" si="36"/>
        <v>0</v>
      </c>
      <c r="M663" s="151">
        <f t="shared" si="37"/>
        <v>0</v>
      </c>
      <c r="N663" s="152">
        <f>+IF(OR($Q663=Parametres!$G$2,$Q663=Parametres!$G$3),I663,C663)</f>
        <v>0</v>
      </c>
      <c r="O663" s="152">
        <f>+IF(OR($Q663=Parametres!$G$2,$Q663=Parametres!$G$3),J663,D663)</f>
        <v>0</v>
      </c>
      <c r="P663" s="152">
        <f>+IF(OR($Q663=Parametres!$G$2,$Q663=Parametres!$G$3),K663,E663)</f>
        <v>0</v>
      </c>
      <c r="Q663" s="151">
        <f t="shared" si="47"/>
        <v>0</v>
      </c>
      <c r="R663" s="150">
        <f t="shared" si="47"/>
        <v>0</v>
      </c>
      <c r="S663" s="151">
        <f t="shared" si="47"/>
        <v>0</v>
      </c>
      <c r="T663" s="153" t="e">
        <f>+VLOOKUP($L663,Data_Validation!$A:$D,1,0)</f>
        <v>#N/A</v>
      </c>
      <c r="U663" s="153" t="e">
        <f>+VLOOKUP($L663,Data_Validation!$A:$D,3,0)</f>
        <v>#N/A</v>
      </c>
      <c r="V663" s="153" t="e">
        <f>+VLOOKUP($L663,Data_Validation!$A:$D,4,0)</f>
        <v>#N/A</v>
      </c>
      <c r="W663" s="153" t="e">
        <f>+VLOOKUP($L663,Data_Validation!$A:$E,5,0)</f>
        <v>#N/A</v>
      </c>
      <c r="X663" s="153" t="e">
        <f>+VLOOKUP($L663,Data_Validation!$A:$F,6,0)</f>
        <v>#N/A</v>
      </c>
    </row>
    <row r="664" spans="1:24" ht="15.75" customHeight="1">
      <c r="A664" s="1112"/>
      <c r="B664" s="1112"/>
      <c r="C664" s="1114"/>
      <c r="D664" s="1114"/>
      <c r="E664" s="1114"/>
      <c r="F664" s="1112"/>
      <c r="G664" s="1112"/>
      <c r="H664" s="1112"/>
      <c r="I664" s="1113"/>
      <c r="J664" s="1113"/>
      <c r="K664" s="1113"/>
      <c r="L664" s="150">
        <f t="shared" si="36"/>
        <v>0</v>
      </c>
      <c r="M664" s="151">
        <f t="shared" si="37"/>
        <v>0</v>
      </c>
      <c r="N664" s="152">
        <f>+IF(OR($Q664=Parametres!$G$2,$Q664=Parametres!$G$3),I664,C664)</f>
        <v>0</v>
      </c>
      <c r="O664" s="152">
        <f>+IF(OR($Q664=Parametres!$G$2,$Q664=Parametres!$G$3),J664,D664)</f>
        <v>0</v>
      </c>
      <c r="P664" s="152">
        <f>+IF(OR($Q664=Parametres!$G$2,$Q664=Parametres!$G$3),K664,E664)</f>
        <v>0</v>
      </c>
      <c r="Q664" s="151">
        <f t="shared" si="47"/>
        <v>0</v>
      </c>
      <c r="R664" s="150">
        <f t="shared" si="47"/>
        <v>0</v>
      </c>
      <c r="S664" s="151">
        <f t="shared" si="47"/>
        <v>0</v>
      </c>
      <c r="T664" s="153" t="e">
        <f>+VLOOKUP($L664,Data_Validation!$A:$D,1,0)</f>
        <v>#N/A</v>
      </c>
      <c r="U664" s="153" t="e">
        <f>+VLOOKUP($L664,Data_Validation!$A:$D,3,0)</f>
        <v>#N/A</v>
      </c>
      <c r="V664" s="153" t="e">
        <f>+VLOOKUP($L664,Data_Validation!$A:$D,4,0)</f>
        <v>#N/A</v>
      </c>
      <c r="W664" s="153" t="e">
        <f>+VLOOKUP($L664,Data_Validation!$A:$E,5,0)</f>
        <v>#N/A</v>
      </c>
      <c r="X664" s="153" t="e">
        <f>+VLOOKUP($L664,Data_Validation!$A:$F,6,0)</f>
        <v>#N/A</v>
      </c>
    </row>
    <row r="665" spans="1:24" ht="15.75" customHeight="1">
      <c r="A665" s="1112"/>
      <c r="B665" s="1112"/>
      <c r="C665" s="1114"/>
      <c r="D665" s="1114"/>
      <c r="E665" s="1114"/>
      <c r="F665" s="1112"/>
      <c r="G665" s="1112"/>
      <c r="H665" s="1112"/>
      <c r="I665" s="1113"/>
      <c r="J665" s="1113"/>
      <c r="K665" s="1113"/>
      <c r="L665" s="150">
        <f t="shared" si="36"/>
        <v>0</v>
      </c>
      <c r="M665" s="151">
        <f t="shared" si="37"/>
        <v>0</v>
      </c>
      <c r="N665" s="152">
        <f>+IF(OR($Q665=Parametres!$G$2,$Q665=Parametres!$G$3),I665,C665)</f>
        <v>0</v>
      </c>
      <c r="O665" s="152">
        <f>+IF(OR($Q665=Parametres!$G$2,$Q665=Parametres!$G$3),J665,D665)</f>
        <v>0</v>
      </c>
      <c r="P665" s="152">
        <f>+IF(OR($Q665=Parametres!$G$2,$Q665=Parametres!$G$3),K665,E665)</f>
        <v>0</v>
      </c>
      <c r="Q665" s="151">
        <f t="shared" si="47"/>
        <v>0</v>
      </c>
      <c r="R665" s="150">
        <f t="shared" si="47"/>
        <v>0</v>
      </c>
      <c r="S665" s="151">
        <f t="shared" si="47"/>
        <v>0</v>
      </c>
      <c r="T665" s="153" t="e">
        <f>+VLOOKUP($L665,Data_Validation!$A:$D,1,0)</f>
        <v>#N/A</v>
      </c>
      <c r="U665" s="153" t="e">
        <f>+VLOOKUP($L665,Data_Validation!$A:$D,3,0)</f>
        <v>#N/A</v>
      </c>
      <c r="V665" s="153" t="e">
        <f>+VLOOKUP($L665,Data_Validation!$A:$D,4,0)</f>
        <v>#N/A</v>
      </c>
      <c r="W665" s="153" t="e">
        <f>+VLOOKUP($L665,Data_Validation!$A:$E,5,0)</f>
        <v>#N/A</v>
      </c>
      <c r="X665" s="153" t="e">
        <f>+VLOOKUP($L665,Data_Validation!$A:$F,6,0)</f>
        <v>#N/A</v>
      </c>
    </row>
    <row r="666" spans="1:24" ht="15.75" customHeight="1">
      <c r="A666" s="1112"/>
      <c r="B666" s="1112"/>
      <c r="C666" s="1114"/>
      <c r="D666" s="1114"/>
      <c r="E666" s="1114"/>
      <c r="F666" s="1112"/>
      <c r="G666" s="1112"/>
      <c r="H666" s="1112"/>
      <c r="I666" s="1113"/>
      <c r="J666" s="1113"/>
      <c r="K666" s="1113"/>
      <c r="L666" s="150">
        <f t="shared" si="36"/>
        <v>0</v>
      </c>
      <c r="M666" s="151">
        <f t="shared" si="37"/>
        <v>0</v>
      </c>
      <c r="N666" s="152">
        <f>+IF(OR($Q666=Parametres!$G$2,$Q666=Parametres!$G$3),I666,C666)</f>
        <v>0</v>
      </c>
      <c r="O666" s="152">
        <f>+IF(OR($Q666=Parametres!$G$2,$Q666=Parametres!$G$3),J666,D666)</f>
        <v>0</v>
      </c>
      <c r="P666" s="152">
        <f>+IF(OR($Q666=Parametres!$G$2,$Q666=Parametres!$G$3),K666,E666)</f>
        <v>0</v>
      </c>
      <c r="Q666" s="151">
        <f t="shared" si="47"/>
        <v>0</v>
      </c>
      <c r="R666" s="150">
        <f t="shared" si="47"/>
        <v>0</v>
      </c>
      <c r="S666" s="151">
        <f t="shared" si="47"/>
        <v>0</v>
      </c>
      <c r="T666" s="153" t="e">
        <f>+VLOOKUP($L666,Data_Validation!$A:$D,1,0)</f>
        <v>#N/A</v>
      </c>
      <c r="U666" s="153" t="e">
        <f>+VLOOKUP($L666,Data_Validation!$A:$D,3,0)</f>
        <v>#N/A</v>
      </c>
      <c r="V666" s="153" t="e">
        <f>+VLOOKUP($L666,Data_Validation!$A:$D,4,0)</f>
        <v>#N/A</v>
      </c>
      <c r="W666" s="153" t="e">
        <f>+VLOOKUP($L666,Data_Validation!$A:$E,5,0)</f>
        <v>#N/A</v>
      </c>
      <c r="X666" s="153" t="e">
        <f>+VLOOKUP($L666,Data_Validation!$A:$F,6,0)</f>
        <v>#N/A</v>
      </c>
    </row>
    <row r="667" spans="1:24" ht="15.75" customHeight="1">
      <c r="A667" s="1112"/>
      <c r="B667" s="1112"/>
      <c r="C667" s="1114"/>
      <c r="D667" s="1114"/>
      <c r="E667" s="1114"/>
      <c r="F667" s="1112"/>
      <c r="G667" s="1112"/>
      <c r="H667" s="1112"/>
      <c r="I667" s="1113"/>
      <c r="J667" s="1113"/>
      <c r="K667" s="1113"/>
      <c r="L667" s="150">
        <f t="shared" si="36"/>
        <v>0</v>
      </c>
      <c r="M667" s="151">
        <f t="shared" si="37"/>
        <v>0</v>
      </c>
      <c r="N667" s="152">
        <f>+IF(OR($Q667=Parametres!$G$2,$Q667=Parametres!$G$3),I667,C667)</f>
        <v>0</v>
      </c>
      <c r="O667" s="152">
        <f>+IF(OR($Q667=Parametres!$G$2,$Q667=Parametres!$G$3),J667,D667)</f>
        <v>0</v>
      </c>
      <c r="P667" s="152">
        <f>+IF(OR($Q667=Parametres!$G$2,$Q667=Parametres!$G$3),K667,E667)</f>
        <v>0</v>
      </c>
      <c r="Q667" s="151">
        <f t="shared" si="47"/>
        <v>0</v>
      </c>
      <c r="R667" s="150">
        <f t="shared" si="47"/>
        <v>0</v>
      </c>
      <c r="S667" s="151">
        <f t="shared" si="47"/>
        <v>0</v>
      </c>
      <c r="T667" s="153" t="e">
        <f>+VLOOKUP($L667,Data_Validation!$A:$D,1,0)</f>
        <v>#N/A</v>
      </c>
      <c r="U667" s="153" t="e">
        <f>+VLOOKUP($L667,Data_Validation!$A:$D,3,0)</f>
        <v>#N/A</v>
      </c>
      <c r="V667" s="153" t="e">
        <f>+VLOOKUP($L667,Data_Validation!$A:$D,4,0)</f>
        <v>#N/A</v>
      </c>
      <c r="W667" s="153" t="e">
        <f>+VLOOKUP($L667,Data_Validation!$A:$E,5,0)</f>
        <v>#N/A</v>
      </c>
      <c r="X667" s="153" t="e">
        <f>+VLOOKUP($L667,Data_Validation!$A:$F,6,0)</f>
        <v>#N/A</v>
      </c>
    </row>
    <row r="668" spans="1:24" ht="15.75" customHeight="1">
      <c r="A668" s="1112"/>
      <c r="B668" s="1112"/>
      <c r="C668" s="1114"/>
      <c r="D668" s="1114"/>
      <c r="E668" s="1114"/>
      <c r="F668" s="1112"/>
      <c r="G668" s="1112"/>
      <c r="H668" s="1112"/>
      <c r="I668" s="1113"/>
      <c r="J668" s="1113"/>
      <c r="K668" s="1113"/>
      <c r="L668" s="150">
        <f t="shared" si="36"/>
        <v>0</v>
      </c>
      <c r="M668" s="151">
        <f t="shared" si="37"/>
        <v>0</v>
      </c>
      <c r="N668" s="152">
        <f>+IF(OR($Q668=Parametres!$G$2,$Q668=Parametres!$G$3),I668,C668)</f>
        <v>0</v>
      </c>
      <c r="O668" s="547">
        <f>+IF(OR($Q668=Parametres!$G$2,$Q668=Parametres!$G$3),J668,D668)</f>
        <v>0</v>
      </c>
      <c r="P668" s="152">
        <f>+IF(OR($Q668=Parametres!$G$2,$Q668=Parametres!$G$3),K668,E668)</f>
        <v>0</v>
      </c>
      <c r="Q668" s="151">
        <f t="shared" si="47"/>
        <v>0</v>
      </c>
      <c r="R668" s="150">
        <f t="shared" si="47"/>
        <v>0</v>
      </c>
      <c r="S668" s="151">
        <f t="shared" si="47"/>
        <v>0</v>
      </c>
      <c r="T668" s="153" t="e">
        <f>+VLOOKUP($L668,Data_Validation!$A:$D,1,0)</f>
        <v>#N/A</v>
      </c>
      <c r="U668" s="153" t="e">
        <f>+VLOOKUP($L668,Data_Validation!$A:$D,3,0)</f>
        <v>#N/A</v>
      </c>
      <c r="V668" s="153" t="e">
        <f>+VLOOKUP($L668,Data_Validation!$A:$D,4,0)</f>
        <v>#N/A</v>
      </c>
      <c r="W668" s="153" t="e">
        <f>+VLOOKUP($L668,Data_Validation!$A:$E,5,0)</f>
        <v>#N/A</v>
      </c>
      <c r="X668" s="153" t="e">
        <f>+VLOOKUP($L668,Data_Validation!$A:$F,6,0)</f>
        <v>#N/A</v>
      </c>
    </row>
    <row r="669" spans="1:24" ht="15.75" customHeight="1">
      <c r="A669" s="1112"/>
      <c r="B669" s="1112"/>
      <c r="C669" s="1114"/>
      <c r="D669" s="1114"/>
      <c r="E669" s="1114"/>
      <c r="F669" s="1112"/>
      <c r="G669" s="1112"/>
      <c r="H669" s="1112"/>
      <c r="I669" s="1113"/>
      <c r="J669" s="1113"/>
      <c r="K669" s="1113"/>
      <c r="L669" s="150">
        <f t="shared" si="36"/>
        <v>0</v>
      </c>
      <c r="M669" s="151">
        <f t="shared" si="37"/>
        <v>0</v>
      </c>
      <c r="N669" s="152">
        <f>+IF(OR($Q669=Parametres!$G$2,$Q669=Parametres!$G$3),I669,C669)</f>
        <v>0</v>
      </c>
      <c r="O669" s="547">
        <f>+IF(OR($Q669=Parametres!$G$2,$Q669=Parametres!$G$3),J669,D669)</f>
        <v>0</v>
      </c>
      <c r="P669" s="152">
        <f>+IF(OR($Q669=Parametres!$G$2,$Q669=Parametres!$G$3),K669,E669)</f>
        <v>0</v>
      </c>
      <c r="Q669" s="151">
        <f t="shared" si="47"/>
        <v>0</v>
      </c>
      <c r="R669" s="150">
        <f t="shared" si="47"/>
        <v>0</v>
      </c>
      <c r="S669" s="151">
        <f t="shared" si="47"/>
        <v>0</v>
      </c>
      <c r="T669" s="153" t="e">
        <f>+VLOOKUP($L669,Data_Validation!$A:$D,1,0)</f>
        <v>#N/A</v>
      </c>
      <c r="U669" s="153" t="e">
        <f>+VLOOKUP($L669,Data_Validation!$A:$D,3,0)</f>
        <v>#N/A</v>
      </c>
      <c r="V669" s="153" t="e">
        <f>+VLOOKUP($L669,Data_Validation!$A:$D,4,0)</f>
        <v>#N/A</v>
      </c>
      <c r="W669" s="153" t="e">
        <f>+VLOOKUP($L669,Data_Validation!$A:$E,5,0)</f>
        <v>#N/A</v>
      </c>
      <c r="X669" s="153" t="e">
        <f>+VLOOKUP($L669,Data_Validation!$A:$F,6,0)</f>
        <v>#N/A</v>
      </c>
    </row>
    <row r="670" spans="1:24" ht="15.75" customHeight="1">
      <c r="A670" s="1112"/>
      <c r="B670" s="1112"/>
      <c r="C670" s="1114"/>
      <c r="D670" s="1114"/>
      <c r="E670" s="1114"/>
      <c r="F670" s="1112"/>
      <c r="G670" s="1112"/>
      <c r="H670" s="1112"/>
      <c r="I670" s="1113"/>
      <c r="J670" s="1113"/>
      <c r="K670" s="1113"/>
      <c r="L670" s="150">
        <f t="shared" si="36"/>
        <v>0</v>
      </c>
      <c r="M670" s="151">
        <f t="shared" si="37"/>
        <v>0</v>
      </c>
      <c r="N670" s="152">
        <f>+IF(OR($Q670=Parametres!$G$2,$Q670=Parametres!$G$3),I670,C670)</f>
        <v>0</v>
      </c>
      <c r="O670" s="152">
        <f>+IF(OR($Q670=Parametres!$G$2,$Q670=Parametres!$G$3),J670,D670)</f>
        <v>0</v>
      </c>
      <c r="P670" s="152">
        <f>+IF(OR($Q670=Parametres!$G$2,$Q670=Parametres!$G$3),K670,E670)</f>
        <v>0</v>
      </c>
      <c r="Q670" s="151">
        <f t="shared" si="47"/>
        <v>0</v>
      </c>
      <c r="R670" s="150">
        <f t="shared" si="47"/>
        <v>0</v>
      </c>
      <c r="S670" s="151">
        <f t="shared" si="47"/>
        <v>0</v>
      </c>
      <c r="T670" s="153" t="e">
        <f>+VLOOKUP($L670,Data_Validation!$A:$D,1,0)</f>
        <v>#N/A</v>
      </c>
      <c r="U670" s="153" t="e">
        <f>+VLOOKUP($L670,Data_Validation!$A:$D,3,0)</f>
        <v>#N/A</v>
      </c>
      <c r="V670" s="153" t="e">
        <f>+VLOOKUP($L670,Data_Validation!$A:$D,4,0)</f>
        <v>#N/A</v>
      </c>
      <c r="W670" s="153" t="e">
        <f>+VLOOKUP($L670,Data_Validation!$A:$E,5,0)</f>
        <v>#N/A</v>
      </c>
      <c r="X670" s="153" t="e">
        <f>+VLOOKUP($L670,Data_Validation!$A:$F,6,0)</f>
        <v>#N/A</v>
      </c>
    </row>
    <row r="671" spans="1:24" ht="15.75" customHeight="1">
      <c r="A671" s="1112"/>
      <c r="B671" s="1112"/>
      <c r="C671" s="1114"/>
      <c r="D671" s="1114"/>
      <c r="E671" s="1114"/>
      <c r="F671" s="1112"/>
      <c r="G671" s="1112"/>
      <c r="H671" s="1112"/>
      <c r="I671" s="1113"/>
      <c r="J671" s="1113"/>
      <c r="K671" s="1113"/>
      <c r="L671" s="150">
        <f t="shared" si="36"/>
        <v>0</v>
      </c>
      <c r="M671" s="151">
        <f t="shared" si="37"/>
        <v>0</v>
      </c>
      <c r="N671" s="152">
        <f>+IF(OR($Q671=Parametres!$G$2,$Q671=Parametres!$G$3),I671,C671)</f>
        <v>0</v>
      </c>
      <c r="O671" s="547">
        <f>+IF(OR($Q671=Parametres!$G$2,$Q671=Parametres!$G$3),J671,D671)</f>
        <v>0</v>
      </c>
      <c r="P671" s="152">
        <f>+IF(OR($Q671=Parametres!$G$2,$Q671=Parametres!$G$3),K671,E671)</f>
        <v>0</v>
      </c>
      <c r="Q671" s="151">
        <f t="shared" si="47"/>
        <v>0</v>
      </c>
      <c r="R671" s="150">
        <f t="shared" si="47"/>
        <v>0</v>
      </c>
      <c r="S671" s="151">
        <f t="shared" si="47"/>
        <v>0</v>
      </c>
      <c r="T671" s="153" t="e">
        <f>+VLOOKUP($L671,Data_Validation!$A:$D,1,0)</f>
        <v>#N/A</v>
      </c>
      <c r="U671" s="153" t="e">
        <f>+VLOOKUP($L671,Data_Validation!$A:$D,3,0)</f>
        <v>#N/A</v>
      </c>
      <c r="V671" s="153" t="e">
        <f>+VLOOKUP($L671,Data_Validation!$A:$D,4,0)</f>
        <v>#N/A</v>
      </c>
      <c r="W671" s="153" t="e">
        <f>+VLOOKUP($L671,Data_Validation!$A:$E,5,0)</f>
        <v>#N/A</v>
      </c>
      <c r="X671" s="153" t="e">
        <f>+VLOOKUP($L671,Data_Validation!$A:$F,6,0)</f>
        <v>#N/A</v>
      </c>
    </row>
    <row r="672" spans="1:24" ht="15.75" customHeight="1">
      <c r="A672" s="1112"/>
      <c r="B672" s="1112"/>
      <c r="C672" s="1114"/>
      <c r="D672" s="1114"/>
      <c r="E672" s="1114"/>
      <c r="F672" s="1112"/>
      <c r="G672" s="1112"/>
      <c r="H672" s="1112"/>
      <c r="I672" s="1113"/>
      <c r="J672" s="1113"/>
      <c r="K672" s="1113"/>
      <c r="L672" s="150">
        <f t="shared" si="36"/>
        <v>0</v>
      </c>
      <c r="M672" s="151">
        <f t="shared" si="37"/>
        <v>0</v>
      </c>
      <c r="N672" s="152">
        <f>+IF(OR($Q672=Parametres!$G$2,$Q672=Parametres!$G$3),I672,C672)</f>
        <v>0</v>
      </c>
      <c r="O672" s="547">
        <f>+IF(OR($Q672=Parametres!$G$2,$Q672=Parametres!$G$3),J672,D672)</f>
        <v>0</v>
      </c>
      <c r="P672" s="152">
        <f>+IF(OR($Q672=Parametres!$G$2,$Q672=Parametres!$G$3),K672,E672)</f>
        <v>0</v>
      </c>
      <c r="Q672" s="151">
        <f t="shared" si="47"/>
        <v>0</v>
      </c>
      <c r="R672" s="150">
        <f t="shared" si="47"/>
        <v>0</v>
      </c>
      <c r="S672" s="151">
        <f t="shared" si="47"/>
        <v>0</v>
      </c>
      <c r="T672" s="153" t="e">
        <f>+VLOOKUP($L672,Data_Validation!$A:$D,1,0)</f>
        <v>#N/A</v>
      </c>
      <c r="U672" s="153" t="e">
        <f>+VLOOKUP($L672,Data_Validation!$A:$D,3,0)</f>
        <v>#N/A</v>
      </c>
      <c r="V672" s="153" t="e">
        <f>+VLOOKUP($L672,Data_Validation!$A:$D,4,0)</f>
        <v>#N/A</v>
      </c>
      <c r="W672" s="153" t="e">
        <f>+VLOOKUP($L672,Data_Validation!$A:$E,5,0)</f>
        <v>#N/A</v>
      </c>
      <c r="X672" s="153" t="e">
        <f>+VLOOKUP($L672,Data_Validation!$A:$F,6,0)</f>
        <v>#N/A</v>
      </c>
    </row>
    <row r="673" spans="1:24" ht="15.75" customHeight="1">
      <c r="A673" s="1112"/>
      <c r="B673" s="1112"/>
      <c r="C673" s="1114"/>
      <c r="D673" s="1114"/>
      <c r="E673" s="1114"/>
      <c r="F673" s="1112"/>
      <c r="G673" s="1112"/>
      <c r="H673" s="1112"/>
      <c r="I673" s="1113"/>
      <c r="J673" s="1113"/>
      <c r="K673" s="1113"/>
      <c r="L673" s="150">
        <f t="shared" si="36"/>
        <v>0</v>
      </c>
      <c r="M673" s="151">
        <f t="shared" si="37"/>
        <v>0</v>
      </c>
      <c r="N673" s="152">
        <f>+IF(OR($Q673=Parametres!$G$2,$Q673=Parametres!$G$3),I673,C673)</f>
        <v>0</v>
      </c>
      <c r="O673" s="547">
        <f>+IF(OR($Q673=Parametres!$G$2,$Q673=Parametres!$G$3),J673,D673)</f>
        <v>0</v>
      </c>
      <c r="P673" s="152">
        <f>+IF(OR($Q673=Parametres!$G$2,$Q673=Parametres!$G$3),K673,E673)</f>
        <v>0</v>
      </c>
      <c r="Q673" s="151">
        <f t="shared" si="47"/>
        <v>0</v>
      </c>
      <c r="R673" s="150">
        <f t="shared" si="47"/>
        <v>0</v>
      </c>
      <c r="S673" s="151">
        <f t="shared" si="47"/>
        <v>0</v>
      </c>
      <c r="T673" s="153" t="e">
        <f>+VLOOKUP($L673,Data_Validation!$A:$D,1,0)</f>
        <v>#N/A</v>
      </c>
      <c r="U673" s="153" t="e">
        <f>+VLOOKUP($L673,Data_Validation!$A:$D,3,0)</f>
        <v>#N/A</v>
      </c>
      <c r="V673" s="153" t="e">
        <f>+VLOOKUP($L673,Data_Validation!$A:$D,4,0)</f>
        <v>#N/A</v>
      </c>
      <c r="W673" s="153" t="e">
        <f>+VLOOKUP($L673,Data_Validation!$A:$E,5,0)</f>
        <v>#N/A</v>
      </c>
      <c r="X673" s="153" t="e">
        <f>+VLOOKUP($L673,Data_Validation!$A:$F,6,0)</f>
        <v>#N/A</v>
      </c>
    </row>
    <row r="674" spans="1:24" ht="15.75" customHeight="1">
      <c r="A674" s="1112"/>
      <c r="B674" s="1112"/>
      <c r="C674" s="1114"/>
      <c r="D674" s="1114"/>
      <c r="E674" s="1114"/>
      <c r="F674" s="1112"/>
      <c r="G674" s="1112"/>
      <c r="H674" s="1112"/>
      <c r="I674" s="1113"/>
      <c r="J674" s="1113"/>
      <c r="K674" s="1113"/>
      <c r="L674" s="150">
        <f t="shared" si="36"/>
        <v>0</v>
      </c>
      <c r="M674" s="151">
        <f t="shared" si="37"/>
        <v>0</v>
      </c>
      <c r="N674" s="152">
        <f>+IF(OR($Q674=Parametres!$G$2,$Q674=Parametres!$G$3),I674,C674)</f>
        <v>0</v>
      </c>
      <c r="O674" s="152">
        <f>+IF(OR($Q674=Parametres!$G$2,$Q674=Parametres!$G$3),J674,D674)</f>
        <v>0</v>
      </c>
      <c r="P674" s="152">
        <f>+IF(OR($Q674=Parametres!$G$2,$Q674=Parametres!$G$3),K674,E674)</f>
        <v>0</v>
      </c>
      <c r="Q674" s="151">
        <f t="shared" ref="Q674:S689" si="48">+F674</f>
        <v>0</v>
      </c>
      <c r="R674" s="150">
        <f t="shared" si="48"/>
        <v>0</v>
      </c>
      <c r="S674" s="151">
        <f t="shared" si="48"/>
        <v>0</v>
      </c>
      <c r="T674" s="153" t="e">
        <f>+VLOOKUP($L674,Data_Validation!$A:$D,1,0)</f>
        <v>#N/A</v>
      </c>
      <c r="U674" s="153" t="e">
        <f>+VLOOKUP($L674,Data_Validation!$A:$D,3,0)</f>
        <v>#N/A</v>
      </c>
      <c r="V674" s="153" t="e">
        <f>+VLOOKUP($L674,Data_Validation!$A:$D,4,0)</f>
        <v>#N/A</v>
      </c>
      <c r="W674" s="153" t="e">
        <f>+VLOOKUP($L674,Data_Validation!$A:$E,5,0)</f>
        <v>#N/A</v>
      </c>
      <c r="X674" s="153" t="e">
        <f>+VLOOKUP($L674,Data_Validation!$A:$F,6,0)</f>
        <v>#N/A</v>
      </c>
    </row>
    <row r="675" spans="1:24" ht="15.75" customHeight="1">
      <c r="A675" s="1112"/>
      <c r="B675" s="1112"/>
      <c r="C675" s="1114"/>
      <c r="D675" s="1114"/>
      <c r="E675" s="1114"/>
      <c r="F675" s="1112"/>
      <c r="G675" s="1112"/>
      <c r="H675" s="1112"/>
      <c r="I675" s="1113"/>
      <c r="J675" s="1113"/>
      <c r="K675" s="1113"/>
      <c r="L675" s="150">
        <f t="shared" si="36"/>
        <v>0</v>
      </c>
      <c r="M675" s="151">
        <f t="shared" si="37"/>
        <v>0</v>
      </c>
      <c r="N675" s="152">
        <f>+IF(OR($Q675=Parametres!$G$2,$Q675=Parametres!$G$3),I675,C675)</f>
        <v>0</v>
      </c>
      <c r="O675" s="152">
        <f>+IF(OR($Q675=Parametres!$G$2,$Q675=Parametres!$G$3),J675,D675)</f>
        <v>0</v>
      </c>
      <c r="P675" s="152">
        <f>+IF(OR($Q675=Parametres!$G$2,$Q675=Parametres!$G$3),K675,E675)</f>
        <v>0</v>
      </c>
      <c r="Q675" s="151">
        <f t="shared" si="48"/>
        <v>0</v>
      </c>
      <c r="R675" s="150">
        <f t="shared" si="48"/>
        <v>0</v>
      </c>
      <c r="S675" s="151">
        <f t="shared" si="48"/>
        <v>0</v>
      </c>
      <c r="T675" s="153" t="e">
        <f>+VLOOKUP($L675,Data_Validation!$A:$D,1,0)</f>
        <v>#N/A</v>
      </c>
      <c r="U675" s="153" t="e">
        <f>+VLOOKUP($L675,Data_Validation!$A:$D,3,0)</f>
        <v>#N/A</v>
      </c>
      <c r="V675" s="153" t="e">
        <f>+VLOOKUP($L675,Data_Validation!$A:$D,4,0)</f>
        <v>#N/A</v>
      </c>
      <c r="W675" s="153" t="e">
        <f>+VLOOKUP($L675,Data_Validation!$A:$E,5,0)</f>
        <v>#N/A</v>
      </c>
      <c r="X675" s="153" t="e">
        <f>+VLOOKUP($L675,Data_Validation!$A:$F,6,0)</f>
        <v>#N/A</v>
      </c>
    </row>
    <row r="676" spans="1:24" ht="15.75" customHeight="1">
      <c r="A676" s="1112"/>
      <c r="B676" s="1112"/>
      <c r="C676" s="1114"/>
      <c r="D676" s="1114"/>
      <c r="E676" s="1114"/>
      <c r="F676" s="1112"/>
      <c r="G676" s="1112"/>
      <c r="H676" s="1112"/>
      <c r="I676" s="1113"/>
      <c r="J676" s="1113"/>
      <c r="K676" s="1113"/>
      <c r="L676" s="150">
        <f t="shared" si="36"/>
        <v>0</v>
      </c>
      <c r="M676" s="151">
        <f t="shared" si="37"/>
        <v>0</v>
      </c>
      <c r="N676" s="152">
        <f>+IF(OR($Q676=Parametres!$G$2,$Q676=Parametres!$G$3),I676,C676)</f>
        <v>0</v>
      </c>
      <c r="O676" s="152">
        <f>+IF(OR($Q676=Parametres!$G$2,$Q676=Parametres!$G$3),J676,D676)</f>
        <v>0</v>
      </c>
      <c r="P676" s="152">
        <f>+IF(OR($Q676=Parametres!$G$2,$Q676=Parametres!$G$3),K676,E676)</f>
        <v>0</v>
      </c>
      <c r="Q676" s="151">
        <f t="shared" si="48"/>
        <v>0</v>
      </c>
      <c r="R676" s="150">
        <f t="shared" si="48"/>
        <v>0</v>
      </c>
      <c r="S676" s="151">
        <f t="shared" si="48"/>
        <v>0</v>
      </c>
      <c r="T676" s="153" t="e">
        <f>+VLOOKUP($L676,Data_Validation!$A:$D,1,0)</f>
        <v>#N/A</v>
      </c>
      <c r="U676" s="153" t="e">
        <f>+VLOOKUP($L676,Data_Validation!$A:$D,3,0)</f>
        <v>#N/A</v>
      </c>
      <c r="V676" s="153" t="e">
        <f>+VLOOKUP($L676,Data_Validation!$A:$D,4,0)</f>
        <v>#N/A</v>
      </c>
      <c r="W676" s="153" t="e">
        <f>+VLOOKUP($L676,Data_Validation!$A:$E,5,0)</f>
        <v>#N/A</v>
      </c>
      <c r="X676" s="153" t="e">
        <f>+VLOOKUP($L676,Data_Validation!$A:$F,6,0)</f>
        <v>#N/A</v>
      </c>
    </row>
    <row r="677" spans="1:24" ht="15.75" customHeight="1">
      <c r="A677" s="1112"/>
      <c r="B677" s="1112"/>
      <c r="C677" s="1114"/>
      <c r="D677" s="1114"/>
      <c r="E677" s="1114"/>
      <c r="F677" s="1112"/>
      <c r="G677" s="1112"/>
      <c r="H677" s="1112"/>
      <c r="I677" s="1113"/>
      <c r="J677" s="1113"/>
      <c r="K677" s="1113"/>
      <c r="L677" s="150">
        <f t="shared" si="36"/>
        <v>0</v>
      </c>
      <c r="M677" s="151">
        <f t="shared" si="37"/>
        <v>0</v>
      </c>
      <c r="N677" s="152">
        <f>+IF(OR($Q677=Parametres!$G$2,$Q677=Parametres!$G$3),I677,C677)</f>
        <v>0</v>
      </c>
      <c r="O677" s="152">
        <f>+IF(OR($Q677=Parametres!$G$2,$Q677=Parametres!$G$3),J677,D677)</f>
        <v>0</v>
      </c>
      <c r="P677" s="152">
        <f>+IF(OR($Q677=Parametres!$G$2,$Q677=Parametres!$G$3),K677,E677)</f>
        <v>0</v>
      </c>
      <c r="Q677" s="151">
        <f t="shared" si="48"/>
        <v>0</v>
      </c>
      <c r="R677" s="150">
        <f t="shared" si="48"/>
        <v>0</v>
      </c>
      <c r="S677" s="151">
        <f t="shared" si="48"/>
        <v>0</v>
      </c>
      <c r="T677" s="153" t="e">
        <f>+VLOOKUP($L677,Data_Validation!$A:$D,1,0)</f>
        <v>#N/A</v>
      </c>
      <c r="U677" s="153" t="e">
        <f>+VLOOKUP($L677,Data_Validation!$A:$D,3,0)</f>
        <v>#N/A</v>
      </c>
      <c r="V677" s="153" t="e">
        <f>+VLOOKUP($L677,Data_Validation!$A:$D,4,0)</f>
        <v>#N/A</v>
      </c>
      <c r="W677" s="153" t="e">
        <f>+VLOOKUP($L677,Data_Validation!$A:$E,5,0)</f>
        <v>#N/A</v>
      </c>
      <c r="X677" s="153" t="e">
        <f>+VLOOKUP($L677,Data_Validation!$A:$F,6,0)</f>
        <v>#N/A</v>
      </c>
    </row>
    <row r="678" spans="1:24" ht="15.75" customHeight="1">
      <c r="A678" s="1112"/>
      <c r="B678" s="1112"/>
      <c r="C678" s="1114"/>
      <c r="D678" s="1114"/>
      <c r="E678" s="1114"/>
      <c r="F678" s="1112"/>
      <c r="G678" s="1112"/>
      <c r="H678" s="1112"/>
      <c r="I678" s="1113"/>
      <c r="J678" s="1113"/>
      <c r="K678" s="1113"/>
      <c r="L678" s="150">
        <f t="shared" si="36"/>
        <v>0</v>
      </c>
      <c r="M678" s="151">
        <f t="shared" si="37"/>
        <v>0</v>
      </c>
      <c r="N678" s="152">
        <f>+IF(OR($Q678=Parametres!$G$2,$Q678=Parametres!$G$3),I678,C678)</f>
        <v>0</v>
      </c>
      <c r="O678" s="152">
        <f>+IF(OR($Q678=Parametres!$G$2,$Q678=Parametres!$G$3),J678,D678)</f>
        <v>0</v>
      </c>
      <c r="P678" s="152">
        <f>+IF(OR($Q678=Parametres!$G$2,$Q678=Parametres!$G$3),K678,E678)</f>
        <v>0</v>
      </c>
      <c r="Q678" s="151">
        <f t="shared" si="48"/>
        <v>0</v>
      </c>
      <c r="R678" s="150">
        <f t="shared" si="48"/>
        <v>0</v>
      </c>
      <c r="S678" s="151">
        <f t="shared" si="48"/>
        <v>0</v>
      </c>
      <c r="T678" s="153" t="e">
        <f>+VLOOKUP($L678,Data_Validation!$A:$D,1,0)</f>
        <v>#N/A</v>
      </c>
      <c r="U678" s="153" t="e">
        <f>+VLOOKUP($L678,Data_Validation!$A:$D,3,0)</f>
        <v>#N/A</v>
      </c>
      <c r="V678" s="153" t="e">
        <f>+VLOOKUP($L678,Data_Validation!$A:$D,4,0)</f>
        <v>#N/A</v>
      </c>
      <c r="W678" s="153" t="e">
        <f>+VLOOKUP($L678,Data_Validation!$A:$E,5,0)</f>
        <v>#N/A</v>
      </c>
      <c r="X678" s="153" t="e">
        <f>+VLOOKUP($L678,Data_Validation!$A:$F,6,0)</f>
        <v>#N/A</v>
      </c>
    </row>
    <row r="679" spans="1:24" ht="15.75" customHeight="1">
      <c r="A679" s="1112"/>
      <c r="B679" s="1112"/>
      <c r="C679" s="1114"/>
      <c r="D679" s="1114"/>
      <c r="E679" s="1114"/>
      <c r="F679" s="1112"/>
      <c r="G679" s="1112"/>
      <c r="H679" s="1112"/>
      <c r="I679" s="1113"/>
      <c r="J679" s="1113"/>
      <c r="K679" s="1113"/>
      <c r="L679" s="150">
        <f t="shared" si="36"/>
        <v>0</v>
      </c>
      <c r="M679" s="151">
        <f t="shared" si="37"/>
        <v>0</v>
      </c>
      <c r="N679" s="152">
        <f>+IF(OR($Q679=Parametres!$G$2,$Q679=Parametres!$G$3),I679,C679)</f>
        <v>0</v>
      </c>
      <c r="O679" s="152">
        <f>+IF(OR($Q679=Parametres!$G$2,$Q679=Parametres!$G$3),J679,D679)</f>
        <v>0</v>
      </c>
      <c r="P679" s="152">
        <f>+IF(OR($Q679=Parametres!$G$2,$Q679=Parametres!$G$3),K679,E679)</f>
        <v>0</v>
      </c>
      <c r="Q679" s="151">
        <f t="shared" si="48"/>
        <v>0</v>
      </c>
      <c r="R679" s="150">
        <f t="shared" si="48"/>
        <v>0</v>
      </c>
      <c r="S679" s="151">
        <f t="shared" si="48"/>
        <v>0</v>
      </c>
      <c r="T679" s="153" t="e">
        <f>+VLOOKUP($L679,Data_Validation!$A:$D,1,0)</f>
        <v>#N/A</v>
      </c>
      <c r="U679" s="153" t="e">
        <f>+VLOOKUP($L679,Data_Validation!$A:$D,3,0)</f>
        <v>#N/A</v>
      </c>
      <c r="V679" s="153" t="e">
        <f>+VLOOKUP($L679,Data_Validation!$A:$D,4,0)</f>
        <v>#N/A</v>
      </c>
      <c r="W679" s="153" t="e">
        <f>+VLOOKUP($L679,Data_Validation!$A:$E,5,0)</f>
        <v>#N/A</v>
      </c>
      <c r="X679" s="153" t="e">
        <f>+VLOOKUP($L679,Data_Validation!$A:$F,6,0)</f>
        <v>#N/A</v>
      </c>
    </row>
    <row r="680" spans="1:24" ht="15.75" customHeight="1">
      <c r="A680" s="1112"/>
      <c r="B680" s="1112"/>
      <c r="C680" s="1114"/>
      <c r="D680" s="1114"/>
      <c r="E680" s="1114"/>
      <c r="F680" s="1112"/>
      <c r="G680" s="1112"/>
      <c r="H680" s="1112"/>
      <c r="I680" s="1113"/>
      <c r="J680" s="1113"/>
      <c r="K680" s="1113"/>
      <c r="L680" s="150">
        <f t="shared" si="36"/>
        <v>0</v>
      </c>
      <c r="M680" s="151">
        <f t="shared" si="37"/>
        <v>0</v>
      </c>
      <c r="N680" s="152">
        <f>+IF(OR($Q680=Parametres!$G$2,$Q680=Parametres!$G$3),I680,C680)</f>
        <v>0</v>
      </c>
      <c r="O680" s="152">
        <f>+IF(OR($Q680=Parametres!$G$2,$Q680=Parametres!$G$3),J680,D680)</f>
        <v>0</v>
      </c>
      <c r="P680" s="152">
        <f>+IF(OR($Q680=Parametres!$G$2,$Q680=Parametres!$G$3),K680,E680)</f>
        <v>0</v>
      </c>
      <c r="Q680" s="151">
        <f t="shared" si="48"/>
        <v>0</v>
      </c>
      <c r="R680" s="150">
        <f t="shared" si="48"/>
        <v>0</v>
      </c>
      <c r="S680" s="151">
        <f t="shared" si="48"/>
        <v>0</v>
      </c>
      <c r="T680" s="153" t="e">
        <f>+VLOOKUP($L680,Data_Validation!$A:$D,1,0)</f>
        <v>#N/A</v>
      </c>
      <c r="U680" s="153" t="e">
        <f>+VLOOKUP($L680,Data_Validation!$A:$D,3,0)</f>
        <v>#N/A</v>
      </c>
      <c r="V680" s="153" t="e">
        <f>+VLOOKUP($L680,Data_Validation!$A:$D,4,0)</f>
        <v>#N/A</v>
      </c>
      <c r="W680" s="153" t="e">
        <f>+VLOOKUP($L680,Data_Validation!$A:$E,5,0)</f>
        <v>#N/A</v>
      </c>
      <c r="X680" s="153" t="e">
        <f>+VLOOKUP($L680,Data_Validation!$A:$F,6,0)</f>
        <v>#N/A</v>
      </c>
    </row>
    <row r="681" spans="1:24" ht="15.75" customHeight="1">
      <c r="A681" s="1112"/>
      <c r="B681" s="1112"/>
      <c r="C681" s="1114"/>
      <c r="D681" s="1114"/>
      <c r="E681" s="1114"/>
      <c r="F681" s="1112"/>
      <c r="G681" s="1112"/>
      <c r="H681" s="1112"/>
      <c r="I681" s="1113"/>
      <c r="J681" s="1113"/>
      <c r="K681" s="1113"/>
      <c r="L681" s="150">
        <f t="shared" si="36"/>
        <v>0</v>
      </c>
      <c r="M681" s="151">
        <f t="shared" si="37"/>
        <v>0</v>
      </c>
      <c r="N681" s="152">
        <f>+IF(OR($Q681=Parametres!$G$2,$Q681=Parametres!$G$3),I681,C681)</f>
        <v>0</v>
      </c>
      <c r="O681" s="152">
        <f>+IF(OR($Q681=Parametres!$G$2,$Q681=Parametres!$G$3),J681,D681)</f>
        <v>0</v>
      </c>
      <c r="P681" s="152">
        <f>+IF(OR($Q681=Parametres!$G$2,$Q681=Parametres!$G$3),K681,E681)</f>
        <v>0</v>
      </c>
      <c r="Q681" s="151">
        <f t="shared" si="48"/>
        <v>0</v>
      </c>
      <c r="R681" s="150">
        <f t="shared" si="48"/>
        <v>0</v>
      </c>
      <c r="S681" s="151">
        <f t="shared" si="48"/>
        <v>0</v>
      </c>
      <c r="T681" s="153" t="e">
        <f>+VLOOKUP($L681,Data_Validation!$A:$D,1,0)</f>
        <v>#N/A</v>
      </c>
      <c r="U681" s="153" t="e">
        <f>+VLOOKUP($L681,Data_Validation!$A:$D,3,0)</f>
        <v>#N/A</v>
      </c>
      <c r="V681" s="153" t="e">
        <f>+VLOOKUP($L681,Data_Validation!$A:$D,4,0)</f>
        <v>#N/A</v>
      </c>
      <c r="W681" s="153" t="e">
        <f>+VLOOKUP($L681,Data_Validation!$A:$E,5,0)</f>
        <v>#N/A</v>
      </c>
      <c r="X681" s="153" t="e">
        <f>+VLOOKUP($L681,Data_Validation!$A:$F,6,0)</f>
        <v>#N/A</v>
      </c>
    </row>
    <row r="682" spans="1:24" ht="15.75" customHeight="1">
      <c r="A682" s="1112"/>
      <c r="B682" s="1112"/>
      <c r="C682" s="1114"/>
      <c r="D682" s="1114"/>
      <c r="E682" s="1114"/>
      <c r="F682" s="1112"/>
      <c r="G682" s="1112"/>
      <c r="H682" s="1112"/>
      <c r="I682" s="1113"/>
      <c r="J682" s="1113"/>
      <c r="K682" s="1113"/>
      <c r="L682" s="150">
        <f t="shared" si="36"/>
        <v>0</v>
      </c>
      <c r="M682" s="151">
        <f t="shared" si="37"/>
        <v>0</v>
      </c>
      <c r="N682" s="152">
        <f>+IF(OR($Q682=Parametres!$G$2,$Q682=Parametres!$G$3),I682,C682)</f>
        <v>0</v>
      </c>
      <c r="O682" s="152">
        <f>+IF(OR($Q682=Parametres!$G$2,$Q682=Parametres!$G$3),J682,D682)</f>
        <v>0</v>
      </c>
      <c r="P682" s="152">
        <f>+IF(OR($Q682=Parametres!$G$2,$Q682=Parametres!$G$3),K682,E682)</f>
        <v>0</v>
      </c>
      <c r="Q682" s="151">
        <f t="shared" si="48"/>
        <v>0</v>
      </c>
      <c r="R682" s="150">
        <f t="shared" si="48"/>
        <v>0</v>
      </c>
      <c r="S682" s="151">
        <f t="shared" si="48"/>
        <v>0</v>
      </c>
      <c r="T682" s="153" t="e">
        <f>+VLOOKUP($L682,Data_Validation!$A:$D,1,0)</f>
        <v>#N/A</v>
      </c>
      <c r="U682" s="153" t="e">
        <f>+VLOOKUP($L682,Data_Validation!$A:$D,3,0)</f>
        <v>#N/A</v>
      </c>
      <c r="V682" s="153" t="e">
        <f>+VLOOKUP($L682,Data_Validation!$A:$D,4,0)</f>
        <v>#N/A</v>
      </c>
      <c r="W682" s="153" t="e">
        <f>+VLOOKUP($L682,Data_Validation!$A:$E,5,0)</f>
        <v>#N/A</v>
      </c>
      <c r="X682" s="153" t="e">
        <f>+VLOOKUP($L682,Data_Validation!$A:$F,6,0)</f>
        <v>#N/A</v>
      </c>
    </row>
    <row r="683" spans="1:24" ht="15.75" customHeight="1">
      <c r="A683" s="1112"/>
      <c r="B683" s="1112"/>
      <c r="C683" s="1114"/>
      <c r="D683" s="1114"/>
      <c r="E683" s="1114"/>
      <c r="F683" s="1112"/>
      <c r="G683" s="1112"/>
      <c r="H683" s="1112"/>
      <c r="I683" s="1113"/>
      <c r="J683" s="1113"/>
      <c r="K683" s="1113"/>
      <c r="L683" s="150">
        <f t="shared" si="36"/>
        <v>0</v>
      </c>
      <c r="M683" s="151">
        <f t="shared" si="37"/>
        <v>0</v>
      </c>
      <c r="N683" s="152">
        <f>+IF(OR($Q683=Parametres!$G$2,$Q683=Parametres!$G$3),I683,C683)</f>
        <v>0</v>
      </c>
      <c r="O683" s="152">
        <f>+IF(OR($Q683=Parametres!$G$2,$Q683=Parametres!$G$3),J683,D683)</f>
        <v>0</v>
      </c>
      <c r="P683" s="152">
        <f>+IF(OR($Q683=Parametres!$G$2,$Q683=Parametres!$G$3),K683,E683)</f>
        <v>0</v>
      </c>
      <c r="Q683" s="151">
        <f t="shared" si="48"/>
        <v>0</v>
      </c>
      <c r="R683" s="150">
        <f t="shared" si="48"/>
        <v>0</v>
      </c>
      <c r="S683" s="151">
        <f t="shared" si="48"/>
        <v>0</v>
      </c>
      <c r="T683" s="153" t="e">
        <f>+VLOOKUP($L683,Data_Validation!$A:$D,1,0)</f>
        <v>#N/A</v>
      </c>
      <c r="U683" s="153" t="e">
        <f>+VLOOKUP($L683,Data_Validation!$A:$D,3,0)</f>
        <v>#N/A</v>
      </c>
      <c r="V683" s="153" t="e">
        <f>+VLOOKUP($L683,Data_Validation!$A:$D,4,0)</f>
        <v>#N/A</v>
      </c>
      <c r="W683" s="153" t="e">
        <f>+VLOOKUP($L683,Data_Validation!$A:$E,5,0)</f>
        <v>#N/A</v>
      </c>
      <c r="X683" s="153" t="e">
        <f>+VLOOKUP($L683,Data_Validation!$A:$F,6,0)</f>
        <v>#N/A</v>
      </c>
    </row>
    <row r="684" spans="1:24" ht="15.75" customHeight="1">
      <c r="A684" s="1112"/>
      <c r="B684" s="1112"/>
      <c r="C684" s="1114"/>
      <c r="D684" s="1114"/>
      <c r="E684" s="1114"/>
      <c r="F684" s="1112"/>
      <c r="G684" s="1112"/>
      <c r="H684" s="1112"/>
      <c r="I684" s="1113"/>
      <c r="J684" s="1113"/>
      <c r="K684" s="1113"/>
      <c r="L684" s="150">
        <f t="shared" si="36"/>
        <v>0</v>
      </c>
      <c r="M684" s="151">
        <f t="shared" si="37"/>
        <v>0</v>
      </c>
      <c r="N684" s="152">
        <f>+IF(OR($Q684=Parametres!$G$2,$Q684=Parametres!$G$3),I684,C684)</f>
        <v>0</v>
      </c>
      <c r="O684" s="152">
        <f>+IF(OR($Q684=Parametres!$G$2,$Q684=Parametres!$G$3),J684,D684)</f>
        <v>0</v>
      </c>
      <c r="P684" s="152">
        <f>+IF(OR($Q684=Parametres!$G$2,$Q684=Parametres!$G$3),K684,E684)</f>
        <v>0</v>
      </c>
      <c r="Q684" s="151">
        <f t="shared" si="48"/>
        <v>0</v>
      </c>
      <c r="R684" s="150">
        <f t="shared" si="48"/>
        <v>0</v>
      </c>
      <c r="S684" s="151">
        <f t="shared" si="48"/>
        <v>0</v>
      </c>
      <c r="T684" s="153" t="e">
        <f>+VLOOKUP($L684,Data_Validation!$A:$D,1,0)</f>
        <v>#N/A</v>
      </c>
      <c r="U684" s="153" t="e">
        <f>+VLOOKUP($L684,Data_Validation!$A:$D,3,0)</f>
        <v>#N/A</v>
      </c>
      <c r="V684" s="153" t="e">
        <f>+VLOOKUP($L684,Data_Validation!$A:$D,4,0)</f>
        <v>#N/A</v>
      </c>
      <c r="W684" s="153" t="e">
        <f>+VLOOKUP($L684,Data_Validation!$A:$E,5,0)</f>
        <v>#N/A</v>
      </c>
      <c r="X684" s="153" t="e">
        <f>+VLOOKUP($L684,Data_Validation!$A:$F,6,0)</f>
        <v>#N/A</v>
      </c>
    </row>
    <row r="685" spans="1:24" ht="15.75" customHeight="1">
      <c r="A685" s="1112"/>
      <c r="B685" s="1112"/>
      <c r="C685" s="1114"/>
      <c r="D685" s="1114"/>
      <c r="E685" s="1114"/>
      <c r="F685" s="1112"/>
      <c r="G685" s="1112"/>
      <c r="H685" s="1112"/>
      <c r="I685" s="1113"/>
      <c r="J685" s="1113"/>
      <c r="K685" s="1113"/>
      <c r="L685" s="150">
        <f t="shared" si="36"/>
        <v>0</v>
      </c>
      <c r="M685" s="151">
        <f t="shared" si="37"/>
        <v>0</v>
      </c>
      <c r="N685" s="152">
        <f>+IF(OR($Q685=Parametres!$G$2,$Q685=Parametres!$G$3),I685,C685)</f>
        <v>0</v>
      </c>
      <c r="O685" s="152">
        <f>+IF(OR($Q685=Parametres!$G$2,$Q685=Parametres!$G$3),J685,D685)</f>
        <v>0</v>
      </c>
      <c r="P685" s="152">
        <f>+IF(OR($Q685=Parametres!$G$2,$Q685=Parametres!$G$3),K685,E685)</f>
        <v>0</v>
      </c>
      <c r="Q685" s="151">
        <f t="shared" si="48"/>
        <v>0</v>
      </c>
      <c r="R685" s="150">
        <f t="shared" si="48"/>
        <v>0</v>
      </c>
      <c r="S685" s="151">
        <f t="shared" si="48"/>
        <v>0</v>
      </c>
      <c r="T685" s="153" t="e">
        <f>+VLOOKUP($L685,Data_Validation!$A:$D,1,0)</f>
        <v>#N/A</v>
      </c>
      <c r="U685" s="153" t="e">
        <f>+VLOOKUP($L685,Data_Validation!$A:$D,3,0)</f>
        <v>#N/A</v>
      </c>
      <c r="V685" s="153" t="e">
        <f>+VLOOKUP($L685,Data_Validation!$A:$D,4,0)</f>
        <v>#N/A</v>
      </c>
      <c r="W685" s="153" t="e">
        <f>+VLOOKUP($L685,Data_Validation!$A:$E,5,0)</f>
        <v>#N/A</v>
      </c>
      <c r="X685" s="153" t="e">
        <f>+VLOOKUP($L685,Data_Validation!$A:$F,6,0)</f>
        <v>#N/A</v>
      </c>
    </row>
    <row r="686" spans="1:24" ht="15.75" customHeight="1">
      <c r="A686" s="1112"/>
      <c r="B686" s="1112"/>
      <c r="C686" s="1114"/>
      <c r="D686" s="1114"/>
      <c r="E686" s="1114"/>
      <c r="F686" s="1112"/>
      <c r="G686" s="1112"/>
      <c r="H686" s="1112"/>
      <c r="I686" s="1113"/>
      <c r="J686" s="1113"/>
      <c r="K686" s="1113"/>
      <c r="L686" s="150">
        <f t="shared" si="36"/>
        <v>0</v>
      </c>
      <c r="M686" s="151">
        <f t="shared" si="37"/>
        <v>0</v>
      </c>
      <c r="N686" s="152">
        <f>+IF(OR($Q686=Parametres!$G$2,$Q686=Parametres!$G$3),I686,C686)</f>
        <v>0</v>
      </c>
      <c r="O686" s="152">
        <f>+IF(OR($Q686=Parametres!$G$2,$Q686=Parametres!$G$3),J686,D686)</f>
        <v>0</v>
      </c>
      <c r="P686" s="152">
        <f>+IF(OR($Q686=Parametres!$G$2,$Q686=Parametres!$G$3),K686,E686)</f>
        <v>0</v>
      </c>
      <c r="Q686" s="151">
        <f t="shared" si="48"/>
        <v>0</v>
      </c>
      <c r="R686" s="150">
        <f t="shared" si="48"/>
        <v>0</v>
      </c>
      <c r="S686" s="151">
        <f t="shared" si="48"/>
        <v>0</v>
      </c>
      <c r="T686" s="153" t="e">
        <f>+VLOOKUP($L686,Data_Validation!$A:$D,1,0)</f>
        <v>#N/A</v>
      </c>
      <c r="U686" s="153" t="e">
        <f>+VLOOKUP($L686,Data_Validation!$A:$D,3,0)</f>
        <v>#N/A</v>
      </c>
      <c r="V686" s="153" t="e">
        <f>+VLOOKUP($L686,Data_Validation!$A:$D,4,0)</f>
        <v>#N/A</v>
      </c>
      <c r="W686" s="153" t="e">
        <f>+VLOOKUP($L686,Data_Validation!$A:$E,5,0)</f>
        <v>#N/A</v>
      </c>
      <c r="X686" s="153" t="e">
        <f>+VLOOKUP($L686,Data_Validation!$A:$F,6,0)</f>
        <v>#N/A</v>
      </c>
    </row>
    <row r="687" spans="1:24" ht="15.75" customHeight="1">
      <c r="A687" s="1112"/>
      <c r="B687" s="1112"/>
      <c r="C687" s="1114"/>
      <c r="D687" s="1114"/>
      <c r="E687" s="1114"/>
      <c r="F687" s="1112"/>
      <c r="G687" s="1112"/>
      <c r="H687" s="1112"/>
      <c r="I687" s="1113"/>
      <c r="J687" s="1113"/>
      <c r="K687" s="1113"/>
      <c r="L687" s="150">
        <f t="shared" si="36"/>
        <v>0</v>
      </c>
      <c r="M687" s="151">
        <f t="shared" si="37"/>
        <v>0</v>
      </c>
      <c r="N687" s="152">
        <f>+IF(OR($Q687=Parametres!$G$2,$Q687=Parametres!$G$3),I687,C687)</f>
        <v>0</v>
      </c>
      <c r="O687" s="547">
        <f>+IF(OR($Q687=Parametres!$G$2,$Q687=Parametres!$G$3),J687,D687)</f>
        <v>0</v>
      </c>
      <c r="P687" s="152">
        <f>+IF(OR($Q687=Parametres!$G$2,$Q687=Parametres!$G$3),K687,E687)</f>
        <v>0</v>
      </c>
      <c r="Q687" s="151">
        <f t="shared" si="48"/>
        <v>0</v>
      </c>
      <c r="R687" s="150">
        <f t="shared" si="48"/>
        <v>0</v>
      </c>
      <c r="S687" s="151">
        <f t="shared" si="48"/>
        <v>0</v>
      </c>
      <c r="T687" s="153" t="e">
        <f>+VLOOKUP($L687,Data_Validation!$A:$D,1,0)</f>
        <v>#N/A</v>
      </c>
      <c r="U687" s="153" t="e">
        <f>+VLOOKUP($L687,Data_Validation!$A:$D,3,0)</f>
        <v>#N/A</v>
      </c>
      <c r="V687" s="153" t="e">
        <f>+VLOOKUP($L687,Data_Validation!$A:$D,4,0)</f>
        <v>#N/A</v>
      </c>
      <c r="W687" s="153" t="e">
        <f>+VLOOKUP($L687,Data_Validation!$A:$E,5,0)</f>
        <v>#N/A</v>
      </c>
      <c r="X687" s="153" t="e">
        <f>+VLOOKUP($L687,Data_Validation!$A:$F,6,0)</f>
        <v>#N/A</v>
      </c>
    </row>
    <row r="688" spans="1:24" ht="15.75" customHeight="1">
      <c r="A688" s="1112"/>
      <c r="B688" s="1112"/>
      <c r="C688" s="1114"/>
      <c r="D688" s="1114"/>
      <c r="E688" s="1114"/>
      <c r="F688" s="1112"/>
      <c r="G688" s="1112"/>
      <c r="H688" s="1112"/>
      <c r="I688" s="1113"/>
      <c r="J688" s="1113"/>
      <c r="K688" s="1113"/>
      <c r="L688" s="150">
        <f t="shared" si="36"/>
        <v>0</v>
      </c>
      <c r="M688" s="151">
        <f t="shared" si="37"/>
        <v>0</v>
      </c>
      <c r="N688" s="152">
        <f>+IF(OR($Q688=Parametres!$G$2,$Q688=Parametres!$G$3),I688,C688)</f>
        <v>0</v>
      </c>
      <c r="O688" s="152">
        <f>+IF(OR($Q688=Parametres!$G$2,$Q688=Parametres!$G$3),J688,D688)</f>
        <v>0</v>
      </c>
      <c r="P688" s="152">
        <f>+IF(OR($Q688=Parametres!$G$2,$Q688=Parametres!$G$3),K688,E688)</f>
        <v>0</v>
      </c>
      <c r="Q688" s="151">
        <f t="shared" si="48"/>
        <v>0</v>
      </c>
      <c r="R688" s="150">
        <f t="shared" si="48"/>
        <v>0</v>
      </c>
      <c r="S688" s="151">
        <f t="shared" si="48"/>
        <v>0</v>
      </c>
      <c r="T688" s="153" t="e">
        <f>+VLOOKUP($L688,Data_Validation!$A:$D,1,0)</f>
        <v>#N/A</v>
      </c>
      <c r="U688" s="153" t="e">
        <f>+VLOOKUP($L688,Data_Validation!$A:$D,3,0)</f>
        <v>#N/A</v>
      </c>
      <c r="V688" s="153" t="e">
        <f>+VLOOKUP($L688,Data_Validation!$A:$D,4,0)</f>
        <v>#N/A</v>
      </c>
      <c r="W688" s="153" t="e">
        <f>+VLOOKUP($L688,Data_Validation!$A:$E,5,0)</f>
        <v>#N/A</v>
      </c>
      <c r="X688" s="153" t="e">
        <f>+VLOOKUP($L688,Data_Validation!$A:$F,6,0)</f>
        <v>#N/A</v>
      </c>
    </row>
    <row r="689" spans="1:24" ht="15.75" customHeight="1">
      <c r="A689" s="1112"/>
      <c r="B689" s="1112"/>
      <c r="C689" s="1114"/>
      <c r="D689" s="1114"/>
      <c r="E689" s="1114"/>
      <c r="F689" s="1112"/>
      <c r="G689" s="1112"/>
      <c r="H689" s="1112"/>
      <c r="I689" s="1113"/>
      <c r="J689" s="1113"/>
      <c r="K689" s="1113"/>
      <c r="L689" s="150">
        <f t="shared" si="36"/>
        <v>0</v>
      </c>
      <c r="M689" s="151">
        <f t="shared" si="37"/>
        <v>0</v>
      </c>
      <c r="N689" s="152">
        <f>+IF(OR($Q689=Parametres!$G$2,$Q689=Parametres!$G$3),I689,C689)</f>
        <v>0</v>
      </c>
      <c r="O689" s="152">
        <f>+IF(OR($Q689=Parametres!$G$2,$Q689=Parametres!$G$3),J689,D689)</f>
        <v>0</v>
      </c>
      <c r="P689" s="152">
        <f>+IF(OR($Q689=Parametres!$G$2,$Q689=Parametres!$G$3),K689,E689)</f>
        <v>0</v>
      </c>
      <c r="Q689" s="151">
        <f t="shared" si="48"/>
        <v>0</v>
      </c>
      <c r="R689" s="150">
        <f t="shared" si="48"/>
        <v>0</v>
      </c>
      <c r="S689" s="151">
        <f t="shared" si="48"/>
        <v>0</v>
      </c>
      <c r="T689" s="153" t="e">
        <f>+VLOOKUP($L689,Data_Validation!$A:$D,1,0)</f>
        <v>#N/A</v>
      </c>
      <c r="U689" s="153" t="e">
        <f>+VLOOKUP($L689,Data_Validation!$A:$D,3,0)</f>
        <v>#N/A</v>
      </c>
      <c r="V689" s="153" t="e">
        <f>+VLOOKUP($L689,Data_Validation!$A:$D,4,0)</f>
        <v>#N/A</v>
      </c>
      <c r="W689" s="153" t="e">
        <f>+VLOOKUP($L689,Data_Validation!$A:$E,5,0)</f>
        <v>#N/A</v>
      </c>
      <c r="X689" s="153" t="e">
        <f>+VLOOKUP($L689,Data_Validation!$A:$F,6,0)</f>
        <v>#N/A</v>
      </c>
    </row>
    <row r="690" spans="1:24" ht="15.75" customHeight="1">
      <c r="A690" s="1112"/>
      <c r="B690" s="1112"/>
      <c r="C690" s="1114"/>
      <c r="D690" s="1114"/>
      <c r="E690" s="1114"/>
      <c r="F690" s="1112"/>
      <c r="G690" s="1112"/>
      <c r="H690" s="1112"/>
      <c r="I690" s="1113"/>
      <c r="J690" s="1113"/>
      <c r="K690" s="1113"/>
      <c r="L690" s="150">
        <f t="shared" si="36"/>
        <v>0</v>
      </c>
      <c r="M690" s="151">
        <f t="shared" si="37"/>
        <v>0</v>
      </c>
      <c r="N690" s="152">
        <f>+IF(OR($Q690=Parametres!$G$2,$Q690=Parametres!$G$3),I690,C690)</f>
        <v>0</v>
      </c>
      <c r="O690" s="152">
        <f>+IF(OR($Q690=Parametres!$G$2,$Q690=Parametres!$G$3),J690,D690)</f>
        <v>0</v>
      </c>
      <c r="P690" s="152">
        <f>+IF(OR($Q690=Parametres!$G$2,$Q690=Parametres!$G$3),K690,E690)</f>
        <v>0</v>
      </c>
      <c r="Q690" s="151">
        <f t="shared" ref="Q690:S705" si="49">+F690</f>
        <v>0</v>
      </c>
      <c r="R690" s="150">
        <f t="shared" si="49"/>
        <v>0</v>
      </c>
      <c r="S690" s="151">
        <f t="shared" si="49"/>
        <v>0</v>
      </c>
      <c r="T690" s="153" t="e">
        <f>+VLOOKUP($L690,Data_Validation!$A:$D,1,0)</f>
        <v>#N/A</v>
      </c>
      <c r="U690" s="153" t="e">
        <f>+VLOOKUP($L690,Data_Validation!$A:$D,3,0)</f>
        <v>#N/A</v>
      </c>
      <c r="V690" s="153" t="e">
        <f>+VLOOKUP($L690,Data_Validation!$A:$D,4,0)</f>
        <v>#N/A</v>
      </c>
      <c r="W690" s="153" t="e">
        <f>+VLOOKUP($L690,Data_Validation!$A:$E,5,0)</f>
        <v>#N/A</v>
      </c>
      <c r="X690" s="153" t="e">
        <f>+VLOOKUP($L690,Data_Validation!$A:$F,6,0)</f>
        <v>#N/A</v>
      </c>
    </row>
    <row r="691" spans="1:24" ht="15.75" customHeight="1">
      <c r="A691" s="1112"/>
      <c r="B691" s="1112"/>
      <c r="C691" s="1114"/>
      <c r="D691" s="1114"/>
      <c r="E691" s="1114"/>
      <c r="F691" s="1112"/>
      <c r="G691" s="1112"/>
      <c r="H691" s="1112"/>
      <c r="I691" s="1113"/>
      <c r="J691" s="1113"/>
      <c r="K691" s="1113"/>
      <c r="L691" s="150">
        <f t="shared" si="36"/>
        <v>0</v>
      </c>
      <c r="M691" s="151">
        <f t="shared" si="37"/>
        <v>0</v>
      </c>
      <c r="N691" s="152">
        <f>+IF(OR($Q691=Parametres!$G$2,$Q691=Parametres!$G$3),I691,C691)</f>
        <v>0</v>
      </c>
      <c r="O691" s="152">
        <f>+IF(OR($Q691=Parametres!$G$2,$Q691=Parametres!$G$3),J691,D691)</f>
        <v>0</v>
      </c>
      <c r="P691" s="152">
        <f>+IF(OR($Q691=Parametres!$G$2,$Q691=Parametres!$G$3),K691,E691)</f>
        <v>0</v>
      </c>
      <c r="Q691" s="151">
        <f t="shared" si="49"/>
        <v>0</v>
      </c>
      <c r="R691" s="150">
        <f t="shared" si="49"/>
        <v>0</v>
      </c>
      <c r="S691" s="151">
        <f t="shared" si="49"/>
        <v>0</v>
      </c>
      <c r="T691" s="153" t="e">
        <f>+VLOOKUP($L691,Data_Validation!$A:$D,1,0)</f>
        <v>#N/A</v>
      </c>
      <c r="U691" s="153" t="e">
        <f>+VLOOKUP($L691,Data_Validation!$A:$D,3,0)</f>
        <v>#N/A</v>
      </c>
      <c r="V691" s="153" t="e">
        <f>+VLOOKUP($L691,Data_Validation!$A:$D,4,0)</f>
        <v>#N/A</v>
      </c>
      <c r="W691" s="153" t="e">
        <f>+VLOOKUP($L691,Data_Validation!$A:$E,5,0)</f>
        <v>#N/A</v>
      </c>
      <c r="X691" s="153" t="e">
        <f>+VLOOKUP($L691,Data_Validation!$A:$F,6,0)</f>
        <v>#N/A</v>
      </c>
    </row>
    <row r="692" spans="1:24" ht="15.75" customHeight="1">
      <c r="A692" s="1112"/>
      <c r="B692" s="1112"/>
      <c r="C692" s="1114"/>
      <c r="D692" s="1114"/>
      <c r="E692" s="1114"/>
      <c r="F692" s="1112"/>
      <c r="G692" s="1112"/>
      <c r="H692" s="1112"/>
      <c r="I692" s="1113"/>
      <c r="J692" s="1113"/>
      <c r="K692" s="1113"/>
      <c r="L692" s="150">
        <f t="shared" si="36"/>
        <v>0</v>
      </c>
      <c r="M692" s="151">
        <f t="shared" si="37"/>
        <v>0</v>
      </c>
      <c r="N692" s="152">
        <f>+IF(OR($Q692=Parametres!$G$2,$Q692=Parametres!$G$3),I692,C692)</f>
        <v>0</v>
      </c>
      <c r="O692" s="152">
        <f>+IF(OR($Q692=Parametres!$G$2,$Q692=Parametres!$G$3),J692,D692)</f>
        <v>0</v>
      </c>
      <c r="P692" s="152">
        <f>+IF(OR($Q692=Parametres!$G$2,$Q692=Parametres!$G$3),K692,E692)</f>
        <v>0</v>
      </c>
      <c r="Q692" s="151">
        <f t="shared" si="49"/>
        <v>0</v>
      </c>
      <c r="R692" s="150">
        <f t="shared" si="49"/>
        <v>0</v>
      </c>
      <c r="S692" s="151">
        <f t="shared" si="49"/>
        <v>0</v>
      </c>
      <c r="T692" s="153" t="e">
        <f>+VLOOKUP($L692,Data_Validation!$A:$D,1,0)</f>
        <v>#N/A</v>
      </c>
      <c r="U692" s="153" t="e">
        <f>+VLOOKUP($L692,Data_Validation!$A:$D,3,0)</f>
        <v>#N/A</v>
      </c>
      <c r="V692" s="153" t="e">
        <f>+VLOOKUP($L692,Data_Validation!$A:$D,4,0)</f>
        <v>#N/A</v>
      </c>
      <c r="W692" s="153" t="e">
        <f>+VLOOKUP($L692,Data_Validation!$A:$E,5,0)</f>
        <v>#N/A</v>
      </c>
      <c r="X692" s="153" t="e">
        <f>+VLOOKUP($L692,Data_Validation!$A:$F,6,0)</f>
        <v>#N/A</v>
      </c>
    </row>
    <row r="693" spans="1:24" ht="15.75" customHeight="1">
      <c r="A693" s="1112"/>
      <c r="B693" s="1112"/>
      <c r="C693" s="1114"/>
      <c r="D693" s="1114"/>
      <c r="E693" s="1114"/>
      <c r="F693" s="1112"/>
      <c r="G693" s="1112"/>
      <c r="H693" s="1112"/>
      <c r="I693" s="1113"/>
      <c r="J693" s="1113"/>
      <c r="K693" s="1113"/>
      <c r="L693" s="150">
        <f t="shared" si="36"/>
        <v>0</v>
      </c>
      <c r="M693" s="151">
        <f t="shared" si="37"/>
        <v>0</v>
      </c>
      <c r="N693" s="152">
        <f>+IF(OR($Q693=Parametres!$G$2,$Q693=Parametres!$G$3),I693,C693)</f>
        <v>0</v>
      </c>
      <c r="O693" s="152">
        <f>+IF(OR($Q693=Parametres!$G$2,$Q693=Parametres!$G$3),J693,D693)</f>
        <v>0</v>
      </c>
      <c r="P693" s="152">
        <f>+IF(OR($Q693=Parametres!$G$2,$Q693=Parametres!$G$3),K693,E693)</f>
        <v>0</v>
      </c>
      <c r="Q693" s="151">
        <f t="shared" si="49"/>
        <v>0</v>
      </c>
      <c r="R693" s="150">
        <f t="shared" si="49"/>
        <v>0</v>
      </c>
      <c r="S693" s="151">
        <f t="shared" si="49"/>
        <v>0</v>
      </c>
      <c r="T693" s="153" t="e">
        <f>+VLOOKUP($L693,Data_Validation!$A:$D,1,0)</f>
        <v>#N/A</v>
      </c>
      <c r="U693" s="153" t="e">
        <f>+VLOOKUP($L693,Data_Validation!$A:$D,3,0)</f>
        <v>#N/A</v>
      </c>
      <c r="V693" s="153" t="e">
        <f>+VLOOKUP($L693,Data_Validation!$A:$D,4,0)</f>
        <v>#N/A</v>
      </c>
      <c r="W693" s="153" t="e">
        <f>+VLOOKUP($L693,Data_Validation!$A:$E,5,0)</f>
        <v>#N/A</v>
      </c>
      <c r="X693" s="153" t="e">
        <f>+VLOOKUP($L693,Data_Validation!$A:$F,6,0)</f>
        <v>#N/A</v>
      </c>
    </row>
    <row r="694" spans="1:24" ht="15.75" customHeight="1">
      <c r="A694" s="1112"/>
      <c r="B694" s="1112"/>
      <c r="C694" s="1114"/>
      <c r="D694" s="1114"/>
      <c r="E694" s="1114"/>
      <c r="F694" s="1112"/>
      <c r="G694" s="1112"/>
      <c r="H694" s="1112"/>
      <c r="I694" s="1113"/>
      <c r="J694" s="1113"/>
      <c r="K694" s="1113"/>
      <c r="L694" s="150">
        <f t="shared" si="36"/>
        <v>0</v>
      </c>
      <c r="M694" s="151">
        <f t="shared" si="37"/>
        <v>0</v>
      </c>
      <c r="N694" s="152">
        <f>+IF(OR($Q694=Parametres!$G$2,$Q694=Parametres!$G$3),I694,C694)</f>
        <v>0</v>
      </c>
      <c r="O694" s="152">
        <f>+IF(OR($Q694=Parametres!$G$2,$Q694=Parametres!$G$3),J694,D694)</f>
        <v>0</v>
      </c>
      <c r="P694" s="152">
        <f>+IF(OR($Q694=Parametres!$G$2,$Q694=Parametres!$G$3),K694,E694)</f>
        <v>0</v>
      </c>
      <c r="Q694" s="151">
        <f t="shared" si="49"/>
        <v>0</v>
      </c>
      <c r="R694" s="150">
        <f t="shared" si="49"/>
        <v>0</v>
      </c>
      <c r="S694" s="151">
        <f t="shared" si="49"/>
        <v>0</v>
      </c>
      <c r="T694" s="153" t="e">
        <f>+VLOOKUP($L694,Data_Validation!$A:$D,1,0)</f>
        <v>#N/A</v>
      </c>
      <c r="U694" s="153" t="e">
        <f>+VLOOKUP($L694,Data_Validation!$A:$D,3,0)</f>
        <v>#N/A</v>
      </c>
      <c r="V694" s="153" t="e">
        <f>+VLOOKUP($L694,Data_Validation!$A:$D,4,0)</f>
        <v>#N/A</v>
      </c>
      <c r="W694" s="153" t="e">
        <f>+VLOOKUP($L694,Data_Validation!$A:$E,5,0)</f>
        <v>#N/A</v>
      </c>
      <c r="X694" s="153" t="e">
        <f>+VLOOKUP($L694,Data_Validation!$A:$F,6,0)</f>
        <v>#N/A</v>
      </c>
    </row>
    <row r="695" spans="1:24" ht="15.75" customHeight="1">
      <c r="A695" s="1112"/>
      <c r="B695" s="1112"/>
      <c r="C695" s="1114"/>
      <c r="D695" s="1114"/>
      <c r="E695" s="1114"/>
      <c r="F695" s="1112"/>
      <c r="G695" s="1112"/>
      <c r="H695" s="1112"/>
      <c r="I695" s="1113"/>
      <c r="J695" s="1113"/>
      <c r="K695" s="1113"/>
      <c r="L695" s="150">
        <f t="shared" si="36"/>
        <v>0</v>
      </c>
      <c r="M695" s="151">
        <f t="shared" si="37"/>
        <v>0</v>
      </c>
      <c r="N695" s="152">
        <f>+IF(OR($Q695=Parametres!$G$2,$Q695=Parametres!$G$3),I695,C695)</f>
        <v>0</v>
      </c>
      <c r="O695" s="152">
        <f>+IF(OR($Q695=Parametres!$G$2,$Q695=Parametres!$G$3),J695,D695)</f>
        <v>0</v>
      </c>
      <c r="P695" s="152">
        <f>+IF(OR($Q695=Parametres!$G$2,$Q695=Parametres!$G$3),K695,E695)</f>
        <v>0</v>
      </c>
      <c r="Q695" s="151">
        <f t="shared" si="49"/>
        <v>0</v>
      </c>
      <c r="R695" s="150">
        <f t="shared" si="49"/>
        <v>0</v>
      </c>
      <c r="S695" s="151">
        <f t="shared" si="49"/>
        <v>0</v>
      </c>
      <c r="T695" s="153" t="e">
        <f>+VLOOKUP($L695,Data_Validation!$A:$D,1,0)</f>
        <v>#N/A</v>
      </c>
      <c r="U695" s="153" t="e">
        <f>+VLOOKUP($L695,Data_Validation!$A:$D,3,0)</f>
        <v>#N/A</v>
      </c>
      <c r="V695" s="153" t="e">
        <f>+VLOOKUP($L695,Data_Validation!$A:$D,4,0)</f>
        <v>#N/A</v>
      </c>
      <c r="W695" s="153" t="e">
        <f>+VLOOKUP($L695,Data_Validation!$A:$E,5,0)</f>
        <v>#N/A</v>
      </c>
      <c r="X695" s="153" t="e">
        <f>+VLOOKUP($L695,Data_Validation!$A:$F,6,0)</f>
        <v>#N/A</v>
      </c>
    </row>
    <row r="696" spans="1:24" ht="15.75" customHeight="1">
      <c r="A696" s="1112"/>
      <c r="B696" s="1112"/>
      <c r="C696" s="1114"/>
      <c r="D696" s="1114"/>
      <c r="E696" s="1114"/>
      <c r="F696" s="1112"/>
      <c r="G696" s="1112"/>
      <c r="H696" s="1112"/>
      <c r="I696" s="1113"/>
      <c r="J696" s="1113"/>
      <c r="K696" s="1113"/>
      <c r="L696" s="150">
        <f t="shared" si="36"/>
        <v>0</v>
      </c>
      <c r="M696" s="151">
        <f t="shared" si="37"/>
        <v>0</v>
      </c>
      <c r="N696" s="152">
        <f>+IF(OR($Q696=Parametres!$G$2,$Q696=Parametres!$G$3),I696,C696)</f>
        <v>0</v>
      </c>
      <c r="O696" s="152">
        <f>+IF(OR($Q696=Parametres!$G$2,$Q696=Parametres!$G$3),J696,D696)</f>
        <v>0</v>
      </c>
      <c r="P696" s="152">
        <f>+IF(OR($Q696=Parametres!$G$2,$Q696=Parametres!$G$3),K696,E696)</f>
        <v>0</v>
      </c>
      <c r="Q696" s="151">
        <f t="shared" si="49"/>
        <v>0</v>
      </c>
      <c r="R696" s="150">
        <f t="shared" si="49"/>
        <v>0</v>
      </c>
      <c r="S696" s="151">
        <f t="shared" si="49"/>
        <v>0</v>
      </c>
      <c r="T696" s="153" t="e">
        <f>+VLOOKUP($L696,Data_Validation!$A:$D,1,0)</f>
        <v>#N/A</v>
      </c>
      <c r="U696" s="153" t="e">
        <f>+VLOOKUP($L696,Data_Validation!$A:$D,3,0)</f>
        <v>#N/A</v>
      </c>
      <c r="V696" s="153" t="e">
        <f>+VLOOKUP($L696,Data_Validation!$A:$D,4,0)</f>
        <v>#N/A</v>
      </c>
      <c r="W696" s="153" t="e">
        <f>+VLOOKUP($L696,Data_Validation!$A:$E,5,0)</f>
        <v>#N/A</v>
      </c>
      <c r="X696" s="153" t="e">
        <f>+VLOOKUP($L696,Data_Validation!$A:$F,6,0)</f>
        <v>#N/A</v>
      </c>
    </row>
    <row r="697" spans="1:24" ht="15.75" customHeight="1">
      <c r="A697" s="1113"/>
      <c r="B697" s="1119"/>
      <c r="C697" s="1120"/>
      <c r="D697" s="1113"/>
      <c r="E697" s="1113"/>
      <c r="F697" s="1113"/>
      <c r="G697" s="1113"/>
      <c r="H697" s="1113"/>
      <c r="I697" s="1113"/>
      <c r="J697" s="1113"/>
      <c r="K697" s="1113"/>
      <c r="L697" s="150">
        <f t="shared" si="36"/>
        <v>0</v>
      </c>
      <c r="M697" s="151">
        <f t="shared" si="37"/>
        <v>0</v>
      </c>
      <c r="N697" s="152">
        <f>+IF(OR($Q697=Parametres!$G$2,$Q697=Parametres!$G$3),I697,C697)</f>
        <v>0</v>
      </c>
      <c r="O697" s="152">
        <f>+IF(OR($Q697=Parametres!$G$2,$Q697=Parametres!$G$3),J697,D697)</f>
        <v>0</v>
      </c>
      <c r="P697" s="152">
        <f>+IF(OR($Q697=Parametres!$G$2,$Q697=Parametres!$G$3),K697,E697)</f>
        <v>0</v>
      </c>
      <c r="Q697" s="151">
        <f t="shared" si="49"/>
        <v>0</v>
      </c>
      <c r="R697" s="150">
        <f t="shared" si="49"/>
        <v>0</v>
      </c>
      <c r="S697" s="151">
        <f t="shared" si="49"/>
        <v>0</v>
      </c>
      <c r="T697" s="153" t="e">
        <f>+VLOOKUP($L697,Data_Validation!$A:$D,1,0)</f>
        <v>#N/A</v>
      </c>
      <c r="U697" s="153" t="e">
        <f>+VLOOKUP($L697,Data_Validation!$A:$D,3,0)</f>
        <v>#N/A</v>
      </c>
      <c r="V697" s="153" t="e">
        <f>+VLOOKUP($L697,Data_Validation!$A:$D,4,0)</f>
        <v>#N/A</v>
      </c>
      <c r="W697" s="153" t="e">
        <f>+VLOOKUP($L697,Data_Validation!$A:$E,5,0)</f>
        <v>#N/A</v>
      </c>
    </row>
    <row r="698" spans="1:24" ht="15.75" customHeight="1">
      <c r="A698" s="1113"/>
      <c r="B698" s="1119"/>
      <c r="C698" s="1120"/>
      <c r="D698" s="1113"/>
      <c r="E698" s="1113"/>
      <c r="F698" s="1113"/>
      <c r="G698" s="1113"/>
      <c r="H698" s="1113"/>
      <c r="I698" s="1113"/>
      <c r="J698" s="1113"/>
      <c r="K698" s="1113"/>
      <c r="L698" s="150">
        <f t="shared" si="36"/>
        <v>0</v>
      </c>
      <c r="M698" s="151">
        <f t="shared" si="37"/>
        <v>0</v>
      </c>
      <c r="N698" s="152">
        <f>+IF(OR($Q698=Parametres!$G$2,$Q698=Parametres!$G$3),I698,C698)</f>
        <v>0</v>
      </c>
      <c r="O698" s="152">
        <f>+IF(OR($Q698=Parametres!$G$2,$Q698=Parametres!$G$3),J698,D698)</f>
        <v>0</v>
      </c>
      <c r="P698" s="152">
        <f>+IF(OR($Q698=Parametres!$G$2,$Q698=Parametres!$G$3),K698,E698)</f>
        <v>0</v>
      </c>
      <c r="Q698" s="151">
        <f t="shared" si="49"/>
        <v>0</v>
      </c>
      <c r="R698" s="150">
        <f t="shared" si="49"/>
        <v>0</v>
      </c>
      <c r="S698" s="151">
        <f t="shared" si="49"/>
        <v>0</v>
      </c>
      <c r="T698" s="153" t="e">
        <f>+VLOOKUP($L698,Data_Validation!$A:$D,1,0)</f>
        <v>#N/A</v>
      </c>
      <c r="U698" s="153" t="e">
        <f>+VLOOKUP($L698,Data_Validation!$A:$D,3,0)</f>
        <v>#N/A</v>
      </c>
      <c r="V698" s="153" t="e">
        <f>+VLOOKUP($L698,Data_Validation!$A:$D,4,0)</f>
        <v>#N/A</v>
      </c>
      <c r="W698" s="153" t="e">
        <f>+VLOOKUP($L698,Data_Validation!$A:$E,5,0)</f>
        <v>#N/A</v>
      </c>
    </row>
    <row r="699" spans="1:24" ht="15.75" customHeight="1">
      <c r="A699" s="1113"/>
      <c r="B699" s="1119"/>
      <c r="C699" s="1120"/>
      <c r="D699" s="1113"/>
      <c r="E699" s="1113"/>
      <c r="F699" s="1113"/>
      <c r="G699" s="1113"/>
      <c r="H699" s="1113"/>
      <c r="I699" s="1113"/>
      <c r="J699" s="1113"/>
      <c r="K699" s="1113"/>
      <c r="L699" s="150">
        <f t="shared" si="36"/>
        <v>0</v>
      </c>
      <c r="M699" s="151">
        <f t="shared" si="37"/>
        <v>0</v>
      </c>
      <c r="N699" s="152">
        <f>+IF(OR($Q699=Parametres!$G$2,$Q699=Parametres!$G$3),I699,C699)</f>
        <v>0</v>
      </c>
      <c r="O699" s="152">
        <f>+IF(OR($Q699=Parametres!$G$2,$Q699=Parametres!$G$3),J699,D699)</f>
        <v>0</v>
      </c>
      <c r="P699" s="152">
        <f>+IF(OR($Q699=Parametres!$G$2,$Q699=Parametres!$G$3),K699,E699)</f>
        <v>0</v>
      </c>
      <c r="Q699" s="151">
        <f t="shared" si="49"/>
        <v>0</v>
      </c>
      <c r="R699" s="150">
        <f t="shared" si="49"/>
        <v>0</v>
      </c>
      <c r="S699" s="151">
        <f t="shared" si="49"/>
        <v>0</v>
      </c>
      <c r="T699" s="153" t="e">
        <f>+VLOOKUP($L699,Data_Validation!$A:$D,1,0)</f>
        <v>#N/A</v>
      </c>
      <c r="U699" s="153" t="e">
        <f>+VLOOKUP($L699,Data_Validation!$A:$D,3,0)</f>
        <v>#N/A</v>
      </c>
      <c r="V699" s="153" t="e">
        <f>+VLOOKUP($L699,Data_Validation!$A:$D,4,0)</f>
        <v>#N/A</v>
      </c>
      <c r="W699" s="153" t="e">
        <f>+VLOOKUP($L699,Data_Validation!$A:$E,5,0)</f>
        <v>#N/A</v>
      </c>
    </row>
    <row r="700" spans="1:24" ht="15.75" customHeight="1">
      <c r="A700" s="1113"/>
      <c r="B700" s="1119"/>
      <c r="C700" s="1120"/>
      <c r="D700" s="1113"/>
      <c r="E700" s="1113"/>
      <c r="F700" s="1113"/>
      <c r="G700" s="1113"/>
      <c r="H700" s="1113"/>
      <c r="I700" s="1113"/>
      <c r="J700" s="1113"/>
      <c r="K700" s="1113"/>
      <c r="L700" s="150">
        <f t="shared" si="36"/>
        <v>0</v>
      </c>
      <c r="M700" s="151">
        <f t="shared" si="37"/>
        <v>0</v>
      </c>
      <c r="N700" s="152">
        <f>+IF(OR($Q700=Parametres!$G$2,$Q700=Parametres!$G$3),I700,C700)</f>
        <v>0</v>
      </c>
      <c r="O700" s="152">
        <f>+IF(OR($Q700=Parametres!$G$2,$Q700=Parametres!$G$3),J700,D700)</f>
        <v>0</v>
      </c>
      <c r="P700" s="152">
        <f>+IF(OR($Q700=Parametres!$G$2,$Q700=Parametres!$G$3),K700,E700)</f>
        <v>0</v>
      </c>
      <c r="Q700" s="151">
        <f t="shared" si="49"/>
        <v>0</v>
      </c>
      <c r="R700" s="150">
        <f t="shared" si="49"/>
        <v>0</v>
      </c>
      <c r="S700" s="151">
        <f t="shared" si="49"/>
        <v>0</v>
      </c>
      <c r="T700" s="153" t="e">
        <f>+VLOOKUP($L700,Data_Validation!$A:$D,1,0)</f>
        <v>#N/A</v>
      </c>
      <c r="U700" s="153" t="e">
        <f>+VLOOKUP($L700,Data_Validation!$A:$D,3,0)</f>
        <v>#N/A</v>
      </c>
      <c r="V700" s="153" t="e">
        <f>+VLOOKUP($L700,Data_Validation!$A:$D,4,0)</f>
        <v>#N/A</v>
      </c>
      <c r="W700" s="153" t="e">
        <f>+VLOOKUP($L700,Data_Validation!$A:$E,5,0)</f>
        <v>#N/A</v>
      </c>
    </row>
    <row r="701" spans="1:24" ht="15.75" customHeight="1">
      <c r="A701" s="1113"/>
      <c r="B701" s="1119"/>
      <c r="C701" s="1120"/>
      <c r="D701" s="1113"/>
      <c r="E701" s="1113"/>
      <c r="F701" s="1113"/>
      <c r="G701" s="1113"/>
      <c r="H701" s="1113"/>
      <c r="I701" s="1113"/>
      <c r="J701" s="1113"/>
      <c r="K701" s="1113"/>
      <c r="L701" s="150">
        <f t="shared" si="36"/>
        <v>0</v>
      </c>
      <c r="M701" s="151">
        <f t="shared" si="37"/>
        <v>0</v>
      </c>
      <c r="N701" s="152">
        <f>+IF(OR($Q701=Parametres!$G$2,$Q701=Parametres!$G$3),I701,C701)</f>
        <v>0</v>
      </c>
      <c r="O701" s="152">
        <f>+IF(OR($Q701=Parametres!$G$2,$Q701=Parametres!$G$3),J701,D701)</f>
        <v>0</v>
      </c>
      <c r="P701" s="152">
        <f>+IF(OR($Q701=Parametres!$G$2,$Q701=Parametres!$G$3),K701,E701)</f>
        <v>0</v>
      </c>
      <c r="Q701" s="151">
        <f t="shared" si="49"/>
        <v>0</v>
      </c>
      <c r="R701" s="150">
        <f t="shared" si="49"/>
        <v>0</v>
      </c>
      <c r="S701" s="151">
        <f t="shared" si="49"/>
        <v>0</v>
      </c>
      <c r="T701" s="153" t="e">
        <f>+VLOOKUP($L701,Data_Validation!$A:$D,1,0)</f>
        <v>#N/A</v>
      </c>
      <c r="U701" s="153" t="e">
        <f>+VLOOKUP($L701,Data_Validation!$A:$D,3,0)</f>
        <v>#N/A</v>
      </c>
      <c r="V701" s="153" t="e">
        <f>+VLOOKUP($L701,Data_Validation!$A:$D,4,0)</f>
        <v>#N/A</v>
      </c>
      <c r="W701" s="153" t="e">
        <f>+VLOOKUP($L701,Data_Validation!$A:$E,5,0)</f>
        <v>#N/A</v>
      </c>
    </row>
    <row r="702" spans="1:24" ht="15.75" customHeight="1">
      <c r="A702" s="1113"/>
      <c r="B702" s="1119"/>
      <c r="C702" s="1120"/>
      <c r="D702" s="1113"/>
      <c r="E702" s="1113"/>
      <c r="F702" s="1113"/>
      <c r="G702" s="1113"/>
      <c r="H702" s="1113"/>
      <c r="I702" s="1113"/>
      <c r="J702" s="1113"/>
      <c r="K702" s="1113"/>
      <c r="L702" s="150">
        <f t="shared" si="36"/>
        <v>0</v>
      </c>
      <c r="M702" s="151">
        <f t="shared" si="37"/>
        <v>0</v>
      </c>
      <c r="N702" s="152">
        <f>+IF(OR($Q702=Parametres!$G$2,$Q702=Parametres!$G$3),I702,C702)</f>
        <v>0</v>
      </c>
      <c r="O702" s="152">
        <f>+IF(OR($Q702=Parametres!$G$2,$Q702=Parametres!$G$3),J702,D702)</f>
        <v>0</v>
      </c>
      <c r="P702" s="152">
        <f>+IF(OR($Q702=Parametres!$G$2,$Q702=Parametres!$G$3),K702,E702)</f>
        <v>0</v>
      </c>
      <c r="Q702" s="151">
        <f t="shared" si="49"/>
        <v>0</v>
      </c>
      <c r="R702" s="150">
        <f t="shared" si="49"/>
        <v>0</v>
      </c>
      <c r="S702" s="151">
        <f t="shared" si="49"/>
        <v>0</v>
      </c>
      <c r="T702" s="153" t="e">
        <f>+VLOOKUP($L702,Data_Validation!$A:$D,1,0)</f>
        <v>#N/A</v>
      </c>
      <c r="U702" s="153" t="e">
        <f>+VLOOKUP($L702,Data_Validation!$A:$D,3,0)</f>
        <v>#N/A</v>
      </c>
      <c r="V702" s="153" t="e">
        <f>+VLOOKUP($L702,Data_Validation!$A:$D,4,0)</f>
        <v>#N/A</v>
      </c>
      <c r="W702" s="153" t="e">
        <f>+VLOOKUP($L702,Data_Validation!$A:$E,5,0)</f>
        <v>#N/A</v>
      </c>
    </row>
    <row r="703" spans="1:24" ht="15.75" customHeight="1">
      <c r="A703" s="1113"/>
      <c r="B703" s="1119"/>
      <c r="C703" s="1120"/>
      <c r="D703" s="1113"/>
      <c r="E703" s="1113"/>
      <c r="F703" s="1113"/>
      <c r="G703" s="1113"/>
      <c r="H703" s="1113"/>
      <c r="I703" s="1113"/>
      <c r="J703" s="1113"/>
      <c r="K703" s="1113"/>
      <c r="L703" s="150">
        <f t="shared" si="36"/>
        <v>0</v>
      </c>
      <c r="M703" s="151">
        <f t="shared" si="37"/>
        <v>0</v>
      </c>
      <c r="N703" s="152">
        <f>+IF(OR($Q703=Parametres!$G$2,$Q703=Parametres!$G$3),I703,C703)</f>
        <v>0</v>
      </c>
      <c r="O703" s="152">
        <f>+IF(OR($Q703=Parametres!$G$2,$Q703=Parametres!$G$3),J703,D703)</f>
        <v>0</v>
      </c>
      <c r="P703" s="152">
        <f>+IF(OR($Q703=Parametres!$G$2,$Q703=Parametres!$G$3),K703,E703)</f>
        <v>0</v>
      </c>
      <c r="Q703" s="151">
        <f t="shared" si="49"/>
        <v>0</v>
      </c>
      <c r="R703" s="150">
        <f t="shared" si="49"/>
        <v>0</v>
      </c>
      <c r="S703" s="151">
        <f t="shared" si="49"/>
        <v>0</v>
      </c>
      <c r="T703" s="153" t="e">
        <f>+VLOOKUP($L703,Data_Validation!$A:$D,1,0)</f>
        <v>#N/A</v>
      </c>
      <c r="U703" s="153" t="e">
        <f>+VLOOKUP($L703,Data_Validation!$A:$D,3,0)</f>
        <v>#N/A</v>
      </c>
      <c r="V703" s="153" t="e">
        <f>+VLOOKUP($L703,Data_Validation!$A:$D,4,0)</f>
        <v>#N/A</v>
      </c>
      <c r="W703" s="153" t="e">
        <f>+VLOOKUP($L703,Data_Validation!$A:$E,5,0)</f>
        <v>#N/A</v>
      </c>
    </row>
    <row r="704" spans="1:24" ht="15.75" customHeight="1">
      <c r="A704" s="1113"/>
      <c r="B704" s="1119"/>
      <c r="C704" s="1120"/>
      <c r="D704" s="1113"/>
      <c r="E704" s="1113"/>
      <c r="F704" s="1113"/>
      <c r="G704" s="1113"/>
      <c r="H704" s="1113"/>
      <c r="I704" s="1113"/>
      <c r="J704" s="1113"/>
      <c r="K704" s="1113"/>
      <c r="L704" s="150">
        <f t="shared" si="36"/>
        <v>0</v>
      </c>
      <c r="M704" s="151">
        <f t="shared" si="37"/>
        <v>0</v>
      </c>
      <c r="N704" s="152">
        <f>+IF(OR($Q704=Parametres!$G$2,$Q704=Parametres!$G$3),I704,C704)</f>
        <v>0</v>
      </c>
      <c r="O704" s="152">
        <f>+IF(OR($Q704=Parametres!$G$2,$Q704=Parametres!$G$3),J704,D704)</f>
        <v>0</v>
      </c>
      <c r="P704" s="152">
        <f>+IF(OR($Q704=Parametres!$G$2,$Q704=Parametres!$G$3),K704,E704)</f>
        <v>0</v>
      </c>
      <c r="Q704" s="151">
        <f t="shared" si="49"/>
        <v>0</v>
      </c>
      <c r="R704" s="150">
        <f t="shared" si="49"/>
        <v>0</v>
      </c>
      <c r="S704" s="151">
        <f t="shared" si="49"/>
        <v>0</v>
      </c>
      <c r="T704" s="153" t="e">
        <f>+VLOOKUP($L704,Data_Validation!$A:$D,1,0)</f>
        <v>#N/A</v>
      </c>
      <c r="U704" s="153" t="e">
        <f>+VLOOKUP($L704,Data_Validation!$A:$D,3,0)</f>
        <v>#N/A</v>
      </c>
      <c r="V704" s="153" t="e">
        <f>+VLOOKUP($L704,Data_Validation!$A:$D,4,0)</f>
        <v>#N/A</v>
      </c>
      <c r="W704" s="153" t="e">
        <f>+VLOOKUP($L704,Data_Validation!$A:$E,5,0)</f>
        <v>#N/A</v>
      </c>
    </row>
    <row r="705" spans="1:23" ht="15.75" customHeight="1">
      <c r="A705" s="1113"/>
      <c r="B705" s="1119"/>
      <c r="C705" s="1120"/>
      <c r="D705" s="1113"/>
      <c r="E705" s="1113"/>
      <c r="F705" s="1113"/>
      <c r="G705" s="1113"/>
      <c r="H705" s="1113"/>
      <c r="I705" s="1113"/>
      <c r="J705" s="1113"/>
      <c r="K705" s="1113"/>
      <c r="L705" s="150">
        <f t="shared" si="36"/>
        <v>0</v>
      </c>
      <c r="M705" s="151">
        <f t="shared" si="37"/>
        <v>0</v>
      </c>
      <c r="N705" s="152">
        <f>+IF(OR($Q705=Parametres!$G$2,$Q705=Parametres!$G$3),I705,C705)</f>
        <v>0</v>
      </c>
      <c r="O705" s="152">
        <f>+IF(OR($Q705=Parametres!$G$2,$Q705=Parametres!$G$3),J705,D705)</f>
        <v>0</v>
      </c>
      <c r="P705" s="152">
        <f>+IF(OR($Q705=Parametres!$G$2,$Q705=Parametres!$G$3),K705,E705)</f>
        <v>0</v>
      </c>
      <c r="Q705" s="151">
        <f t="shared" si="49"/>
        <v>0</v>
      </c>
      <c r="R705" s="150">
        <f t="shared" si="49"/>
        <v>0</v>
      </c>
      <c r="S705" s="151">
        <f t="shared" si="49"/>
        <v>0</v>
      </c>
      <c r="T705" s="153" t="e">
        <f>+VLOOKUP($L705,Data_Validation!$A:$D,1,0)</f>
        <v>#N/A</v>
      </c>
      <c r="U705" s="153" t="e">
        <f>+VLOOKUP($L705,Data_Validation!$A:$D,3,0)</f>
        <v>#N/A</v>
      </c>
      <c r="V705" s="153" t="e">
        <f>+VLOOKUP($L705,Data_Validation!$A:$D,4,0)</f>
        <v>#N/A</v>
      </c>
      <c r="W705" s="153" t="e">
        <f>+VLOOKUP($L705,Data_Validation!$A:$E,5,0)</f>
        <v>#N/A</v>
      </c>
    </row>
    <row r="706" spans="1:23" ht="15.75" customHeight="1">
      <c r="A706" s="1113"/>
      <c r="B706" s="1119"/>
      <c r="C706" s="1120"/>
      <c r="D706" s="1113"/>
      <c r="E706" s="1113"/>
      <c r="F706" s="1113"/>
      <c r="G706" s="1113"/>
      <c r="H706" s="1113"/>
      <c r="I706" s="1113"/>
      <c r="J706" s="1113"/>
      <c r="K706" s="1113"/>
      <c r="L706" s="150">
        <f t="shared" si="36"/>
        <v>0</v>
      </c>
      <c r="M706" s="151">
        <f t="shared" si="37"/>
        <v>0</v>
      </c>
      <c r="N706" s="152">
        <f>+IF(OR($Q706=Parametres!$G$2,$Q706=Parametres!$G$3),I706,C706)</f>
        <v>0</v>
      </c>
      <c r="O706" s="152">
        <f>+IF(OR($Q706=Parametres!$G$2,$Q706=Parametres!$G$3),J706,D706)</f>
        <v>0</v>
      </c>
      <c r="P706" s="152">
        <f>+IF(OR($Q706=Parametres!$G$2,$Q706=Parametres!$G$3),K706,E706)</f>
        <v>0</v>
      </c>
      <c r="Q706" s="151">
        <f t="shared" ref="Q706:S721" si="50">+F706</f>
        <v>0</v>
      </c>
      <c r="R706" s="150">
        <f t="shared" si="50"/>
        <v>0</v>
      </c>
      <c r="S706" s="151">
        <f t="shared" si="50"/>
        <v>0</v>
      </c>
      <c r="T706" s="153" t="e">
        <f>+VLOOKUP($L706,Data_Validation!$A:$D,1,0)</f>
        <v>#N/A</v>
      </c>
      <c r="U706" s="153" t="e">
        <f>+VLOOKUP($L706,Data_Validation!$A:$D,3,0)</f>
        <v>#N/A</v>
      </c>
      <c r="V706" s="153" t="e">
        <f>+VLOOKUP($L706,Data_Validation!$A:$D,4,0)</f>
        <v>#N/A</v>
      </c>
      <c r="W706" s="153" t="e">
        <f>+VLOOKUP($L706,Data_Validation!$A:$E,5,0)</f>
        <v>#N/A</v>
      </c>
    </row>
    <row r="707" spans="1:23" ht="15.75" customHeight="1">
      <c r="A707" s="1113"/>
      <c r="B707" s="1119"/>
      <c r="C707" s="1120"/>
      <c r="D707" s="1113"/>
      <c r="E707" s="1113"/>
      <c r="F707" s="1113"/>
      <c r="G707" s="1113"/>
      <c r="H707" s="1113"/>
      <c r="I707" s="1113"/>
      <c r="J707" s="1113"/>
      <c r="K707" s="1113"/>
      <c r="L707" s="150">
        <f t="shared" si="36"/>
        <v>0</v>
      </c>
      <c r="M707" s="151">
        <f t="shared" si="37"/>
        <v>0</v>
      </c>
      <c r="N707" s="152">
        <f>+IF(OR($Q707=Parametres!$G$2,$Q707=Parametres!$G$3),I707,C707)</f>
        <v>0</v>
      </c>
      <c r="O707" s="152">
        <f>+IF(OR($Q707=Parametres!$G$2,$Q707=Parametres!$G$3),J707,D707)</f>
        <v>0</v>
      </c>
      <c r="P707" s="152">
        <f>+IF(OR($Q707=Parametres!$G$2,$Q707=Parametres!$G$3),K707,E707)</f>
        <v>0</v>
      </c>
      <c r="Q707" s="151">
        <f t="shared" si="50"/>
        <v>0</v>
      </c>
      <c r="R707" s="150">
        <f t="shared" si="50"/>
        <v>0</v>
      </c>
      <c r="S707" s="151">
        <f t="shared" si="50"/>
        <v>0</v>
      </c>
      <c r="T707" s="153" t="e">
        <f>+VLOOKUP($L707,Data_Validation!$A:$D,1,0)</f>
        <v>#N/A</v>
      </c>
      <c r="U707" s="153" t="e">
        <f>+VLOOKUP($L707,Data_Validation!$A:$D,3,0)</f>
        <v>#N/A</v>
      </c>
      <c r="V707" s="153" t="e">
        <f>+VLOOKUP($L707,Data_Validation!$A:$D,4,0)</f>
        <v>#N/A</v>
      </c>
      <c r="W707" s="153" t="e">
        <f>+VLOOKUP($L707,Data_Validation!$A:$E,5,0)</f>
        <v>#N/A</v>
      </c>
    </row>
    <row r="708" spans="1:23" ht="15.75" customHeight="1">
      <c r="A708" s="1113"/>
      <c r="B708" s="1119"/>
      <c r="C708" s="1120"/>
      <c r="D708" s="1113"/>
      <c r="E708" s="1113"/>
      <c r="F708" s="1113"/>
      <c r="G708" s="1113"/>
      <c r="H708" s="1113"/>
      <c r="I708" s="1113"/>
      <c r="J708" s="1113"/>
      <c r="K708" s="1113"/>
      <c r="L708" s="150">
        <f t="shared" si="36"/>
        <v>0</v>
      </c>
      <c r="M708" s="151">
        <f t="shared" si="37"/>
        <v>0</v>
      </c>
      <c r="N708" s="152">
        <f>+IF(OR($Q708=Parametres!$G$2,$Q708=Parametres!$G$3),I708,C708)</f>
        <v>0</v>
      </c>
      <c r="O708" s="152">
        <f>+IF(OR($Q708=Parametres!$G$2,$Q708=Parametres!$G$3),J708,D708)</f>
        <v>0</v>
      </c>
      <c r="P708" s="152">
        <f>+IF(OR($Q708=Parametres!$G$2,$Q708=Parametres!$G$3),K708,E708)</f>
        <v>0</v>
      </c>
      <c r="Q708" s="151">
        <f t="shared" si="50"/>
        <v>0</v>
      </c>
      <c r="R708" s="150">
        <f t="shared" si="50"/>
        <v>0</v>
      </c>
      <c r="S708" s="151">
        <f t="shared" si="50"/>
        <v>0</v>
      </c>
      <c r="T708" s="153" t="e">
        <f>+VLOOKUP($L708,Data_Validation!$A:$D,1,0)</f>
        <v>#N/A</v>
      </c>
      <c r="U708" s="153" t="e">
        <f>+VLOOKUP($L708,Data_Validation!$A:$D,3,0)</f>
        <v>#N/A</v>
      </c>
      <c r="V708" s="153" t="e">
        <f>+VLOOKUP($L708,Data_Validation!$A:$D,4,0)</f>
        <v>#N/A</v>
      </c>
      <c r="W708" s="153" t="e">
        <f>+VLOOKUP($L708,Data_Validation!$A:$E,5,0)</f>
        <v>#N/A</v>
      </c>
    </row>
    <row r="709" spans="1:23" ht="15.75" customHeight="1">
      <c r="A709" s="1113"/>
      <c r="B709" s="1119"/>
      <c r="C709" s="1120"/>
      <c r="D709" s="1113"/>
      <c r="E709" s="1113"/>
      <c r="F709" s="1113"/>
      <c r="G709" s="1113"/>
      <c r="H709" s="1113"/>
      <c r="I709" s="1113"/>
      <c r="J709" s="1113"/>
      <c r="K709" s="1113"/>
      <c r="L709" s="150">
        <f t="shared" si="36"/>
        <v>0</v>
      </c>
      <c r="M709" s="151">
        <f t="shared" si="37"/>
        <v>0</v>
      </c>
      <c r="N709" s="152">
        <f>+IF(OR($Q709=Parametres!$G$2,$Q709=Parametres!$G$3),I709,C709)</f>
        <v>0</v>
      </c>
      <c r="O709" s="152">
        <f>+IF(OR($Q709=Parametres!$G$2,$Q709=Parametres!$G$3),J709,D709)</f>
        <v>0</v>
      </c>
      <c r="P709" s="152">
        <f>+IF(OR($Q709=Parametres!$G$2,$Q709=Parametres!$G$3),K709,E709)</f>
        <v>0</v>
      </c>
      <c r="Q709" s="151">
        <f t="shared" si="50"/>
        <v>0</v>
      </c>
      <c r="R709" s="150">
        <f t="shared" si="50"/>
        <v>0</v>
      </c>
      <c r="S709" s="151">
        <f t="shared" si="50"/>
        <v>0</v>
      </c>
      <c r="T709" s="153" t="e">
        <f>+VLOOKUP($L709,Data_Validation!$A:$D,1,0)</f>
        <v>#N/A</v>
      </c>
      <c r="U709" s="153" t="e">
        <f>+VLOOKUP($L709,Data_Validation!$A:$D,3,0)</f>
        <v>#N/A</v>
      </c>
      <c r="V709" s="153" t="e">
        <f>+VLOOKUP($L709,Data_Validation!$A:$D,4,0)</f>
        <v>#N/A</v>
      </c>
      <c r="W709" s="153" t="e">
        <f>+VLOOKUP($L709,Data_Validation!$A:$E,5,0)</f>
        <v>#N/A</v>
      </c>
    </row>
    <row r="710" spans="1:23" ht="15.75" customHeight="1">
      <c r="A710" s="1113"/>
      <c r="B710" s="1119"/>
      <c r="C710" s="1120"/>
      <c r="D710" s="1113"/>
      <c r="E710" s="1113"/>
      <c r="F710" s="1113"/>
      <c r="G710" s="1113"/>
      <c r="H710" s="1113"/>
      <c r="I710" s="1113"/>
      <c r="J710" s="1113"/>
      <c r="K710" s="1113"/>
      <c r="L710" s="150">
        <f t="shared" si="36"/>
        <v>0</v>
      </c>
      <c r="M710" s="151">
        <f t="shared" si="37"/>
        <v>0</v>
      </c>
      <c r="N710" s="152">
        <f>+IF(OR($Q710=Parametres!$G$2,$Q710=Parametres!$G$3),I710,C710)</f>
        <v>0</v>
      </c>
      <c r="O710" s="152">
        <f>+IF(OR($Q710=Parametres!$G$2,$Q710=Parametres!$G$3),J710,D710)</f>
        <v>0</v>
      </c>
      <c r="P710" s="152">
        <f>+IF(OR($Q710=Parametres!$G$2,$Q710=Parametres!$G$3),K710,E710)</f>
        <v>0</v>
      </c>
      <c r="Q710" s="151">
        <f t="shared" si="50"/>
        <v>0</v>
      </c>
      <c r="R710" s="150">
        <f t="shared" si="50"/>
        <v>0</v>
      </c>
      <c r="S710" s="151">
        <f t="shared" si="50"/>
        <v>0</v>
      </c>
      <c r="T710" s="153" t="e">
        <f>+VLOOKUP($L710,Data_Validation!$A:$D,1,0)</f>
        <v>#N/A</v>
      </c>
      <c r="U710" s="153" t="e">
        <f>+VLOOKUP($L710,Data_Validation!$A:$D,3,0)</f>
        <v>#N/A</v>
      </c>
      <c r="V710" s="153" t="e">
        <f>+VLOOKUP($L710,Data_Validation!$A:$D,4,0)</f>
        <v>#N/A</v>
      </c>
      <c r="W710" s="153" t="e">
        <f>+VLOOKUP($L710,Data_Validation!$A:$E,5,0)</f>
        <v>#N/A</v>
      </c>
    </row>
    <row r="711" spans="1:23" ht="15.75" customHeight="1">
      <c r="A711" s="1113"/>
      <c r="B711" s="1119"/>
      <c r="C711" s="1120"/>
      <c r="D711" s="1113"/>
      <c r="E711" s="1113"/>
      <c r="F711" s="1113"/>
      <c r="G711" s="1113"/>
      <c r="H711" s="1113"/>
      <c r="I711" s="1113"/>
      <c r="J711" s="1113"/>
      <c r="K711" s="1113"/>
      <c r="L711" s="150">
        <f t="shared" si="36"/>
        <v>0</v>
      </c>
      <c r="M711" s="151">
        <f t="shared" si="37"/>
        <v>0</v>
      </c>
      <c r="N711" s="152">
        <f>+IF(OR($Q711=Parametres!$G$2,$Q711=Parametres!$G$3),I711,C711)</f>
        <v>0</v>
      </c>
      <c r="O711" s="152">
        <f>+IF(OR($Q711=Parametres!$G$2,$Q711=Parametres!$G$3),J711,D711)</f>
        <v>0</v>
      </c>
      <c r="P711" s="152">
        <f>+IF(OR($Q711=Parametres!$G$2,$Q711=Parametres!$G$3),K711,E711)</f>
        <v>0</v>
      </c>
      <c r="Q711" s="151">
        <f t="shared" si="50"/>
        <v>0</v>
      </c>
      <c r="R711" s="150">
        <f t="shared" si="50"/>
        <v>0</v>
      </c>
      <c r="S711" s="151">
        <f t="shared" si="50"/>
        <v>0</v>
      </c>
      <c r="T711" s="153" t="e">
        <f>+VLOOKUP($L711,Data_Validation!$A:$D,1,0)</f>
        <v>#N/A</v>
      </c>
      <c r="U711" s="153" t="e">
        <f>+VLOOKUP($L711,Data_Validation!$A:$D,3,0)</f>
        <v>#N/A</v>
      </c>
      <c r="V711" s="153" t="e">
        <f>+VLOOKUP($L711,Data_Validation!$A:$D,4,0)</f>
        <v>#N/A</v>
      </c>
      <c r="W711" s="153" t="e">
        <f>+VLOOKUP($L711,Data_Validation!$A:$E,5,0)</f>
        <v>#N/A</v>
      </c>
    </row>
    <row r="712" spans="1:23" ht="15.75" customHeight="1">
      <c r="A712" s="1113"/>
      <c r="B712" s="1119"/>
      <c r="C712" s="1120"/>
      <c r="D712" s="1113"/>
      <c r="E712" s="1113"/>
      <c r="F712" s="1113"/>
      <c r="G712" s="1113"/>
      <c r="H712" s="1113"/>
      <c r="I712" s="1113"/>
      <c r="J712" s="1113"/>
      <c r="K712" s="1113"/>
      <c r="L712" s="150">
        <f t="shared" si="36"/>
        <v>0</v>
      </c>
      <c r="M712" s="151">
        <f t="shared" si="37"/>
        <v>0</v>
      </c>
      <c r="N712" s="152">
        <f>+IF(OR($Q712=Parametres!$G$2,$Q712=Parametres!$G$3),I712,C712)</f>
        <v>0</v>
      </c>
      <c r="O712" s="152">
        <f>+IF(OR($Q712=Parametres!$G$2,$Q712=Parametres!$G$3),J712,D712)</f>
        <v>0</v>
      </c>
      <c r="P712" s="152">
        <f>+IF(OR($Q712=Parametres!$G$2,$Q712=Parametres!$G$3),K712,E712)</f>
        <v>0</v>
      </c>
      <c r="Q712" s="151">
        <f t="shared" si="50"/>
        <v>0</v>
      </c>
      <c r="R712" s="150">
        <f t="shared" si="50"/>
        <v>0</v>
      </c>
      <c r="S712" s="151">
        <f t="shared" si="50"/>
        <v>0</v>
      </c>
      <c r="T712" s="153" t="e">
        <f>+VLOOKUP($L712,Data_Validation!$A:$D,1,0)</f>
        <v>#N/A</v>
      </c>
      <c r="U712" s="153" t="e">
        <f>+VLOOKUP($L712,Data_Validation!$A:$D,3,0)</f>
        <v>#N/A</v>
      </c>
      <c r="V712" s="153" t="e">
        <f>+VLOOKUP($L712,Data_Validation!$A:$D,4,0)</f>
        <v>#N/A</v>
      </c>
      <c r="W712" s="153" t="e">
        <f>+VLOOKUP($L712,Data_Validation!$A:$E,5,0)</f>
        <v>#N/A</v>
      </c>
    </row>
    <row r="713" spans="1:23" ht="15.75" customHeight="1">
      <c r="A713" s="1113"/>
      <c r="B713" s="1119"/>
      <c r="C713" s="1120"/>
      <c r="D713" s="1113"/>
      <c r="E713" s="1113"/>
      <c r="F713" s="1113"/>
      <c r="G713" s="1113"/>
      <c r="H713" s="1113"/>
      <c r="I713" s="1113"/>
      <c r="J713" s="1113"/>
      <c r="K713" s="1113"/>
      <c r="L713" s="150">
        <f t="shared" si="36"/>
        <v>0</v>
      </c>
      <c r="M713" s="151">
        <f t="shared" si="37"/>
        <v>0</v>
      </c>
      <c r="N713" s="152">
        <f>+IF(OR($Q713=Parametres!$G$2,$Q713=Parametres!$G$3),I713,C713)</f>
        <v>0</v>
      </c>
      <c r="O713" s="152">
        <f>+IF(OR($Q713=Parametres!$G$2,$Q713=Parametres!$G$3),J713,D713)</f>
        <v>0</v>
      </c>
      <c r="P713" s="152">
        <f>+IF(OR($Q713=Parametres!$G$2,$Q713=Parametres!$G$3),K713,E713)</f>
        <v>0</v>
      </c>
      <c r="Q713" s="151">
        <f t="shared" si="50"/>
        <v>0</v>
      </c>
      <c r="R713" s="150">
        <f t="shared" si="50"/>
        <v>0</v>
      </c>
      <c r="S713" s="151">
        <f t="shared" si="50"/>
        <v>0</v>
      </c>
      <c r="T713" s="153" t="e">
        <f>+VLOOKUP($L713,Data_Validation!$A:$D,1,0)</f>
        <v>#N/A</v>
      </c>
      <c r="U713" s="153" t="e">
        <f>+VLOOKUP($L713,Data_Validation!$A:$D,3,0)</f>
        <v>#N/A</v>
      </c>
      <c r="V713" s="153" t="e">
        <f>+VLOOKUP($L713,Data_Validation!$A:$D,4,0)</f>
        <v>#N/A</v>
      </c>
      <c r="W713" s="153" t="e">
        <f>+VLOOKUP($L713,Data_Validation!$A:$E,5,0)</f>
        <v>#N/A</v>
      </c>
    </row>
    <row r="714" spans="1:23" ht="15.75" customHeight="1">
      <c r="A714" s="1113"/>
      <c r="B714" s="1119"/>
      <c r="C714" s="1120"/>
      <c r="D714" s="1113"/>
      <c r="E714" s="1113"/>
      <c r="F714" s="1113"/>
      <c r="G714" s="1113"/>
      <c r="H714" s="1113"/>
      <c r="I714" s="1113"/>
      <c r="J714" s="1113"/>
      <c r="K714" s="1113"/>
      <c r="L714" s="150">
        <f t="shared" si="36"/>
        <v>0</v>
      </c>
      <c r="M714" s="151">
        <f t="shared" si="37"/>
        <v>0</v>
      </c>
      <c r="N714" s="152">
        <f>+IF(OR($Q714=Parametres!$G$2,$Q714=Parametres!$G$3),I714,C714)</f>
        <v>0</v>
      </c>
      <c r="O714" s="152">
        <f>+IF(OR($Q714=Parametres!$G$2,$Q714=Parametres!$G$3),J714,D714)</f>
        <v>0</v>
      </c>
      <c r="P714" s="152">
        <f>+IF(OR($Q714=Parametres!$G$2,$Q714=Parametres!$G$3),K714,E714)</f>
        <v>0</v>
      </c>
      <c r="Q714" s="151">
        <f t="shared" si="50"/>
        <v>0</v>
      </c>
      <c r="R714" s="150">
        <f t="shared" si="50"/>
        <v>0</v>
      </c>
      <c r="S714" s="151">
        <f t="shared" si="50"/>
        <v>0</v>
      </c>
      <c r="T714" s="153" t="e">
        <f>+VLOOKUP($L714,Data_Validation!$A:$D,1,0)</f>
        <v>#N/A</v>
      </c>
      <c r="U714" s="153" t="e">
        <f>+VLOOKUP($L714,Data_Validation!$A:$D,3,0)</f>
        <v>#N/A</v>
      </c>
      <c r="V714" s="153" t="e">
        <f>+VLOOKUP($L714,Data_Validation!$A:$D,4,0)</f>
        <v>#N/A</v>
      </c>
      <c r="W714" s="153" t="e">
        <f>+VLOOKUP($L714,Data_Validation!$A:$E,5,0)</f>
        <v>#N/A</v>
      </c>
    </row>
    <row r="715" spans="1:23" ht="15.75" customHeight="1">
      <c r="A715" s="1113"/>
      <c r="B715" s="1119"/>
      <c r="C715" s="1120"/>
      <c r="D715" s="1113"/>
      <c r="E715" s="1113"/>
      <c r="F715" s="1113"/>
      <c r="G715" s="1113"/>
      <c r="H715" s="1113"/>
      <c r="I715" s="1113"/>
      <c r="J715" s="1113"/>
      <c r="K715" s="1113"/>
      <c r="L715" s="150">
        <f t="shared" si="36"/>
        <v>0</v>
      </c>
      <c r="M715" s="151">
        <f t="shared" si="37"/>
        <v>0</v>
      </c>
      <c r="N715" s="152">
        <f>+IF(OR($Q715=Parametres!$G$2,$Q715=Parametres!$G$3),I715,C715)</f>
        <v>0</v>
      </c>
      <c r="O715" s="152">
        <f>+IF(OR($Q715=Parametres!$G$2,$Q715=Parametres!$G$3),J715,D715)</f>
        <v>0</v>
      </c>
      <c r="P715" s="152">
        <f>+IF(OR($Q715=Parametres!$G$2,$Q715=Parametres!$G$3),K715,E715)</f>
        <v>0</v>
      </c>
      <c r="Q715" s="151">
        <f t="shared" si="50"/>
        <v>0</v>
      </c>
      <c r="R715" s="150">
        <f t="shared" si="50"/>
        <v>0</v>
      </c>
      <c r="S715" s="151">
        <f t="shared" si="50"/>
        <v>0</v>
      </c>
      <c r="T715" s="153" t="e">
        <f>+VLOOKUP($L715,Data_Validation!$A:$D,1,0)</f>
        <v>#N/A</v>
      </c>
      <c r="U715" s="153" t="e">
        <f>+VLOOKUP($L715,Data_Validation!$A:$D,3,0)</f>
        <v>#N/A</v>
      </c>
      <c r="V715" s="153" t="e">
        <f>+VLOOKUP($L715,Data_Validation!$A:$D,4,0)</f>
        <v>#N/A</v>
      </c>
      <c r="W715" s="153" t="e">
        <f>+VLOOKUP($L715,Data_Validation!$A:$E,5,0)</f>
        <v>#N/A</v>
      </c>
    </row>
    <row r="716" spans="1:23" ht="15.75" customHeight="1">
      <c r="A716" s="1113"/>
      <c r="B716" s="1119"/>
      <c r="C716" s="1120"/>
      <c r="D716" s="1113"/>
      <c r="E716" s="1113"/>
      <c r="F716" s="1113"/>
      <c r="G716" s="1113"/>
      <c r="H716" s="1113"/>
      <c r="I716" s="1113"/>
      <c r="J716" s="1113"/>
      <c r="K716" s="1113"/>
      <c r="L716" s="150">
        <f t="shared" si="36"/>
        <v>0</v>
      </c>
      <c r="M716" s="151">
        <f t="shared" si="37"/>
        <v>0</v>
      </c>
      <c r="N716" s="152">
        <f>+IF(OR($Q716=Parametres!$G$2,$Q716=Parametres!$G$3),I716,C716)</f>
        <v>0</v>
      </c>
      <c r="O716" s="152">
        <f>+IF(OR($Q716=Parametres!$G$2,$Q716=Parametres!$G$3),J716,D716)</f>
        <v>0</v>
      </c>
      <c r="P716" s="152">
        <f>+IF(OR($Q716=Parametres!$G$2,$Q716=Parametres!$G$3),K716,E716)</f>
        <v>0</v>
      </c>
      <c r="Q716" s="151">
        <f t="shared" si="50"/>
        <v>0</v>
      </c>
      <c r="R716" s="150">
        <f t="shared" si="50"/>
        <v>0</v>
      </c>
      <c r="S716" s="151">
        <f t="shared" si="50"/>
        <v>0</v>
      </c>
      <c r="T716" s="153" t="e">
        <f>+VLOOKUP($L716,Data_Validation!$A:$D,1,0)</f>
        <v>#N/A</v>
      </c>
      <c r="U716" s="153" t="e">
        <f>+VLOOKUP($L716,Data_Validation!$A:$D,3,0)</f>
        <v>#N/A</v>
      </c>
      <c r="V716" s="153" t="e">
        <f>+VLOOKUP($L716,Data_Validation!$A:$D,4,0)</f>
        <v>#N/A</v>
      </c>
      <c r="W716" s="153" t="e">
        <f>+VLOOKUP($L716,Data_Validation!$A:$E,5,0)</f>
        <v>#N/A</v>
      </c>
    </row>
    <row r="717" spans="1:23" ht="15.75" customHeight="1">
      <c r="A717" s="1113"/>
      <c r="B717" s="1119"/>
      <c r="C717" s="1120"/>
      <c r="D717" s="1113"/>
      <c r="E717" s="1113"/>
      <c r="F717" s="1113"/>
      <c r="G717" s="1113"/>
      <c r="H717" s="1113"/>
      <c r="I717" s="1113"/>
      <c r="J717" s="1113"/>
      <c r="K717" s="1113"/>
      <c r="L717" s="150">
        <f t="shared" si="36"/>
        <v>0</v>
      </c>
      <c r="M717" s="151">
        <f t="shared" si="37"/>
        <v>0</v>
      </c>
      <c r="N717" s="152">
        <f>+IF(OR($Q717=Parametres!$G$2,$Q717=Parametres!$G$3),I717,C717)</f>
        <v>0</v>
      </c>
      <c r="O717" s="152">
        <f>+IF(OR($Q717=Parametres!$G$2,$Q717=Parametres!$G$3),J717,D717)</f>
        <v>0</v>
      </c>
      <c r="P717" s="152">
        <f>+IF(OR($Q717=Parametres!$G$2,$Q717=Parametres!$G$3),K717,E717)</f>
        <v>0</v>
      </c>
      <c r="Q717" s="151">
        <f t="shared" si="50"/>
        <v>0</v>
      </c>
      <c r="R717" s="150">
        <f t="shared" si="50"/>
        <v>0</v>
      </c>
      <c r="S717" s="151">
        <f t="shared" si="50"/>
        <v>0</v>
      </c>
      <c r="T717" s="153" t="e">
        <f>+VLOOKUP($L717,Data_Validation!$A:$D,1,0)</f>
        <v>#N/A</v>
      </c>
      <c r="U717" s="153" t="e">
        <f>+VLOOKUP($L717,Data_Validation!$A:$D,3,0)</f>
        <v>#N/A</v>
      </c>
      <c r="V717" s="153" t="e">
        <f>+VLOOKUP($L717,Data_Validation!$A:$D,4,0)</f>
        <v>#N/A</v>
      </c>
      <c r="W717" s="153" t="e">
        <f>+VLOOKUP($L717,Data_Validation!$A:$E,5,0)</f>
        <v>#N/A</v>
      </c>
    </row>
    <row r="718" spans="1:23" ht="15.75" customHeight="1">
      <c r="A718" s="1113"/>
      <c r="B718" s="1119"/>
      <c r="C718" s="1120"/>
      <c r="D718" s="1113"/>
      <c r="E718" s="1113"/>
      <c r="F718" s="1113"/>
      <c r="G718" s="1113"/>
      <c r="H718" s="1113"/>
      <c r="I718" s="1113"/>
      <c r="J718" s="1113"/>
      <c r="K718" s="1113"/>
      <c r="L718" s="150">
        <f t="shared" si="36"/>
        <v>0</v>
      </c>
      <c r="M718" s="151">
        <f t="shared" si="37"/>
        <v>0</v>
      </c>
      <c r="N718" s="152">
        <f>+IF(OR($Q718=Parametres!$G$2,$Q718=Parametres!$G$3),I718,C718)</f>
        <v>0</v>
      </c>
      <c r="O718" s="152">
        <f>+IF(OR($Q718=Parametres!$G$2,$Q718=Parametres!$G$3),J718,D718)</f>
        <v>0</v>
      </c>
      <c r="P718" s="152">
        <f>+IF(OR($Q718=Parametres!$G$2,$Q718=Parametres!$G$3),K718,E718)</f>
        <v>0</v>
      </c>
      <c r="Q718" s="151">
        <f t="shared" si="50"/>
        <v>0</v>
      </c>
      <c r="R718" s="150">
        <f t="shared" si="50"/>
        <v>0</v>
      </c>
      <c r="S718" s="151">
        <f t="shared" si="50"/>
        <v>0</v>
      </c>
      <c r="T718" s="153" t="e">
        <f>+VLOOKUP($L718,Data_Validation!$A:$D,1,0)</f>
        <v>#N/A</v>
      </c>
      <c r="U718" s="153" t="e">
        <f>+VLOOKUP($L718,Data_Validation!$A:$D,3,0)</f>
        <v>#N/A</v>
      </c>
      <c r="V718" s="153" t="e">
        <f>+VLOOKUP($L718,Data_Validation!$A:$D,4,0)</f>
        <v>#N/A</v>
      </c>
      <c r="W718" s="153" t="e">
        <f>+VLOOKUP($L718,Data_Validation!$A:$E,5,0)</f>
        <v>#N/A</v>
      </c>
    </row>
    <row r="719" spans="1:23" ht="15.75" customHeight="1">
      <c r="A719" s="1113"/>
      <c r="B719" s="1119"/>
      <c r="C719" s="1120"/>
      <c r="D719" s="1113"/>
      <c r="E719" s="1113"/>
      <c r="F719" s="1113"/>
      <c r="G719" s="1113"/>
      <c r="H719" s="1113"/>
      <c r="I719" s="1113"/>
      <c r="J719" s="1113"/>
      <c r="K719" s="1113"/>
      <c r="L719" s="150">
        <f t="shared" si="36"/>
        <v>0</v>
      </c>
      <c r="M719" s="151">
        <f t="shared" si="37"/>
        <v>0</v>
      </c>
      <c r="N719" s="152">
        <f>+IF(OR($Q719=Parametres!$G$2,$Q719=Parametres!$G$3),I719,C719)</f>
        <v>0</v>
      </c>
      <c r="O719" s="152">
        <f>+IF(OR($Q719=Parametres!$G$2,$Q719=Parametres!$G$3),J719,D719)</f>
        <v>0</v>
      </c>
      <c r="P719" s="152">
        <f>+IF(OR($Q719=Parametres!$G$2,$Q719=Parametres!$G$3),K719,E719)</f>
        <v>0</v>
      </c>
      <c r="Q719" s="151">
        <f t="shared" si="50"/>
        <v>0</v>
      </c>
      <c r="R719" s="150">
        <f t="shared" si="50"/>
        <v>0</v>
      </c>
      <c r="S719" s="151">
        <f t="shared" si="50"/>
        <v>0</v>
      </c>
      <c r="T719" s="153" t="e">
        <f>+VLOOKUP($L719,Data_Validation!$A:$D,1,0)</f>
        <v>#N/A</v>
      </c>
      <c r="U719" s="153" t="e">
        <f>+VLOOKUP($L719,Data_Validation!$A:$D,3,0)</f>
        <v>#N/A</v>
      </c>
      <c r="V719" s="153" t="e">
        <f>+VLOOKUP($L719,Data_Validation!$A:$D,4,0)</f>
        <v>#N/A</v>
      </c>
      <c r="W719" s="153" t="e">
        <f>+VLOOKUP($L719,Data_Validation!$A:$E,5,0)</f>
        <v>#N/A</v>
      </c>
    </row>
    <row r="720" spans="1:23" ht="15.75" customHeight="1">
      <c r="A720" s="1113"/>
      <c r="B720" s="1119"/>
      <c r="C720" s="1120"/>
      <c r="D720" s="1113"/>
      <c r="E720" s="1113"/>
      <c r="F720" s="1113"/>
      <c r="G720" s="1113"/>
      <c r="H720" s="1113"/>
      <c r="I720" s="1113"/>
      <c r="J720" s="1113"/>
      <c r="K720" s="1113"/>
      <c r="L720" s="150">
        <f t="shared" si="36"/>
        <v>0</v>
      </c>
      <c r="M720" s="151">
        <f t="shared" si="37"/>
        <v>0</v>
      </c>
      <c r="N720" s="152">
        <f>+IF(OR($Q720=Parametres!$G$2,$Q720=Parametres!$G$3),I720,C720)</f>
        <v>0</v>
      </c>
      <c r="O720" s="152">
        <f>+IF(OR($Q720=Parametres!$G$2,$Q720=Parametres!$G$3),J720,D720)</f>
        <v>0</v>
      </c>
      <c r="P720" s="152">
        <f>+IF(OR($Q720=Parametres!$G$2,$Q720=Parametres!$G$3),K720,E720)</f>
        <v>0</v>
      </c>
      <c r="Q720" s="151">
        <f t="shared" si="50"/>
        <v>0</v>
      </c>
      <c r="R720" s="150">
        <f t="shared" si="50"/>
        <v>0</v>
      </c>
      <c r="S720" s="151">
        <f t="shared" si="50"/>
        <v>0</v>
      </c>
      <c r="T720" s="153" t="e">
        <f>+VLOOKUP($L720,Data_Validation!$A:$D,1,0)</f>
        <v>#N/A</v>
      </c>
      <c r="U720" s="153" t="e">
        <f>+VLOOKUP($L720,Data_Validation!$A:$D,3,0)</f>
        <v>#N/A</v>
      </c>
      <c r="V720" s="153" t="e">
        <f>+VLOOKUP($L720,Data_Validation!$A:$D,4,0)</f>
        <v>#N/A</v>
      </c>
      <c r="W720" s="153" t="e">
        <f>+VLOOKUP($L720,Data_Validation!$A:$E,5,0)</f>
        <v>#N/A</v>
      </c>
    </row>
    <row r="721" spans="1:23" ht="15.75" customHeight="1">
      <c r="A721" s="1113"/>
      <c r="B721" s="1119"/>
      <c r="C721" s="1120"/>
      <c r="D721" s="1113"/>
      <c r="E721" s="1113"/>
      <c r="F721" s="1113"/>
      <c r="G721" s="1113"/>
      <c r="H721" s="1113"/>
      <c r="I721" s="1113"/>
      <c r="J721" s="1113"/>
      <c r="K721" s="1113"/>
      <c r="L721" s="150">
        <f t="shared" si="36"/>
        <v>0</v>
      </c>
      <c r="M721" s="151">
        <f t="shared" si="37"/>
        <v>0</v>
      </c>
      <c r="N721" s="152">
        <f>+IF(OR($Q721=Parametres!$G$2,$Q721=Parametres!$G$3),I721,C721)</f>
        <v>0</v>
      </c>
      <c r="O721" s="152">
        <f>+IF(OR($Q721=Parametres!$G$2,$Q721=Parametres!$G$3),J721,D721)</f>
        <v>0</v>
      </c>
      <c r="P721" s="152">
        <f>+IF(OR($Q721=Parametres!$G$2,$Q721=Parametres!$G$3),K721,E721)</f>
        <v>0</v>
      </c>
      <c r="Q721" s="151">
        <f t="shared" si="50"/>
        <v>0</v>
      </c>
      <c r="R721" s="150">
        <f t="shared" si="50"/>
        <v>0</v>
      </c>
      <c r="S721" s="151">
        <f t="shared" si="50"/>
        <v>0</v>
      </c>
      <c r="T721" s="153" t="e">
        <f>+VLOOKUP($L721,Data_Validation!$A:$D,1,0)</f>
        <v>#N/A</v>
      </c>
      <c r="U721" s="153" t="e">
        <f>+VLOOKUP($L721,Data_Validation!$A:$D,3,0)</f>
        <v>#N/A</v>
      </c>
      <c r="V721" s="153" t="e">
        <f>+VLOOKUP($L721,Data_Validation!$A:$D,4,0)</f>
        <v>#N/A</v>
      </c>
      <c r="W721" s="153" t="e">
        <f>+VLOOKUP($L721,Data_Validation!$A:$E,5,0)</f>
        <v>#N/A</v>
      </c>
    </row>
    <row r="722" spans="1:23" ht="15.75" customHeight="1">
      <c r="A722" s="1113"/>
      <c r="B722" s="1119"/>
      <c r="C722" s="1120"/>
      <c r="D722" s="1113"/>
      <c r="E722" s="1113"/>
      <c r="F722" s="1113"/>
      <c r="G722" s="1113"/>
      <c r="H722" s="1113"/>
      <c r="I722" s="1113"/>
      <c r="J722" s="1113"/>
      <c r="K722" s="1113"/>
      <c r="L722" s="150">
        <f t="shared" si="36"/>
        <v>0</v>
      </c>
      <c r="M722" s="151">
        <f t="shared" si="37"/>
        <v>0</v>
      </c>
      <c r="N722" s="152">
        <f>+IF(OR($Q722=Parametres!$G$2,$Q722=Parametres!$G$3),I722,C722)</f>
        <v>0</v>
      </c>
      <c r="O722" s="152">
        <f>+IF(OR($Q722=Parametres!$G$2,$Q722=Parametres!$G$3),J722,D722)</f>
        <v>0</v>
      </c>
      <c r="P722" s="152">
        <f>+IF(OR($Q722=Parametres!$G$2,$Q722=Parametres!$G$3),K722,E722)</f>
        <v>0</v>
      </c>
      <c r="Q722" s="151">
        <f t="shared" ref="Q722:S737" si="51">+F722</f>
        <v>0</v>
      </c>
      <c r="R722" s="150">
        <f t="shared" si="51"/>
        <v>0</v>
      </c>
      <c r="S722" s="151">
        <f t="shared" si="51"/>
        <v>0</v>
      </c>
      <c r="T722" s="153" t="e">
        <f>+VLOOKUP($L722,Data_Validation!$A:$D,1,0)</f>
        <v>#N/A</v>
      </c>
      <c r="U722" s="153" t="e">
        <f>+VLOOKUP($L722,Data_Validation!$A:$D,3,0)</f>
        <v>#N/A</v>
      </c>
      <c r="V722" s="153" t="e">
        <f>+VLOOKUP($L722,Data_Validation!$A:$D,4,0)</f>
        <v>#N/A</v>
      </c>
      <c r="W722" s="153" t="e">
        <f>+VLOOKUP($L722,Data_Validation!$A:$E,5,0)</f>
        <v>#N/A</v>
      </c>
    </row>
    <row r="723" spans="1:23" ht="15.75" customHeight="1">
      <c r="A723" s="1113"/>
      <c r="B723" s="1119"/>
      <c r="C723" s="1120"/>
      <c r="D723" s="1113"/>
      <c r="E723" s="1113"/>
      <c r="F723" s="1113"/>
      <c r="G723" s="1113"/>
      <c r="H723" s="1113"/>
      <c r="I723" s="1113"/>
      <c r="J723" s="1113"/>
      <c r="K723" s="1113"/>
      <c r="L723" s="150">
        <f t="shared" si="36"/>
        <v>0</v>
      </c>
      <c r="M723" s="151">
        <f t="shared" si="37"/>
        <v>0</v>
      </c>
      <c r="N723" s="152">
        <f>+IF(OR($Q723=Parametres!$G$2,$Q723=Parametres!$G$3),I723,C723)</f>
        <v>0</v>
      </c>
      <c r="O723" s="152">
        <f>+IF(OR($Q723=Parametres!$G$2,$Q723=Parametres!$G$3),J723,D723)</f>
        <v>0</v>
      </c>
      <c r="P723" s="152">
        <f>+IF(OR($Q723=Parametres!$G$2,$Q723=Parametres!$G$3),K723,E723)</f>
        <v>0</v>
      </c>
      <c r="Q723" s="151">
        <f t="shared" si="51"/>
        <v>0</v>
      </c>
      <c r="R723" s="150">
        <f t="shared" si="51"/>
        <v>0</v>
      </c>
      <c r="S723" s="151">
        <f t="shared" si="51"/>
        <v>0</v>
      </c>
      <c r="T723" s="153" t="e">
        <f>+VLOOKUP($L723,Data_Validation!$A:$D,1,0)</f>
        <v>#N/A</v>
      </c>
      <c r="U723" s="153" t="e">
        <f>+VLOOKUP($L723,Data_Validation!$A:$D,3,0)</f>
        <v>#N/A</v>
      </c>
      <c r="V723" s="153" t="e">
        <f>+VLOOKUP($L723,Data_Validation!$A:$D,4,0)</f>
        <v>#N/A</v>
      </c>
      <c r="W723" s="153" t="e">
        <f>+VLOOKUP($L723,Data_Validation!$A:$E,5,0)</f>
        <v>#N/A</v>
      </c>
    </row>
    <row r="724" spans="1:23" ht="15.75" customHeight="1">
      <c r="A724" s="1113"/>
      <c r="B724" s="1119"/>
      <c r="C724" s="1120"/>
      <c r="D724" s="1113"/>
      <c r="E724" s="1113"/>
      <c r="F724" s="1113"/>
      <c r="G724" s="1113"/>
      <c r="H724" s="1113"/>
      <c r="I724" s="1113"/>
      <c r="J724" s="1113"/>
      <c r="K724" s="1113"/>
      <c r="L724" s="150">
        <f t="shared" si="36"/>
        <v>0</v>
      </c>
      <c r="M724" s="151">
        <f t="shared" si="37"/>
        <v>0</v>
      </c>
      <c r="N724" s="152">
        <f>+IF(OR($Q724=Parametres!$G$2,$Q724=Parametres!$G$3),I724,C724)</f>
        <v>0</v>
      </c>
      <c r="O724" s="152">
        <f>+IF(OR($Q724=Parametres!$G$2,$Q724=Parametres!$G$3),J724,D724)</f>
        <v>0</v>
      </c>
      <c r="P724" s="152">
        <f>+IF(OR($Q724=Parametres!$G$2,$Q724=Parametres!$G$3),K724,E724)</f>
        <v>0</v>
      </c>
      <c r="Q724" s="151">
        <f t="shared" si="51"/>
        <v>0</v>
      </c>
      <c r="R724" s="150">
        <f t="shared" si="51"/>
        <v>0</v>
      </c>
      <c r="S724" s="151">
        <f t="shared" si="51"/>
        <v>0</v>
      </c>
      <c r="T724" s="153" t="e">
        <f>+VLOOKUP($L724,Data_Validation!$A:$D,1,0)</f>
        <v>#N/A</v>
      </c>
      <c r="U724" s="153" t="e">
        <f>+VLOOKUP($L724,Data_Validation!$A:$D,3,0)</f>
        <v>#N/A</v>
      </c>
      <c r="V724" s="153" t="e">
        <f>+VLOOKUP($L724,Data_Validation!$A:$D,4,0)</f>
        <v>#N/A</v>
      </c>
      <c r="W724" s="153" t="e">
        <f>+VLOOKUP($L724,Data_Validation!$A:$E,5,0)</f>
        <v>#N/A</v>
      </c>
    </row>
    <row r="725" spans="1:23" ht="15.75" customHeight="1">
      <c r="A725" s="1113"/>
      <c r="B725" s="1119"/>
      <c r="C725" s="1120"/>
      <c r="D725" s="1113"/>
      <c r="E725" s="1113"/>
      <c r="F725" s="1113"/>
      <c r="G725" s="1113"/>
      <c r="H725" s="1113"/>
      <c r="I725" s="1113"/>
      <c r="J725" s="1113"/>
      <c r="K725" s="1113"/>
      <c r="L725" s="150">
        <f t="shared" si="36"/>
        <v>0</v>
      </c>
      <c r="M725" s="151">
        <f t="shared" si="37"/>
        <v>0</v>
      </c>
      <c r="N725" s="152">
        <f>+IF(OR($Q725=Parametres!$G$2,$Q725=Parametres!$G$3),I725,C725)</f>
        <v>0</v>
      </c>
      <c r="O725" s="152">
        <f>+IF(OR($Q725=Parametres!$G$2,$Q725=Parametres!$G$3),J725,D725)</f>
        <v>0</v>
      </c>
      <c r="P725" s="152">
        <f>+IF(OR($Q725=Parametres!$G$2,$Q725=Parametres!$G$3),K725,E725)</f>
        <v>0</v>
      </c>
      <c r="Q725" s="151">
        <f t="shared" si="51"/>
        <v>0</v>
      </c>
      <c r="R725" s="150">
        <f t="shared" si="51"/>
        <v>0</v>
      </c>
      <c r="S725" s="151">
        <f t="shared" si="51"/>
        <v>0</v>
      </c>
      <c r="T725" s="153" t="e">
        <f>+VLOOKUP($L725,Data_Validation!$A:$D,1,0)</f>
        <v>#N/A</v>
      </c>
      <c r="U725" s="153" t="e">
        <f>+VLOOKUP($L725,Data_Validation!$A:$D,3,0)</f>
        <v>#N/A</v>
      </c>
      <c r="V725" s="153" t="e">
        <f>+VLOOKUP($L725,Data_Validation!$A:$D,4,0)</f>
        <v>#N/A</v>
      </c>
      <c r="W725" s="153" t="e">
        <f>+VLOOKUP($L725,Data_Validation!$A:$E,5,0)</f>
        <v>#N/A</v>
      </c>
    </row>
    <row r="726" spans="1:23" ht="15.75" customHeight="1">
      <c r="A726" s="1113"/>
      <c r="B726" s="1119"/>
      <c r="C726" s="1120"/>
      <c r="D726" s="1113"/>
      <c r="E726" s="1113"/>
      <c r="F726" s="1113"/>
      <c r="G726" s="1113"/>
      <c r="H726" s="1113"/>
      <c r="I726" s="1113"/>
      <c r="J726" s="1113"/>
      <c r="K726" s="1113"/>
      <c r="L726" s="150">
        <f t="shared" si="36"/>
        <v>0</v>
      </c>
      <c r="M726" s="151">
        <f t="shared" si="37"/>
        <v>0</v>
      </c>
      <c r="N726" s="152">
        <f>+IF(OR($Q726=Parametres!$G$2,$Q726=Parametres!$G$3),I726,C726)</f>
        <v>0</v>
      </c>
      <c r="O726" s="152">
        <f>+IF(OR($Q726=Parametres!$G$2,$Q726=Parametres!$G$3),J726,D726)</f>
        <v>0</v>
      </c>
      <c r="P726" s="152">
        <f>+IF(OR($Q726=Parametres!$G$2,$Q726=Parametres!$G$3),K726,E726)</f>
        <v>0</v>
      </c>
      <c r="Q726" s="151">
        <f t="shared" si="51"/>
        <v>0</v>
      </c>
      <c r="R726" s="150">
        <f t="shared" si="51"/>
        <v>0</v>
      </c>
      <c r="S726" s="151">
        <f t="shared" si="51"/>
        <v>0</v>
      </c>
      <c r="T726" s="153" t="e">
        <f>+VLOOKUP($L726,Data_Validation!$A:$D,1,0)</f>
        <v>#N/A</v>
      </c>
      <c r="U726" s="153" t="e">
        <f>+VLOOKUP($L726,Data_Validation!$A:$D,3,0)</f>
        <v>#N/A</v>
      </c>
      <c r="V726" s="153" t="e">
        <f>+VLOOKUP($L726,Data_Validation!$A:$D,4,0)</f>
        <v>#N/A</v>
      </c>
      <c r="W726" s="153" t="e">
        <f>+VLOOKUP($L726,Data_Validation!$A:$E,5,0)</f>
        <v>#N/A</v>
      </c>
    </row>
    <row r="727" spans="1:23" ht="15.75" customHeight="1">
      <c r="A727" s="1113"/>
      <c r="B727" s="1119"/>
      <c r="C727" s="1120"/>
      <c r="D727" s="1113"/>
      <c r="E727" s="1113"/>
      <c r="F727" s="1113"/>
      <c r="G727" s="1113"/>
      <c r="H727" s="1113"/>
      <c r="I727" s="1113"/>
      <c r="J727" s="1113"/>
      <c r="K727" s="1113"/>
      <c r="L727" s="150">
        <f t="shared" si="36"/>
        <v>0</v>
      </c>
      <c r="M727" s="151">
        <f t="shared" si="37"/>
        <v>0</v>
      </c>
      <c r="N727" s="152">
        <f>+IF(OR($Q727=Parametres!$G$2,$Q727=Parametres!$G$3),I727,C727)</f>
        <v>0</v>
      </c>
      <c r="O727" s="152">
        <f>+IF(OR($Q727=Parametres!$G$2,$Q727=Parametres!$G$3),J727,D727)</f>
        <v>0</v>
      </c>
      <c r="P727" s="152">
        <f>+IF(OR($Q727=Parametres!$G$2,$Q727=Parametres!$G$3),K727,E727)</f>
        <v>0</v>
      </c>
      <c r="Q727" s="151">
        <f t="shared" si="51"/>
        <v>0</v>
      </c>
      <c r="R727" s="150">
        <f t="shared" si="51"/>
        <v>0</v>
      </c>
      <c r="S727" s="151">
        <f t="shared" si="51"/>
        <v>0</v>
      </c>
      <c r="T727" s="153" t="e">
        <f>+VLOOKUP($L727,Data_Validation!$A:$D,1,0)</f>
        <v>#N/A</v>
      </c>
      <c r="U727" s="153" t="e">
        <f>+VLOOKUP($L727,Data_Validation!$A:$D,3,0)</f>
        <v>#N/A</v>
      </c>
      <c r="V727" s="153" t="e">
        <f>+VLOOKUP($L727,Data_Validation!$A:$D,4,0)</f>
        <v>#N/A</v>
      </c>
      <c r="W727" s="153" t="e">
        <f>+VLOOKUP($L727,Data_Validation!$A:$E,5,0)</f>
        <v>#N/A</v>
      </c>
    </row>
    <row r="728" spans="1:23" ht="15.75" customHeight="1">
      <c r="A728" s="1113"/>
      <c r="B728" s="1119"/>
      <c r="C728" s="1120"/>
      <c r="D728" s="1113"/>
      <c r="E728" s="1113"/>
      <c r="F728" s="1113"/>
      <c r="G728" s="1113"/>
      <c r="H728" s="1113"/>
      <c r="I728" s="1113"/>
      <c r="J728" s="1113"/>
      <c r="K728" s="1113"/>
      <c r="L728" s="150">
        <f t="shared" si="36"/>
        <v>0</v>
      </c>
      <c r="M728" s="151">
        <f t="shared" si="37"/>
        <v>0</v>
      </c>
      <c r="N728" s="152">
        <f>+IF(OR($Q728=Parametres!$G$2,$Q728=Parametres!$G$3),I728,C728)</f>
        <v>0</v>
      </c>
      <c r="O728" s="152">
        <f>+IF(OR($Q728=Parametres!$G$2,$Q728=Parametres!$G$3),J728,D728)</f>
        <v>0</v>
      </c>
      <c r="P728" s="152">
        <f>+IF(OR($Q728=Parametres!$G$2,$Q728=Parametres!$G$3),K728,E728)</f>
        <v>0</v>
      </c>
      <c r="Q728" s="151">
        <f t="shared" si="51"/>
        <v>0</v>
      </c>
      <c r="R728" s="150">
        <f t="shared" si="51"/>
        <v>0</v>
      </c>
      <c r="S728" s="151">
        <f t="shared" si="51"/>
        <v>0</v>
      </c>
      <c r="T728" s="153" t="e">
        <f>+VLOOKUP($L728,Data_Validation!$A:$D,1,0)</f>
        <v>#N/A</v>
      </c>
      <c r="U728" s="153" t="e">
        <f>+VLOOKUP($L728,Data_Validation!$A:$D,3,0)</f>
        <v>#N/A</v>
      </c>
      <c r="V728" s="153" t="e">
        <f>+VLOOKUP($L728,Data_Validation!$A:$D,4,0)</f>
        <v>#N/A</v>
      </c>
      <c r="W728" s="153" t="e">
        <f>+VLOOKUP($L728,Data_Validation!$A:$E,5,0)</f>
        <v>#N/A</v>
      </c>
    </row>
    <row r="729" spans="1:23" ht="15.75" customHeight="1">
      <c r="A729" s="1113"/>
      <c r="B729" s="1119"/>
      <c r="C729" s="1120"/>
      <c r="D729" s="1113"/>
      <c r="E729" s="1113"/>
      <c r="F729" s="1113"/>
      <c r="G729" s="1113"/>
      <c r="H729" s="1113"/>
      <c r="I729" s="1113"/>
      <c r="J729" s="1113"/>
      <c r="K729" s="1113"/>
      <c r="L729" s="150">
        <f t="shared" si="36"/>
        <v>0</v>
      </c>
      <c r="M729" s="151">
        <f t="shared" si="37"/>
        <v>0</v>
      </c>
      <c r="N729" s="152">
        <f>+IF(OR($Q729=Parametres!$G$2,$Q729=Parametres!$G$3),I729,C729)</f>
        <v>0</v>
      </c>
      <c r="O729" s="152">
        <f>+IF(OR($Q729=Parametres!$G$2,$Q729=Parametres!$G$3),J729,D729)</f>
        <v>0</v>
      </c>
      <c r="P729" s="152">
        <f>+IF(OR($Q729=Parametres!$G$2,$Q729=Parametres!$G$3),K729,E729)</f>
        <v>0</v>
      </c>
      <c r="Q729" s="151">
        <f t="shared" si="51"/>
        <v>0</v>
      </c>
      <c r="R729" s="150">
        <f t="shared" si="51"/>
        <v>0</v>
      </c>
      <c r="S729" s="151">
        <f t="shared" si="51"/>
        <v>0</v>
      </c>
      <c r="T729" s="153" t="e">
        <f>+VLOOKUP($L729,Data_Validation!$A:$D,1,0)</f>
        <v>#N/A</v>
      </c>
      <c r="U729" s="153" t="e">
        <f>+VLOOKUP($L729,Data_Validation!$A:$D,3,0)</f>
        <v>#N/A</v>
      </c>
      <c r="V729" s="153" t="e">
        <f>+VLOOKUP($L729,Data_Validation!$A:$D,4,0)</f>
        <v>#N/A</v>
      </c>
      <c r="W729" s="153" t="e">
        <f>+VLOOKUP($L729,Data_Validation!$A:$E,5,0)</f>
        <v>#N/A</v>
      </c>
    </row>
    <row r="730" spans="1:23" ht="15.75" customHeight="1">
      <c r="A730" s="1113"/>
      <c r="B730" s="1119"/>
      <c r="C730" s="1120"/>
      <c r="D730" s="1113"/>
      <c r="E730" s="1113"/>
      <c r="F730" s="1113"/>
      <c r="G730" s="1113"/>
      <c r="H730" s="1113"/>
      <c r="I730" s="1113"/>
      <c r="J730" s="1113"/>
      <c r="K730" s="1113"/>
      <c r="L730" s="150">
        <f t="shared" si="36"/>
        <v>0</v>
      </c>
      <c r="M730" s="151">
        <f t="shared" si="37"/>
        <v>0</v>
      </c>
      <c r="N730" s="152">
        <f>+IF(OR($Q730=Parametres!$G$2,$Q730=Parametres!$G$3),I730,C730)</f>
        <v>0</v>
      </c>
      <c r="O730" s="152">
        <f>+IF(OR($Q730=Parametres!$G$2,$Q730=Parametres!$G$3),J730,D730)</f>
        <v>0</v>
      </c>
      <c r="P730" s="152">
        <f>+IF(OR($Q730=Parametres!$G$2,$Q730=Parametres!$G$3),K730,E730)</f>
        <v>0</v>
      </c>
      <c r="Q730" s="151">
        <f t="shared" si="51"/>
        <v>0</v>
      </c>
      <c r="R730" s="150">
        <f t="shared" si="51"/>
        <v>0</v>
      </c>
      <c r="S730" s="151">
        <f t="shared" si="51"/>
        <v>0</v>
      </c>
      <c r="T730" s="153" t="e">
        <f>+VLOOKUP($L730,Data_Validation!$A:$D,1,0)</f>
        <v>#N/A</v>
      </c>
      <c r="U730" s="153" t="e">
        <f>+VLOOKUP($L730,Data_Validation!$A:$D,3,0)</f>
        <v>#N/A</v>
      </c>
      <c r="V730" s="153" t="e">
        <f>+VLOOKUP($L730,Data_Validation!$A:$D,4,0)</f>
        <v>#N/A</v>
      </c>
      <c r="W730" s="153" t="e">
        <f>+VLOOKUP($L730,Data_Validation!$A:$E,5,0)</f>
        <v>#N/A</v>
      </c>
    </row>
    <row r="731" spans="1:23" ht="15.75" customHeight="1">
      <c r="A731" s="1113"/>
      <c r="B731" s="1119"/>
      <c r="C731" s="1120"/>
      <c r="D731" s="1113"/>
      <c r="E731" s="1113"/>
      <c r="F731" s="1113"/>
      <c r="G731" s="1113"/>
      <c r="H731" s="1113"/>
      <c r="I731" s="1113"/>
      <c r="J731" s="1113"/>
      <c r="K731" s="1113"/>
      <c r="L731" s="150">
        <f t="shared" si="36"/>
        <v>0</v>
      </c>
      <c r="M731" s="151">
        <f t="shared" si="37"/>
        <v>0</v>
      </c>
      <c r="N731" s="152">
        <f>+IF(OR($Q731=Parametres!$G$2,$Q731=Parametres!$G$3),I731,C731)</f>
        <v>0</v>
      </c>
      <c r="O731" s="152">
        <f>+IF(OR($Q731=Parametres!$G$2,$Q731=Parametres!$G$3),J731,D731)</f>
        <v>0</v>
      </c>
      <c r="P731" s="152">
        <f>+IF(OR($Q731=Parametres!$G$2,$Q731=Parametres!$G$3),K731,E731)</f>
        <v>0</v>
      </c>
      <c r="Q731" s="151">
        <f t="shared" si="51"/>
        <v>0</v>
      </c>
      <c r="R731" s="150">
        <f t="shared" si="51"/>
        <v>0</v>
      </c>
      <c r="S731" s="151">
        <f t="shared" si="51"/>
        <v>0</v>
      </c>
      <c r="T731" s="153" t="e">
        <f>+VLOOKUP($L731,Data_Validation!$A:$D,1,0)</f>
        <v>#N/A</v>
      </c>
      <c r="U731" s="153" t="e">
        <f>+VLOOKUP($L731,Data_Validation!$A:$D,3,0)</f>
        <v>#N/A</v>
      </c>
      <c r="V731" s="153" t="e">
        <f>+VLOOKUP($L731,Data_Validation!$A:$D,4,0)</f>
        <v>#N/A</v>
      </c>
      <c r="W731" s="153" t="e">
        <f>+VLOOKUP($L731,Data_Validation!$A:$E,5,0)</f>
        <v>#N/A</v>
      </c>
    </row>
    <row r="732" spans="1:23" ht="15.75" customHeight="1">
      <c r="A732" s="1113"/>
      <c r="B732" s="1119"/>
      <c r="C732" s="1120"/>
      <c r="D732" s="1113"/>
      <c r="E732" s="1113"/>
      <c r="F732" s="1113"/>
      <c r="G732" s="1113"/>
      <c r="H732" s="1113"/>
      <c r="I732" s="1113"/>
      <c r="J732" s="1113"/>
      <c r="K732" s="1113"/>
      <c r="L732" s="150">
        <f t="shared" si="36"/>
        <v>0</v>
      </c>
      <c r="M732" s="151">
        <f t="shared" si="37"/>
        <v>0</v>
      </c>
      <c r="N732" s="152">
        <f>+IF(OR($Q732=Parametres!$G$2,$Q732=Parametres!$G$3),I732,C732)</f>
        <v>0</v>
      </c>
      <c r="O732" s="152">
        <f>+IF(OR($Q732=Parametres!$G$2,$Q732=Parametres!$G$3),J732,D732)</f>
        <v>0</v>
      </c>
      <c r="P732" s="152">
        <f>+IF(OR($Q732=Parametres!$G$2,$Q732=Parametres!$G$3),K732,E732)</f>
        <v>0</v>
      </c>
      <c r="Q732" s="151">
        <f t="shared" si="51"/>
        <v>0</v>
      </c>
      <c r="R732" s="150">
        <f t="shared" si="51"/>
        <v>0</v>
      </c>
      <c r="S732" s="151">
        <f t="shared" si="51"/>
        <v>0</v>
      </c>
      <c r="T732" s="153" t="e">
        <f>+VLOOKUP($L732,Data_Validation!$A:$D,1,0)</f>
        <v>#N/A</v>
      </c>
      <c r="U732" s="153" t="e">
        <f>+VLOOKUP($L732,Data_Validation!$A:$D,3,0)</f>
        <v>#N/A</v>
      </c>
      <c r="V732" s="153" t="e">
        <f>+VLOOKUP($L732,Data_Validation!$A:$D,4,0)</f>
        <v>#N/A</v>
      </c>
      <c r="W732" s="153" t="e">
        <f>+VLOOKUP($L732,Data_Validation!$A:$E,5,0)</f>
        <v>#N/A</v>
      </c>
    </row>
    <row r="733" spans="1:23" ht="15.75" customHeight="1">
      <c r="A733" s="1113"/>
      <c r="B733" s="1119"/>
      <c r="C733" s="1120"/>
      <c r="D733" s="1113"/>
      <c r="E733" s="1113"/>
      <c r="F733" s="1113"/>
      <c r="G733" s="1113"/>
      <c r="H733" s="1113"/>
      <c r="I733" s="1113"/>
      <c r="J733" s="1113"/>
      <c r="K733" s="1113"/>
      <c r="L733" s="150">
        <f t="shared" si="36"/>
        <v>0</v>
      </c>
      <c r="M733" s="151">
        <f t="shared" si="37"/>
        <v>0</v>
      </c>
      <c r="N733" s="152">
        <f>+IF(OR($Q733=Parametres!$G$2,$Q733=Parametres!$G$3),I733,C733)</f>
        <v>0</v>
      </c>
      <c r="O733" s="152">
        <f>+IF(OR($Q733=Parametres!$G$2,$Q733=Parametres!$G$3),J733,D733)</f>
        <v>0</v>
      </c>
      <c r="P733" s="152">
        <f>+IF(OR($Q733=Parametres!$G$2,$Q733=Parametres!$G$3),K733,E733)</f>
        <v>0</v>
      </c>
      <c r="Q733" s="151">
        <f t="shared" si="51"/>
        <v>0</v>
      </c>
      <c r="R733" s="150">
        <f t="shared" si="51"/>
        <v>0</v>
      </c>
      <c r="S733" s="151">
        <f t="shared" si="51"/>
        <v>0</v>
      </c>
      <c r="T733" s="153" t="e">
        <f>+VLOOKUP($L733,Data_Validation!$A:$D,1,0)</f>
        <v>#N/A</v>
      </c>
      <c r="U733" s="153" t="e">
        <f>+VLOOKUP($L733,Data_Validation!$A:$D,3,0)</f>
        <v>#N/A</v>
      </c>
      <c r="V733" s="153" t="e">
        <f>+VLOOKUP($L733,Data_Validation!$A:$D,4,0)</f>
        <v>#N/A</v>
      </c>
      <c r="W733" s="153" t="e">
        <f>+VLOOKUP($L733,Data_Validation!$A:$E,5,0)</f>
        <v>#N/A</v>
      </c>
    </row>
    <row r="734" spans="1:23" ht="15.75" customHeight="1">
      <c r="A734" s="1113"/>
      <c r="B734" s="1119"/>
      <c r="C734" s="1120"/>
      <c r="D734" s="1113"/>
      <c r="E734" s="1113"/>
      <c r="F734" s="1113"/>
      <c r="G734" s="1113"/>
      <c r="H734" s="1113"/>
      <c r="I734" s="1113"/>
      <c r="J734" s="1113"/>
      <c r="K734" s="1113"/>
      <c r="L734" s="150">
        <f t="shared" si="36"/>
        <v>0</v>
      </c>
      <c r="M734" s="151">
        <f t="shared" si="37"/>
        <v>0</v>
      </c>
      <c r="N734" s="152">
        <f>+IF(OR($Q734=Parametres!$G$2,$Q734=Parametres!$G$3),I734,C734)</f>
        <v>0</v>
      </c>
      <c r="O734" s="152">
        <f>+IF(OR($Q734=Parametres!$G$2,$Q734=Parametres!$G$3),J734,D734)</f>
        <v>0</v>
      </c>
      <c r="P734" s="152">
        <f>+IF(OR($Q734=Parametres!$G$2,$Q734=Parametres!$G$3),K734,E734)</f>
        <v>0</v>
      </c>
      <c r="Q734" s="151">
        <f t="shared" si="51"/>
        <v>0</v>
      </c>
      <c r="R734" s="150">
        <f t="shared" si="51"/>
        <v>0</v>
      </c>
      <c r="S734" s="151">
        <f t="shared" si="51"/>
        <v>0</v>
      </c>
      <c r="T734" s="153" t="e">
        <f>+VLOOKUP($L734,Data_Validation!$A:$D,1,0)</f>
        <v>#N/A</v>
      </c>
      <c r="U734" s="153" t="e">
        <f>+VLOOKUP($L734,Data_Validation!$A:$D,3,0)</f>
        <v>#N/A</v>
      </c>
      <c r="V734" s="153" t="e">
        <f>+VLOOKUP($L734,Data_Validation!$A:$D,4,0)</f>
        <v>#N/A</v>
      </c>
      <c r="W734" s="153" t="e">
        <f>+VLOOKUP($L734,Data_Validation!$A:$E,5,0)</f>
        <v>#N/A</v>
      </c>
    </row>
    <row r="735" spans="1:23" ht="15.75" customHeight="1">
      <c r="A735" s="1113"/>
      <c r="B735" s="1119"/>
      <c r="C735" s="1120"/>
      <c r="D735" s="1113"/>
      <c r="E735" s="1113"/>
      <c r="F735" s="1113"/>
      <c r="G735" s="1113"/>
      <c r="H735" s="1113"/>
      <c r="I735" s="1113"/>
      <c r="J735" s="1113"/>
      <c r="K735" s="1113"/>
      <c r="L735" s="150">
        <f t="shared" si="36"/>
        <v>0</v>
      </c>
      <c r="M735" s="151">
        <f t="shared" si="37"/>
        <v>0</v>
      </c>
      <c r="N735" s="152">
        <f>+IF(OR($Q735=Parametres!$G$2,$Q735=Parametres!$G$3),I735,C735)</f>
        <v>0</v>
      </c>
      <c r="O735" s="152">
        <f>+IF(OR($Q735=Parametres!$G$2,$Q735=Parametres!$G$3),J735,D735)</f>
        <v>0</v>
      </c>
      <c r="P735" s="152">
        <f>+IF(OR($Q735=Parametres!$G$2,$Q735=Parametres!$G$3),K735,E735)</f>
        <v>0</v>
      </c>
      <c r="Q735" s="151">
        <f t="shared" si="51"/>
        <v>0</v>
      </c>
      <c r="R735" s="150">
        <f t="shared" si="51"/>
        <v>0</v>
      </c>
      <c r="S735" s="151">
        <f t="shared" si="51"/>
        <v>0</v>
      </c>
      <c r="T735" s="153" t="e">
        <f>+VLOOKUP($L735,Data_Validation!$A:$D,1,0)</f>
        <v>#N/A</v>
      </c>
      <c r="U735" s="153" t="e">
        <f>+VLOOKUP($L735,Data_Validation!$A:$D,3,0)</f>
        <v>#N/A</v>
      </c>
      <c r="V735" s="153" t="e">
        <f>+VLOOKUP($L735,Data_Validation!$A:$D,4,0)</f>
        <v>#N/A</v>
      </c>
      <c r="W735" s="153" t="e">
        <f>+VLOOKUP($L735,Data_Validation!$A:$E,5,0)</f>
        <v>#N/A</v>
      </c>
    </row>
    <row r="736" spans="1:23" ht="15.75" customHeight="1">
      <c r="A736" s="1113"/>
      <c r="B736" s="1119"/>
      <c r="C736" s="1120"/>
      <c r="D736" s="1113"/>
      <c r="E736" s="1113"/>
      <c r="F736" s="1113"/>
      <c r="G736" s="1113"/>
      <c r="H736" s="1113"/>
      <c r="I736" s="1113"/>
      <c r="J736" s="1113"/>
      <c r="K736" s="1113"/>
      <c r="L736" s="150">
        <f t="shared" si="36"/>
        <v>0</v>
      </c>
      <c r="M736" s="151">
        <f t="shared" si="37"/>
        <v>0</v>
      </c>
      <c r="N736" s="152">
        <f>+IF(OR($Q736=Parametres!$G$2,$Q736=Parametres!$G$3),I736,C736)</f>
        <v>0</v>
      </c>
      <c r="O736" s="152">
        <f>+IF(OR($Q736=Parametres!$G$2,$Q736=Parametres!$G$3),J736,D736)</f>
        <v>0</v>
      </c>
      <c r="P736" s="152">
        <f>+IF(OR($Q736=Parametres!$G$2,$Q736=Parametres!$G$3),K736,E736)</f>
        <v>0</v>
      </c>
      <c r="Q736" s="151">
        <f t="shared" si="51"/>
        <v>0</v>
      </c>
      <c r="R736" s="150">
        <f t="shared" si="51"/>
        <v>0</v>
      </c>
      <c r="S736" s="151">
        <f t="shared" si="51"/>
        <v>0</v>
      </c>
      <c r="T736" s="153" t="e">
        <f>+VLOOKUP($L736,Data_Validation!$A:$D,1,0)</f>
        <v>#N/A</v>
      </c>
      <c r="U736" s="153" t="e">
        <f>+VLOOKUP($L736,Data_Validation!$A:$D,3,0)</f>
        <v>#N/A</v>
      </c>
      <c r="V736" s="153" t="e">
        <f>+VLOOKUP($L736,Data_Validation!$A:$D,4,0)</f>
        <v>#N/A</v>
      </c>
      <c r="W736" s="153" t="e">
        <f>+VLOOKUP($L736,Data_Validation!$A:$E,5,0)</f>
        <v>#N/A</v>
      </c>
    </row>
    <row r="737" spans="1:23" ht="15.75" customHeight="1">
      <c r="A737" s="1113"/>
      <c r="B737" s="1119"/>
      <c r="C737" s="1120"/>
      <c r="D737" s="1113"/>
      <c r="E737" s="1113"/>
      <c r="F737" s="1113"/>
      <c r="G737" s="1113"/>
      <c r="H737" s="1113"/>
      <c r="I737" s="1113"/>
      <c r="J737" s="1113"/>
      <c r="K737" s="1113"/>
      <c r="L737" s="150">
        <f t="shared" si="36"/>
        <v>0</v>
      </c>
      <c r="M737" s="151">
        <f t="shared" si="37"/>
        <v>0</v>
      </c>
      <c r="N737" s="152">
        <f>+IF(OR($Q737=Parametres!$G$2,$Q737=Parametres!$G$3),I737,C737)</f>
        <v>0</v>
      </c>
      <c r="O737" s="152">
        <f>+IF(OR($Q737=Parametres!$G$2,$Q737=Parametres!$G$3),J737,D737)</f>
        <v>0</v>
      </c>
      <c r="P737" s="152">
        <f>+IF(OR($Q737=Parametres!$G$2,$Q737=Parametres!$G$3),K737,E737)</f>
        <v>0</v>
      </c>
      <c r="Q737" s="151">
        <f t="shared" si="51"/>
        <v>0</v>
      </c>
      <c r="R737" s="150">
        <f t="shared" si="51"/>
        <v>0</v>
      </c>
      <c r="S737" s="151">
        <f t="shared" si="51"/>
        <v>0</v>
      </c>
      <c r="T737" s="153" t="e">
        <f>+VLOOKUP($L737,Data_Validation!$A:$D,1,0)</f>
        <v>#N/A</v>
      </c>
      <c r="U737" s="153" t="e">
        <f>+VLOOKUP($L737,Data_Validation!$A:$D,3,0)</f>
        <v>#N/A</v>
      </c>
      <c r="V737" s="153" t="e">
        <f>+VLOOKUP($L737,Data_Validation!$A:$D,4,0)</f>
        <v>#N/A</v>
      </c>
      <c r="W737" s="153" t="e">
        <f>+VLOOKUP($L737,Data_Validation!$A:$E,5,0)</f>
        <v>#N/A</v>
      </c>
    </row>
    <row r="738" spans="1:23" ht="15.75" customHeight="1">
      <c r="A738" s="1113"/>
      <c r="B738" s="1119"/>
      <c r="C738" s="1120"/>
      <c r="D738" s="1113"/>
      <c r="E738" s="1113"/>
      <c r="F738" s="1113"/>
      <c r="G738" s="1113"/>
      <c r="H738" s="1113"/>
      <c r="I738" s="1113"/>
      <c r="J738" s="1113"/>
      <c r="K738" s="1113"/>
      <c r="L738" s="150">
        <f t="shared" si="36"/>
        <v>0</v>
      </c>
      <c r="M738" s="151">
        <f t="shared" si="37"/>
        <v>0</v>
      </c>
      <c r="N738" s="152">
        <f>+IF(OR($Q738=Parametres!$G$2,$Q738=Parametres!$G$3),I738,C738)</f>
        <v>0</v>
      </c>
      <c r="O738" s="152">
        <f>+IF(OR($Q738=Parametres!$G$2,$Q738=Parametres!$G$3),J738,D738)</f>
        <v>0</v>
      </c>
      <c r="P738" s="152">
        <f>+IF(OR($Q738=Parametres!$G$2,$Q738=Parametres!$G$3),K738,E738)</f>
        <v>0</v>
      </c>
      <c r="Q738" s="151">
        <f t="shared" ref="Q738:S753" si="52">+F738</f>
        <v>0</v>
      </c>
      <c r="R738" s="150">
        <f t="shared" si="52"/>
        <v>0</v>
      </c>
      <c r="S738" s="151">
        <f t="shared" si="52"/>
        <v>0</v>
      </c>
      <c r="T738" s="153" t="e">
        <f>+VLOOKUP($L738,Data_Validation!$A:$D,1,0)</f>
        <v>#N/A</v>
      </c>
      <c r="U738" s="153" t="e">
        <f>+VLOOKUP($L738,Data_Validation!$A:$D,3,0)</f>
        <v>#N/A</v>
      </c>
      <c r="V738" s="153" t="e">
        <f>+VLOOKUP($L738,Data_Validation!$A:$D,4,0)</f>
        <v>#N/A</v>
      </c>
      <c r="W738" s="153" t="e">
        <f>+VLOOKUP($L738,Data_Validation!$A:$E,5,0)</f>
        <v>#N/A</v>
      </c>
    </row>
    <row r="739" spans="1:23" ht="15.75" customHeight="1">
      <c r="A739" s="1113"/>
      <c r="B739" s="1119"/>
      <c r="C739" s="1120"/>
      <c r="D739" s="1113"/>
      <c r="E739" s="1113"/>
      <c r="F739" s="1113"/>
      <c r="G739" s="1113"/>
      <c r="H739" s="1113"/>
      <c r="I739" s="1113"/>
      <c r="J739" s="1113"/>
      <c r="K739" s="1113"/>
      <c r="L739" s="150">
        <f t="shared" si="36"/>
        <v>0</v>
      </c>
      <c r="M739" s="151">
        <f t="shared" si="37"/>
        <v>0</v>
      </c>
      <c r="N739" s="152">
        <f>+IF(OR($Q739=Parametres!$G$2,$Q739=Parametres!$G$3),I739,C739)</f>
        <v>0</v>
      </c>
      <c r="O739" s="152">
        <f>+IF(OR($Q739=Parametres!$G$2,$Q739=Parametres!$G$3),J739,D739)</f>
        <v>0</v>
      </c>
      <c r="P739" s="152">
        <f>+IF(OR($Q739=Parametres!$G$2,$Q739=Parametres!$G$3),K739,E739)</f>
        <v>0</v>
      </c>
      <c r="Q739" s="151">
        <f t="shared" si="52"/>
        <v>0</v>
      </c>
      <c r="R739" s="150">
        <f t="shared" si="52"/>
        <v>0</v>
      </c>
      <c r="S739" s="151">
        <f t="shared" si="52"/>
        <v>0</v>
      </c>
      <c r="T739" s="153" t="e">
        <f>+VLOOKUP($L739,Data_Validation!$A:$D,1,0)</f>
        <v>#N/A</v>
      </c>
      <c r="U739" s="153" t="e">
        <f>+VLOOKUP($L739,Data_Validation!$A:$D,3,0)</f>
        <v>#N/A</v>
      </c>
      <c r="V739" s="153" t="e">
        <f>+VLOOKUP($L739,Data_Validation!$A:$D,4,0)</f>
        <v>#N/A</v>
      </c>
      <c r="W739" s="153" t="e">
        <f>+VLOOKUP($L739,Data_Validation!$A:$E,5,0)</f>
        <v>#N/A</v>
      </c>
    </row>
    <row r="740" spans="1:23" ht="15.75" customHeight="1">
      <c r="A740" s="1113"/>
      <c r="B740" s="1119"/>
      <c r="C740" s="1120"/>
      <c r="D740" s="1113"/>
      <c r="E740" s="1113"/>
      <c r="F740" s="1113"/>
      <c r="G740" s="1113"/>
      <c r="H740" s="1113"/>
      <c r="I740" s="1113"/>
      <c r="J740" s="1113"/>
      <c r="K740" s="1113"/>
      <c r="L740" s="150">
        <f t="shared" si="36"/>
        <v>0</v>
      </c>
      <c r="M740" s="151">
        <f t="shared" si="37"/>
        <v>0</v>
      </c>
      <c r="N740" s="152">
        <f>+IF(OR($Q740=Parametres!$G$2,$Q740=Parametres!$G$3),I740,C740)</f>
        <v>0</v>
      </c>
      <c r="O740" s="152">
        <f>+IF(OR($Q740=Parametres!$G$2,$Q740=Parametres!$G$3),J740,D740)</f>
        <v>0</v>
      </c>
      <c r="P740" s="152">
        <f>+IF(OR($Q740=Parametres!$G$2,$Q740=Parametres!$G$3),K740,E740)</f>
        <v>0</v>
      </c>
      <c r="Q740" s="151">
        <f t="shared" si="52"/>
        <v>0</v>
      </c>
      <c r="R740" s="150">
        <f t="shared" si="52"/>
        <v>0</v>
      </c>
      <c r="S740" s="151">
        <f t="shared" si="52"/>
        <v>0</v>
      </c>
      <c r="T740" s="153" t="e">
        <f>+VLOOKUP($L740,Data_Validation!$A:$D,1,0)</f>
        <v>#N/A</v>
      </c>
      <c r="U740" s="153" t="e">
        <f>+VLOOKUP($L740,Data_Validation!$A:$D,3,0)</f>
        <v>#N/A</v>
      </c>
      <c r="V740" s="153" t="e">
        <f>+VLOOKUP($L740,Data_Validation!$A:$D,4,0)</f>
        <v>#N/A</v>
      </c>
      <c r="W740" s="153" t="e">
        <f>+VLOOKUP($L740,Data_Validation!$A:$E,5,0)</f>
        <v>#N/A</v>
      </c>
    </row>
    <row r="741" spans="1:23" ht="15.75" customHeight="1">
      <c r="A741" s="1113"/>
      <c r="B741" s="1119"/>
      <c r="C741" s="1120"/>
      <c r="D741" s="1113"/>
      <c r="E741" s="1113"/>
      <c r="F741" s="1113"/>
      <c r="G741" s="1113"/>
      <c r="H741" s="1113"/>
      <c r="I741" s="1113"/>
      <c r="J741" s="1113"/>
      <c r="K741" s="1113"/>
      <c r="L741" s="150">
        <f t="shared" si="36"/>
        <v>0</v>
      </c>
      <c r="M741" s="151">
        <f t="shared" si="37"/>
        <v>0</v>
      </c>
      <c r="N741" s="152">
        <f>+IF(OR($Q741=Parametres!$G$2,$Q741=Parametres!$G$3),I741,C741)</f>
        <v>0</v>
      </c>
      <c r="O741" s="152">
        <f>+IF(OR($Q741=Parametres!$G$2,$Q741=Parametres!$G$3),J741,D741)</f>
        <v>0</v>
      </c>
      <c r="P741" s="152">
        <f>+IF(OR($Q741=Parametres!$G$2,$Q741=Parametres!$G$3),K741,E741)</f>
        <v>0</v>
      </c>
      <c r="Q741" s="151">
        <f t="shared" si="52"/>
        <v>0</v>
      </c>
      <c r="R741" s="150">
        <f t="shared" si="52"/>
        <v>0</v>
      </c>
      <c r="S741" s="151">
        <f t="shared" si="52"/>
        <v>0</v>
      </c>
      <c r="T741" s="153" t="e">
        <f>+VLOOKUP($L741,Data_Validation!$A:$D,1,0)</f>
        <v>#N/A</v>
      </c>
      <c r="U741" s="153" t="e">
        <f>+VLOOKUP($L741,Data_Validation!$A:$D,3,0)</f>
        <v>#N/A</v>
      </c>
      <c r="V741" s="153" t="e">
        <f>+VLOOKUP($L741,Data_Validation!$A:$D,4,0)</f>
        <v>#N/A</v>
      </c>
      <c r="W741" s="153" t="e">
        <f>+VLOOKUP($L741,Data_Validation!$A:$E,5,0)</f>
        <v>#N/A</v>
      </c>
    </row>
    <row r="742" spans="1:23" ht="15.75" customHeight="1">
      <c r="A742" s="1113"/>
      <c r="B742" s="1119"/>
      <c r="C742" s="1120"/>
      <c r="D742" s="1113"/>
      <c r="E742" s="1113"/>
      <c r="F742" s="1113"/>
      <c r="G742" s="1113"/>
      <c r="H742" s="1113"/>
      <c r="I742" s="1113"/>
      <c r="J742" s="1113"/>
      <c r="K742" s="1113"/>
      <c r="L742" s="150">
        <f t="shared" si="36"/>
        <v>0</v>
      </c>
      <c r="M742" s="151">
        <f t="shared" si="37"/>
        <v>0</v>
      </c>
      <c r="N742" s="152">
        <f>+IF(OR($Q742=Parametres!$G$2,$Q742=Parametres!$G$3),I742,C742)</f>
        <v>0</v>
      </c>
      <c r="O742" s="152">
        <f>+IF(OR($Q742=Parametres!$G$2,$Q742=Parametres!$G$3),J742,D742)</f>
        <v>0</v>
      </c>
      <c r="P742" s="152">
        <f>+IF(OR($Q742=Parametres!$G$2,$Q742=Parametres!$G$3),K742,E742)</f>
        <v>0</v>
      </c>
      <c r="Q742" s="151">
        <f t="shared" si="52"/>
        <v>0</v>
      </c>
      <c r="R742" s="150">
        <f t="shared" si="52"/>
        <v>0</v>
      </c>
      <c r="S742" s="151">
        <f t="shared" si="52"/>
        <v>0</v>
      </c>
      <c r="T742" s="153" t="e">
        <f>+VLOOKUP($L742,Data_Validation!$A:$D,1,0)</f>
        <v>#N/A</v>
      </c>
      <c r="U742" s="153" t="e">
        <f>+VLOOKUP($L742,Data_Validation!$A:$D,3,0)</f>
        <v>#N/A</v>
      </c>
      <c r="V742" s="153" t="e">
        <f>+VLOOKUP($L742,Data_Validation!$A:$D,4,0)</f>
        <v>#N/A</v>
      </c>
      <c r="W742" s="153" t="e">
        <f>+VLOOKUP($L742,Data_Validation!$A:$E,5,0)</f>
        <v>#N/A</v>
      </c>
    </row>
    <row r="743" spans="1:23" ht="15.75" customHeight="1">
      <c r="A743" s="1113"/>
      <c r="B743" s="1119"/>
      <c r="C743" s="1120"/>
      <c r="D743" s="1113"/>
      <c r="E743" s="1113"/>
      <c r="F743" s="1113"/>
      <c r="G743" s="1113"/>
      <c r="H743" s="1113"/>
      <c r="I743" s="1113"/>
      <c r="J743" s="1113"/>
      <c r="K743" s="1113"/>
      <c r="L743" s="150">
        <f t="shared" si="36"/>
        <v>0</v>
      </c>
      <c r="M743" s="151">
        <f t="shared" si="37"/>
        <v>0</v>
      </c>
      <c r="N743" s="152">
        <f>+IF(OR($Q743=Parametres!$G$2,$Q743=Parametres!$G$3),I743,C743)</f>
        <v>0</v>
      </c>
      <c r="O743" s="152">
        <f>+IF(OR($Q743=Parametres!$G$2,$Q743=Parametres!$G$3),J743,D743)</f>
        <v>0</v>
      </c>
      <c r="P743" s="152">
        <f>+IF(OR($Q743=Parametres!$G$2,$Q743=Parametres!$G$3),K743,E743)</f>
        <v>0</v>
      </c>
      <c r="Q743" s="151">
        <f t="shared" si="52"/>
        <v>0</v>
      </c>
      <c r="R743" s="150">
        <f t="shared" si="52"/>
        <v>0</v>
      </c>
      <c r="S743" s="151">
        <f t="shared" si="52"/>
        <v>0</v>
      </c>
      <c r="T743" s="153" t="e">
        <f>+VLOOKUP($L743,Data_Validation!$A:$D,1,0)</f>
        <v>#N/A</v>
      </c>
      <c r="U743" s="153" t="e">
        <f>+VLOOKUP($L743,Data_Validation!$A:$D,3,0)</f>
        <v>#N/A</v>
      </c>
      <c r="V743" s="153" t="e">
        <f>+VLOOKUP($L743,Data_Validation!$A:$D,4,0)</f>
        <v>#N/A</v>
      </c>
      <c r="W743" s="153" t="e">
        <f>+VLOOKUP($L743,Data_Validation!$A:$E,5,0)</f>
        <v>#N/A</v>
      </c>
    </row>
    <row r="744" spans="1:23" ht="15.75" customHeight="1">
      <c r="A744" s="1113"/>
      <c r="B744" s="1119"/>
      <c r="C744" s="1120"/>
      <c r="D744" s="1113"/>
      <c r="E744" s="1113"/>
      <c r="F744" s="1113"/>
      <c r="G744" s="1113"/>
      <c r="H744" s="1113"/>
      <c r="I744" s="1113"/>
      <c r="J744" s="1113"/>
      <c r="K744" s="1113"/>
      <c r="L744" s="150">
        <f t="shared" si="36"/>
        <v>0</v>
      </c>
      <c r="M744" s="151">
        <f t="shared" si="37"/>
        <v>0</v>
      </c>
      <c r="N744" s="152">
        <f>+IF(OR($Q744=Parametres!$G$2,$Q744=Parametres!$G$3),I744,C744)</f>
        <v>0</v>
      </c>
      <c r="O744" s="152">
        <f>+IF(OR($Q744=Parametres!$G$2,$Q744=Parametres!$G$3),J744,D744)</f>
        <v>0</v>
      </c>
      <c r="P744" s="152">
        <f>+IF(OR($Q744=Parametres!$G$2,$Q744=Parametres!$G$3),K744,E744)</f>
        <v>0</v>
      </c>
      <c r="Q744" s="151">
        <f t="shared" si="52"/>
        <v>0</v>
      </c>
      <c r="R744" s="150">
        <f t="shared" si="52"/>
        <v>0</v>
      </c>
      <c r="S744" s="151">
        <f t="shared" si="52"/>
        <v>0</v>
      </c>
      <c r="T744" s="153" t="e">
        <f>+VLOOKUP($L744,Data_Validation!$A:$D,1,0)</f>
        <v>#N/A</v>
      </c>
      <c r="U744" s="153" t="e">
        <f>+VLOOKUP($L744,Data_Validation!$A:$D,3,0)</f>
        <v>#N/A</v>
      </c>
      <c r="V744" s="153" t="e">
        <f>+VLOOKUP($L744,Data_Validation!$A:$D,4,0)</f>
        <v>#N/A</v>
      </c>
      <c r="W744" s="153" t="e">
        <f>+VLOOKUP($L744,Data_Validation!$A:$E,5,0)</f>
        <v>#N/A</v>
      </c>
    </row>
    <row r="745" spans="1:23" ht="15.75" customHeight="1">
      <c r="A745" s="1113"/>
      <c r="B745" s="1119"/>
      <c r="C745" s="1120"/>
      <c r="D745" s="1113"/>
      <c r="E745" s="1113"/>
      <c r="F745" s="1113"/>
      <c r="G745" s="1113"/>
      <c r="H745" s="1113"/>
      <c r="I745" s="1113"/>
      <c r="J745" s="1113"/>
      <c r="K745" s="1113"/>
      <c r="L745" s="150">
        <f t="shared" si="36"/>
        <v>0</v>
      </c>
      <c r="M745" s="151">
        <f t="shared" si="37"/>
        <v>0</v>
      </c>
      <c r="N745" s="152">
        <f>+IF(OR($Q745=Parametres!$G$2,$Q745=Parametres!$G$3),I745,C745)</f>
        <v>0</v>
      </c>
      <c r="O745" s="152">
        <f>+IF(OR($Q745=Parametres!$G$2,$Q745=Parametres!$G$3),J745,D745)</f>
        <v>0</v>
      </c>
      <c r="P745" s="152">
        <f>+IF(OR($Q745=Parametres!$G$2,$Q745=Parametres!$G$3),K745,E745)</f>
        <v>0</v>
      </c>
      <c r="Q745" s="151">
        <f t="shared" si="52"/>
        <v>0</v>
      </c>
      <c r="R745" s="150">
        <f t="shared" si="52"/>
        <v>0</v>
      </c>
      <c r="S745" s="151">
        <f t="shared" si="52"/>
        <v>0</v>
      </c>
      <c r="T745" s="153" t="e">
        <f>+VLOOKUP($L745,Data_Validation!$A:$D,1,0)</f>
        <v>#N/A</v>
      </c>
      <c r="U745" s="153" t="e">
        <f>+VLOOKUP($L745,Data_Validation!$A:$D,3,0)</f>
        <v>#N/A</v>
      </c>
      <c r="V745" s="153" t="e">
        <f>+VLOOKUP($L745,Data_Validation!$A:$D,4,0)</f>
        <v>#N/A</v>
      </c>
      <c r="W745" s="153" t="e">
        <f>+VLOOKUP($L745,Data_Validation!$A:$E,5,0)</f>
        <v>#N/A</v>
      </c>
    </row>
    <row r="746" spans="1:23" ht="15.75" customHeight="1">
      <c r="A746" s="1113"/>
      <c r="B746" s="1119"/>
      <c r="C746" s="1120"/>
      <c r="D746" s="1113"/>
      <c r="E746" s="1113"/>
      <c r="F746" s="1113"/>
      <c r="G746" s="1113"/>
      <c r="H746" s="1113"/>
      <c r="I746" s="1113"/>
      <c r="J746" s="1113"/>
      <c r="K746" s="1113"/>
      <c r="L746" s="150">
        <f t="shared" si="36"/>
        <v>0</v>
      </c>
      <c r="M746" s="151">
        <f t="shared" si="37"/>
        <v>0</v>
      </c>
      <c r="N746" s="152">
        <f>+IF(OR($Q746=Parametres!$G$2,$Q746=Parametres!$G$3),I746,C746)</f>
        <v>0</v>
      </c>
      <c r="O746" s="152">
        <f>+IF(OR($Q746=Parametres!$G$2,$Q746=Parametres!$G$3),J746,D746)</f>
        <v>0</v>
      </c>
      <c r="P746" s="152">
        <f>+IF(OR($Q746=Parametres!$G$2,$Q746=Parametres!$G$3),K746,E746)</f>
        <v>0</v>
      </c>
      <c r="Q746" s="151">
        <f t="shared" si="52"/>
        <v>0</v>
      </c>
      <c r="R746" s="150">
        <f t="shared" si="52"/>
        <v>0</v>
      </c>
      <c r="S746" s="151">
        <f t="shared" si="52"/>
        <v>0</v>
      </c>
      <c r="T746" s="153" t="e">
        <f>+VLOOKUP($L746,Data_Validation!$A:$D,1,0)</f>
        <v>#N/A</v>
      </c>
      <c r="U746" s="153" t="e">
        <f>+VLOOKUP($L746,Data_Validation!$A:$D,3,0)</f>
        <v>#N/A</v>
      </c>
      <c r="V746" s="153" t="e">
        <f>+VLOOKUP($L746,Data_Validation!$A:$D,4,0)</f>
        <v>#N/A</v>
      </c>
      <c r="W746" s="153" t="e">
        <f>+VLOOKUP($L746,Data_Validation!$A:$E,5,0)</f>
        <v>#N/A</v>
      </c>
    </row>
    <row r="747" spans="1:23" ht="15.75" customHeight="1">
      <c r="A747" s="1113"/>
      <c r="B747" s="1119"/>
      <c r="C747" s="1120"/>
      <c r="D747" s="1113"/>
      <c r="E747" s="1113"/>
      <c r="F747" s="1113"/>
      <c r="G747" s="1113"/>
      <c r="H747" s="1113"/>
      <c r="I747" s="1113"/>
      <c r="J747" s="1113"/>
      <c r="K747" s="1113"/>
      <c r="L747" s="150">
        <f t="shared" si="36"/>
        <v>0</v>
      </c>
      <c r="M747" s="151">
        <f t="shared" si="37"/>
        <v>0</v>
      </c>
      <c r="N747" s="152">
        <f>+IF(OR($Q747=Parametres!$G$2,$Q747=Parametres!$G$3),I747,C747)</f>
        <v>0</v>
      </c>
      <c r="O747" s="152">
        <f>+IF(OR($Q747=Parametres!$G$2,$Q747=Parametres!$G$3),J747,D747)</f>
        <v>0</v>
      </c>
      <c r="P747" s="152">
        <f>+IF(OR($Q747=Parametres!$G$2,$Q747=Parametres!$G$3),K747,E747)</f>
        <v>0</v>
      </c>
      <c r="Q747" s="151">
        <f t="shared" si="52"/>
        <v>0</v>
      </c>
      <c r="R747" s="150">
        <f t="shared" si="52"/>
        <v>0</v>
      </c>
      <c r="S747" s="151">
        <f t="shared" si="52"/>
        <v>0</v>
      </c>
      <c r="T747" s="153" t="e">
        <f>+VLOOKUP($L747,Data_Validation!$A:$D,1,0)</f>
        <v>#N/A</v>
      </c>
      <c r="U747" s="153" t="e">
        <f>+VLOOKUP($L747,Data_Validation!$A:$D,3,0)</f>
        <v>#N/A</v>
      </c>
      <c r="V747" s="153" t="e">
        <f>+VLOOKUP($L747,Data_Validation!$A:$D,4,0)</f>
        <v>#N/A</v>
      </c>
      <c r="W747" s="153" t="e">
        <f>+VLOOKUP($L747,Data_Validation!$A:$E,5,0)</f>
        <v>#N/A</v>
      </c>
    </row>
    <row r="748" spans="1:23" ht="15.75" customHeight="1">
      <c r="A748" s="1113"/>
      <c r="B748" s="1119"/>
      <c r="C748" s="1120"/>
      <c r="D748" s="1113"/>
      <c r="E748" s="1113"/>
      <c r="F748" s="1113"/>
      <c r="G748" s="1113"/>
      <c r="H748" s="1113"/>
      <c r="I748" s="1113"/>
      <c r="J748" s="1113"/>
      <c r="K748" s="1113"/>
      <c r="L748" s="150">
        <f t="shared" si="36"/>
        <v>0</v>
      </c>
      <c r="M748" s="151">
        <f t="shared" si="37"/>
        <v>0</v>
      </c>
      <c r="N748" s="152">
        <f>+IF(OR($Q748=Parametres!$G$2,$Q748=Parametres!$G$3),I748,C748)</f>
        <v>0</v>
      </c>
      <c r="O748" s="152">
        <f>+IF(OR($Q748=Parametres!$G$2,$Q748=Parametres!$G$3),J748,D748)</f>
        <v>0</v>
      </c>
      <c r="P748" s="152">
        <f>+IF(OR($Q748=Parametres!$G$2,$Q748=Parametres!$G$3),K748,E748)</f>
        <v>0</v>
      </c>
      <c r="Q748" s="151">
        <f t="shared" si="52"/>
        <v>0</v>
      </c>
      <c r="R748" s="150">
        <f t="shared" si="52"/>
        <v>0</v>
      </c>
      <c r="S748" s="151">
        <f t="shared" si="52"/>
        <v>0</v>
      </c>
      <c r="T748" s="153" t="e">
        <f>+VLOOKUP($L748,Data_Validation!$A:$D,1,0)</f>
        <v>#N/A</v>
      </c>
      <c r="U748" s="153" t="e">
        <f>+VLOOKUP($L748,Data_Validation!$A:$D,3,0)</f>
        <v>#N/A</v>
      </c>
      <c r="V748" s="153" t="e">
        <f>+VLOOKUP($L748,Data_Validation!$A:$D,4,0)</f>
        <v>#N/A</v>
      </c>
      <c r="W748" s="153" t="e">
        <f>+VLOOKUP($L748,Data_Validation!$A:$E,5,0)</f>
        <v>#N/A</v>
      </c>
    </row>
    <row r="749" spans="1:23" ht="15.75" customHeight="1">
      <c r="A749" s="1113"/>
      <c r="B749" s="1119"/>
      <c r="C749" s="1120"/>
      <c r="D749" s="1113"/>
      <c r="E749" s="1113"/>
      <c r="F749" s="1113"/>
      <c r="G749" s="1113"/>
      <c r="H749" s="1113"/>
      <c r="I749" s="1113"/>
      <c r="J749" s="1113"/>
      <c r="K749" s="1113"/>
      <c r="L749" s="150">
        <f t="shared" si="36"/>
        <v>0</v>
      </c>
      <c r="M749" s="151">
        <f t="shared" si="37"/>
        <v>0</v>
      </c>
      <c r="N749" s="152">
        <f>+IF(OR($Q749=Parametres!$G$2,$Q749=Parametres!$G$3),I749,C749)</f>
        <v>0</v>
      </c>
      <c r="O749" s="152">
        <f>+IF(OR($Q749=Parametres!$G$2,$Q749=Parametres!$G$3),J749,D749)</f>
        <v>0</v>
      </c>
      <c r="P749" s="152">
        <f>+IF(OR($Q749=Parametres!$G$2,$Q749=Parametres!$G$3),K749,E749)</f>
        <v>0</v>
      </c>
      <c r="Q749" s="151">
        <f t="shared" si="52"/>
        <v>0</v>
      </c>
      <c r="R749" s="150">
        <f t="shared" si="52"/>
        <v>0</v>
      </c>
      <c r="S749" s="151">
        <f t="shared" si="52"/>
        <v>0</v>
      </c>
      <c r="T749" s="153" t="e">
        <f>+VLOOKUP($L749,Data_Validation!$A:$D,1,0)</f>
        <v>#N/A</v>
      </c>
      <c r="U749" s="153" t="e">
        <f>+VLOOKUP($L749,Data_Validation!$A:$D,3,0)</f>
        <v>#N/A</v>
      </c>
      <c r="V749" s="153" t="e">
        <f>+VLOOKUP($L749,Data_Validation!$A:$D,4,0)</f>
        <v>#N/A</v>
      </c>
      <c r="W749" s="153" t="e">
        <f>+VLOOKUP($L749,Data_Validation!$A:$E,5,0)</f>
        <v>#N/A</v>
      </c>
    </row>
    <row r="750" spans="1:23" ht="15.75" customHeight="1">
      <c r="A750" s="1113"/>
      <c r="B750" s="1119"/>
      <c r="C750" s="1120"/>
      <c r="D750" s="1113"/>
      <c r="E750" s="1113"/>
      <c r="F750" s="1113"/>
      <c r="G750" s="1113"/>
      <c r="H750" s="1113"/>
      <c r="I750" s="1113"/>
      <c r="J750" s="1113"/>
      <c r="K750" s="1113"/>
      <c r="L750" s="150">
        <f t="shared" si="36"/>
        <v>0</v>
      </c>
      <c r="M750" s="151">
        <f t="shared" si="37"/>
        <v>0</v>
      </c>
      <c r="N750" s="152">
        <f>+IF(OR($Q750=Parametres!$G$2,$Q750=Parametres!$G$3),I750,C750)</f>
        <v>0</v>
      </c>
      <c r="O750" s="152">
        <f>+IF(OR($Q750=Parametres!$G$2,$Q750=Parametres!$G$3),J750,D750)</f>
        <v>0</v>
      </c>
      <c r="P750" s="152">
        <f>+IF(OR($Q750=Parametres!$G$2,$Q750=Parametres!$G$3),K750,E750)</f>
        <v>0</v>
      </c>
      <c r="Q750" s="151">
        <f t="shared" si="52"/>
        <v>0</v>
      </c>
      <c r="R750" s="150">
        <f t="shared" si="52"/>
        <v>0</v>
      </c>
      <c r="S750" s="151">
        <f t="shared" si="52"/>
        <v>0</v>
      </c>
      <c r="T750" s="153" t="e">
        <f>+VLOOKUP($L750,Data_Validation!$A:$D,1,0)</f>
        <v>#N/A</v>
      </c>
      <c r="U750" s="153" t="e">
        <f>+VLOOKUP($L750,Data_Validation!$A:$D,3,0)</f>
        <v>#N/A</v>
      </c>
      <c r="V750" s="153" t="e">
        <f>+VLOOKUP($L750,Data_Validation!$A:$D,4,0)</f>
        <v>#N/A</v>
      </c>
      <c r="W750" s="153" t="e">
        <f>+VLOOKUP($L750,Data_Validation!$A:$E,5,0)</f>
        <v>#N/A</v>
      </c>
    </row>
    <row r="751" spans="1:23" ht="15.75" customHeight="1">
      <c r="A751" s="1113"/>
      <c r="B751" s="1119"/>
      <c r="C751" s="1120"/>
      <c r="D751" s="1113"/>
      <c r="E751" s="1113"/>
      <c r="F751" s="1113"/>
      <c r="G751" s="1113"/>
      <c r="H751" s="1113"/>
      <c r="I751" s="1113"/>
      <c r="J751" s="1113"/>
      <c r="K751" s="1113"/>
      <c r="L751" s="150">
        <f t="shared" si="36"/>
        <v>0</v>
      </c>
      <c r="M751" s="151">
        <f t="shared" si="37"/>
        <v>0</v>
      </c>
      <c r="N751" s="152">
        <f>+IF(OR($Q751=Parametres!$G$2,$Q751=Parametres!$G$3),I751,C751)</f>
        <v>0</v>
      </c>
      <c r="O751" s="152">
        <f>+IF(OR($Q751=Parametres!$G$2,$Q751=Parametres!$G$3),J751,D751)</f>
        <v>0</v>
      </c>
      <c r="P751" s="152">
        <f>+IF(OR($Q751=Parametres!$G$2,$Q751=Parametres!$G$3),K751,E751)</f>
        <v>0</v>
      </c>
      <c r="Q751" s="151">
        <f t="shared" si="52"/>
        <v>0</v>
      </c>
      <c r="R751" s="150">
        <f t="shared" si="52"/>
        <v>0</v>
      </c>
      <c r="S751" s="151">
        <f t="shared" si="52"/>
        <v>0</v>
      </c>
      <c r="T751" s="153" t="e">
        <f>+VLOOKUP($L751,Data_Validation!$A:$D,1,0)</f>
        <v>#N/A</v>
      </c>
      <c r="U751" s="153" t="e">
        <f>+VLOOKUP($L751,Data_Validation!$A:$D,3,0)</f>
        <v>#N/A</v>
      </c>
      <c r="V751" s="153" t="e">
        <f>+VLOOKUP($L751,Data_Validation!$A:$D,4,0)</f>
        <v>#N/A</v>
      </c>
      <c r="W751" s="153" t="e">
        <f>+VLOOKUP($L751,Data_Validation!$A:$E,5,0)</f>
        <v>#N/A</v>
      </c>
    </row>
    <row r="752" spans="1:23" ht="15.75" customHeight="1">
      <c r="A752" s="1113"/>
      <c r="B752" s="1119"/>
      <c r="C752" s="1120"/>
      <c r="D752" s="1113"/>
      <c r="E752" s="1113"/>
      <c r="F752" s="1113"/>
      <c r="G752" s="1113"/>
      <c r="H752" s="1113"/>
      <c r="I752" s="1113"/>
      <c r="J752" s="1113"/>
      <c r="K752" s="1113"/>
      <c r="L752" s="150">
        <f t="shared" si="36"/>
        <v>0</v>
      </c>
      <c r="M752" s="151">
        <f t="shared" si="37"/>
        <v>0</v>
      </c>
      <c r="N752" s="152">
        <f>+IF(OR($Q752=Parametres!$G$2,$Q752=Parametres!$G$3),I752,C752)</f>
        <v>0</v>
      </c>
      <c r="O752" s="152">
        <f>+IF(OR($Q752=Parametres!$G$2,$Q752=Parametres!$G$3),J752,D752)</f>
        <v>0</v>
      </c>
      <c r="P752" s="152">
        <f>+IF(OR($Q752=Parametres!$G$2,$Q752=Parametres!$G$3),K752,E752)</f>
        <v>0</v>
      </c>
      <c r="Q752" s="151">
        <f t="shared" si="52"/>
        <v>0</v>
      </c>
      <c r="R752" s="150">
        <f t="shared" si="52"/>
        <v>0</v>
      </c>
      <c r="S752" s="151">
        <f t="shared" si="52"/>
        <v>0</v>
      </c>
      <c r="T752" s="153" t="e">
        <f>+VLOOKUP($L752,Data_Validation!$A:$D,1,0)</f>
        <v>#N/A</v>
      </c>
      <c r="U752" s="153" t="e">
        <f>+VLOOKUP($L752,Data_Validation!$A:$D,3,0)</f>
        <v>#N/A</v>
      </c>
      <c r="V752" s="153" t="e">
        <f>+VLOOKUP($L752,Data_Validation!$A:$D,4,0)</f>
        <v>#N/A</v>
      </c>
      <c r="W752" s="153" t="e">
        <f>+VLOOKUP($L752,Data_Validation!$A:$E,5,0)</f>
        <v>#N/A</v>
      </c>
    </row>
    <row r="753" spans="1:23" ht="15.75" customHeight="1">
      <c r="A753" s="1113"/>
      <c r="B753" s="1119"/>
      <c r="C753" s="1120"/>
      <c r="D753" s="1113"/>
      <c r="E753" s="1113"/>
      <c r="F753" s="1113"/>
      <c r="G753" s="1113"/>
      <c r="H753" s="1113"/>
      <c r="I753" s="1113"/>
      <c r="J753" s="1113"/>
      <c r="K753" s="1113"/>
      <c r="L753" s="150">
        <f t="shared" si="36"/>
        <v>0</v>
      </c>
      <c r="M753" s="151">
        <f t="shared" si="37"/>
        <v>0</v>
      </c>
      <c r="N753" s="152">
        <f>+IF(OR($Q753=Parametres!$G$2,$Q753=Parametres!$G$3),I753,C753)</f>
        <v>0</v>
      </c>
      <c r="O753" s="152">
        <f>+IF(OR($Q753=Parametres!$G$2,$Q753=Parametres!$G$3),J753,D753)</f>
        <v>0</v>
      </c>
      <c r="P753" s="152">
        <f>+IF(OR($Q753=Parametres!$G$2,$Q753=Parametres!$G$3),K753,E753)</f>
        <v>0</v>
      </c>
      <c r="Q753" s="151">
        <f t="shared" si="52"/>
        <v>0</v>
      </c>
      <c r="R753" s="150">
        <f t="shared" si="52"/>
        <v>0</v>
      </c>
      <c r="S753" s="151">
        <f t="shared" si="52"/>
        <v>0</v>
      </c>
      <c r="T753" s="153" t="e">
        <f>+VLOOKUP($L753,Data_Validation!$A:$D,1,0)</f>
        <v>#N/A</v>
      </c>
      <c r="U753" s="153" t="e">
        <f>+VLOOKUP($L753,Data_Validation!$A:$D,3,0)</f>
        <v>#N/A</v>
      </c>
      <c r="V753" s="153" t="e">
        <f>+VLOOKUP($L753,Data_Validation!$A:$D,4,0)</f>
        <v>#N/A</v>
      </c>
      <c r="W753" s="153" t="e">
        <f>+VLOOKUP($L753,Data_Validation!$A:$E,5,0)</f>
        <v>#N/A</v>
      </c>
    </row>
    <row r="754" spans="1:23" ht="15.75" customHeight="1">
      <c r="A754" s="1113"/>
      <c r="B754" s="1119"/>
      <c r="C754" s="1120"/>
      <c r="D754" s="1113"/>
      <c r="E754" s="1113"/>
      <c r="F754" s="1113"/>
      <c r="G754" s="1113"/>
      <c r="H754" s="1113"/>
      <c r="I754" s="1113"/>
      <c r="J754" s="1113"/>
      <c r="K754" s="1113"/>
      <c r="L754" s="150">
        <f t="shared" si="36"/>
        <v>0</v>
      </c>
      <c r="M754" s="151">
        <f t="shared" si="37"/>
        <v>0</v>
      </c>
      <c r="N754" s="152">
        <f>+IF(OR($Q754=Parametres!$G$2,$Q754=Parametres!$G$3),I754,C754)</f>
        <v>0</v>
      </c>
      <c r="O754" s="152">
        <f>+IF(OR($Q754=Parametres!$G$2,$Q754=Parametres!$G$3),J754,D754)</f>
        <v>0</v>
      </c>
      <c r="P754" s="152">
        <f>+IF(OR($Q754=Parametres!$G$2,$Q754=Parametres!$G$3),K754,E754)</f>
        <v>0</v>
      </c>
      <c r="Q754" s="151">
        <f t="shared" ref="Q754:S769" si="53">+F754</f>
        <v>0</v>
      </c>
      <c r="R754" s="150">
        <f t="shared" si="53"/>
        <v>0</v>
      </c>
      <c r="S754" s="151">
        <f t="shared" si="53"/>
        <v>0</v>
      </c>
      <c r="T754" s="153" t="e">
        <f>+VLOOKUP($L754,Data_Validation!$A:$D,1,0)</f>
        <v>#N/A</v>
      </c>
      <c r="U754" s="153" t="e">
        <f>+VLOOKUP($L754,Data_Validation!$A:$D,3,0)</f>
        <v>#N/A</v>
      </c>
      <c r="V754" s="153" t="e">
        <f>+VLOOKUP($L754,Data_Validation!$A:$D,4,0)</f>
        <v>#N/A</v>
      </c>
      <c r="W754" s="153" t="e">
        <f>+VLOOKUP($L754,Data_Validation!$A:$E,5,0)</f>
        <v>#N/A</v>
      </c>
    </row>
    <row r="755" spans="1:23" ht="15.75" customHeight="1">
      <c r="A755" s="1113"/>
      <c r="B755" s="1119"/>
      <c r="C755" s="1120"/>
      <c r="D755" s="1113"/>
      <c r="E755" s="1113"/>
      <c r="F755" s="1113"/>
      <c r="G755" s="1113"/>
      <c r="H755" s="1113"/>
      <c r="I755" s="1113"/>
      <c r="J755" s="1113"/>
      <c r="K755" s="1113"/>
      <c r="L755" s="150">
        <f t="shared" si="36"/>
        <v>0</v>
      </c>
      <c r="M755" s="151">
        <f t="shared" si="37"/>
        <v>0</v>
      </c>
      <c r="N755" s="152">
        <f>+IF(OR($Q755=Parametres!$G$2,$Q755=Parametres!$G$3),I755,C755)</f>
        <v>0</v>
      </c>
      <c r="O755" s="152">
        <f>+IF(OR($Q755=Parametres!$G$2,$Q755=Parametres!$G$3),J755,D755)</f>
        <v>0</v>
      </c>
      <c r="P755" s="152">
        <f>+IF(OR($Q755=Parametres!$G$2,$Q755=Parametres!$G$3),K755,E755)</f>
        <v>0</v>
      </c>
      <c r="Q755" s="151">
        <f t="shared" si="53"/>
        <v>0</v>
      </c>
      <c r="R755" s="150">
        <f t="shared" si="53"/>
        <v>0</v>
      </c>
      <c r="S755" s="151">
        <f t="shared" si="53"/>
        <v>0</v>
      </c>
      <c r="T755" s="153" t="e">
        <f>+VLOOKUP($L755,Data_Validation!$A:$D,1,0)</f>
        <v>#N/A</v>
      </c>
      <c r="U755" s="153" t="e">
        <f>+VLOOKUP($L755,Data_Validation!$A:$D,3,0)</f>
        <v>#N/A</v>
      </c>
      <c r="V755" s="153" t="e">
        <f>+VLOOKUP($L755,Data_Validation!$A:$D,4,0)</f>
        <v>#N/A</v>
      </c>
      <c r="W755" s="153" t="e">
        <f>+VLOOKUP($L755,Data_Validation!$A:$E,5,0)</f>
        <v>#N/A</v>
      </c>
    </row>
    <row r="756" spans="1:23" ht="15.75" customHeight="1">
      <c r="A756" s="1113"/>
      <c r="B756" s="1119"/>
      <c r="C756" s="1120"/>
      <c r="D756" s="1113"/>
      <c r="E756" s="1113"/>
      <c r="F756" s="1113"/>
      <c r="G756" s="1113"/>
      <c r="H756" s="1113"/>
      <c r="I756" s="1113"/>
      <c r="J756" s="1113"/>
      <c r="K756" s="1113"/>
      <c r="L756" s="150">
        <f t="shared" si="36"/>
        <v>0</v>
      </c>
      <c r="M756" s="151">
        <f t="shared" si="37"/>
        <v>0</v>
      </c>
      <c r="N756" s="152">
        <f>+IF(OR($Q756=Parametres!$G$2,$Q756=Parametres!$G$3),I756,C756)</f>
        <v>0</v>
      </c>
      <c r="O756" s="152">
        <f>+IF(OR($Q756=Parametres!$G$2,$Q756=Parametres!$G$3),J756,D756)</f>
        <v>0</v>
      </c>
      <c r="P756" s="152">
        <f>+IF(OR($Q756=Parametres!$G$2,$Q756=Parametres!$G$3),K756,E756)</f>
        <v>0</v>
      </c>
      <c r="Q756" s="151">
        <f t="shared" si="53"/>
        <v>0</v>
      </c>
      <c r="R756" s="150">
        <f t="shared" si="53"/>
        <v>0</v>
      </c>
      <c r="S756" s="151">
        <f t="shared" si="53"/>
        <v>0</v>
      </c>
      <c r="T756" s="153" t="e">
        <f>+VLOOKUP($L756,Data_Validation!$A:$D,1,0)</f>
        <v>#N/A</v>
      </c>
      <c r="U756" s="153" t="e">
        <f>+VLOOKUP($L756,Data_Validation!$A:$D,3,0)</f>
        <v>#N/A</v>
      </c>
      <c r="V756" s="153" t="e">
        <f>+VLOOKUP($L756,Data_Validation!$A:$D,4,0)</f>
        <v>#N/A</v>
      </c>
      <c r="W756" s="153" t="e">
        <f>+VLOOKUP($L756,Data_Validation!$A:$E,5,0)</f>
        <v>#N/A</v>
      </c>
    </row>
    <row r="757" spans="1:23" ht="15.75" customHeight="1">
      <c r="A757" s="1113"/>
      <c r="B757" s="1119"/>
      <c r="C757" s="1120"/>
      <c r="D757" s="1113"/>
      <c r="E757" s="1113"/>
      <c r="F757" s="1113"/>
      <c r="G757" s="1113"/>
      <c r="H757" s="1113"/>
      <c r="I757" s="1113"/>
      <c r="J757" s="1113"/>
      <c r="K757" s="1113"/>
      <c r="L757" s="150">
        <f t="shared" si="36"/>
        <v>0</v>
      </c>
      <c r="M757" s="151">
        <f t="shared" si="37"/>
        <v>0</v>
      </c>
      <c r="N757" s="152">
        <f>+IF(OR($Q757=Parametres!$G$2,$Q757=Parametres!$G$3),I757,C757)</f>
        <v>0</v>
      </c>
      <c r="O757" s="152">
        <f>+IF(OR($Q757=Parametres!$G$2,$Q757=Parametres!$G$3),J757,D757)</f>
        <v>0</v>
      </c>
      <c r="P757" s="152">
        <f>+IF(OR($Q757=Parametres!$G$2,$Q757=Parametres!$G$3),K757,E757)</f>
        <v>0</v>
      </c>
      <c r="Q757" s="151">
        <f t="shared" si="53"/>
        <v>0</v>
      </c>
      <c r="R757" s="150">
        <f t="shared" si="53"/>
        <v>0</v>
      </c>
      <c r="S757" s="151">
        <f t="shared" si="53"/>
        <v>0</v>
      </c>
      <c r="T757" s="153" t="e">
        <f>+VLOOKUP($L757,Data_Validation!$A:$D,1,0)</f>
        <v>#N/A</v>
      </c>
      <c r="U757" s="153" t="e">
        <f>+VLOOKUP($L757,Data_Validation!$A:$D,3,0)</f>
        <v>#N/A</v>
      </c>
      <c r="V757" s="153" t="e">
        <f>+VLOOKUP($L757,Data_Validation!$A:$D,4,0)</f>
        <v>#N/A</v>
      </c>
      <c r="W757" s="153" t="e">
        <f>+VLOOKUP($L757,Data_Validation!$A:$E,5,0)</f>
        <v>#N/A</v>
      </c>
    </row>
    <row r="758" spans="1:23" ht="15.75" customHeight="1">
      <c r="A758" s="1113"/>
      <c r="B758" s="1119"/>
      <c r="C758" s="1120"/>
      <c r="D758" s="1113"/>
      <c r="E758" s="1113"/>
      <c r="F758" s="1113"/>
      <c r="G758" s="1113"/>
      <c r="H758" s="1113"/>
      <c r="I758" s="1113"/>
      <c r="J758" s="1113"/>
      <c r="K758" s="1113"/>
      <c r="L758" s="150">
        <f t="shared" si="36"/>
        <v>0</v>
      </c>
      <c r="M758" s="151">
        <f t="shared" si="37"/>
        <v>0</v>
      </c>
      <c r="N758" s="152">
        <f>+IF(OR($Q758=Parametres!$G$2,$Q758=Parametres!$G$3),I758,C758)</f>
        <v>0</v>
      </c>
      <c r="O758" s="152">
        <f>+IF(OR($Q758=Parametres!$G$2,$Q758=Parametres!$G$3),J758,D758)</f>
        <v>0</v>
      </c>
      <c r="P758" s="152">
        <f>+IF(OR($Q758=Parametres!$G$2,$Q758=Parametres!$G$3),K758,E758)</f>
        <v>0</v>
      </c>
      <c r="Q758" s="151">
        <f t="shared" si="53"/>
        <v>0</v>
      </c>
      <c r="R758" s="150">
        <f t="shared" si="53"/>
        <v>0</v>
      </c>
      <c r="S758" s="151">
        <f t="shared" si="53"/>
        <v>0</v>
      </c>
      <c r="T758" s="153" t="e">
        <f>+VLOOKUP($L758,Data_Validation!$A:$D,1,0)</f>
        <v>#N/A</v>
      </c>
      <c r="U758" s="153" t="e">
        <f>+VLOOKUP($L758,Data_Validation!$A:$D,3,0)</f>
        <v>#N/A</v>
      </c>
      <c r="V758" s="153" t="e">
        <f>+VLOOKUP($L758,Data_Validation!$A:$D,4,0)</f>
        <v>#N/A</v>
      </c>
      <c r="W758" s="153" t="e">
        <f>+VLOOKUP($L758,Data_Validation!$A:$E,5,0)</f>
        <v>#N/A</v>
      </c>
    </row>
    <row r="759" spans="1:23" ht="15.75" customHeight="1">
      <c r="A759" s="1113"/>
      <c r="B759" s="1119"/>
      <c r="C759" s="1120"/>
      <c r="D759" s="1113"/>
      <c r="E759" s="1113"/>
      <c r="F759" s="1113"/>
      <c r="G759" s="1113"/>
      <c r="H759" s="1113"/>
      <c r="I759" s="1113"/>
      <c r="J759" s="1113"/>
      <c r="K759" s="1113"/>
      <c r="L759" s="150">
        <f t="shared" si="36"/>
        <v>0</v>
      </c>
      <c r="M759" s="151">
        <f t="shared" si="37"/>
        <v>0</v>
      </c>
      <c r="N759" s="152">
        <f>+IF(OR($Q759=Parametres!$G$2,$Q759=Parametres!$G$3),I759,C759)</f>
        <v>0</v>
      </c>
      <c r="O759" s="152">
        <f>+IF(OR($Q759=Parametres!$G$2,$Q759=Parametres!$G$3),J759,D759)</f>
        <v>0</v>
      </c>
      <c r="P759" s="152">
        <f>+IF(OR($Q759=Parametres!$G$2,$Q759=Parametres!$G$3),K759,E759)</f>
        <v>0</v>
      </c>
      <c r="Q759" s="151">
        <f t="shared" si="53"/>
        <v>0</v>
      </c>
      <c r="R759" s="150">
        <f t="shared" si="53"/>
        <v>0</v>
      </c>
      <c r="S759" s="151">
        <f t="shared" si="53"/>
        <v>0</v>
      </c>
      <c r="T759" s="153" t="e">
        <f>+VLOOKUP($L759,Data_Validation!$A:$D,1,0)</f>
        <v>#N/A</v>
      </c>
      <c r="U759" s="153" t="e">
        <f>+VLOOKUP($L759,Data_Validation!$A:$D,3,0)</f>
        <v>#N/A</v>
      </c>
      <c r="V759" s="153" t="e">
        <f>+VLOOKUP($L759,Data_Validation!$A:$D,4,0)</f>
        <v>#N/A</v>
      </c>
      <c r="W759" s="153" t="e">
        <f>+VLOOKUP($L759,Data_Validation!$A:$E,5,0)</f>
        <v>#N/A</v>
      </c>
    </row>
    <row r="760" spans="1:23" ht="15.75" customHeight="1">
      <c r="A760" s="1113"/>
      <c r="B760" s="1119"/>
      <c r="C760" s="1120"/>
      <c r="D760" s="1113"/>
      <c r="E760" s="1113"/>
      <c r="F760" s="1113"/>
      <c r="G760" s="1113"/>
      <c r="H760" s="1113"/>
      <c r="I760" s="1113"/>
      <c r="J760" s="1113"/>
      <c r="K760" s="1113"/>
      <c r="L760" s="150">
        <f t="shared" si="36"/>
        <v>0</v>
      </c>
      <c r="M760" s="151">
        <f t="shared" si="37"/>
        <v>0</v>
      </c>
      <c r="N760" s="152">
        <f>+IF(OR($Q760=Parametres!$G$2,$Q760=Parametres!$G$3),I760,C760)</f>
        <v>0</v>
      </c>
      <c r="O760" s="152">
        <f>+IF(OR($Q760=Parametres!$G$2,$Q760=Parametres!$G$3),J760,D760)</f>
        <v>0</v>
      </c>
      <c r="P760" s="152">
        <f>+IF(OR($Q760=Parametres!$G$2,$Q760=Parametres!$G$3),K760,E760)</f>
        <v>0</v>
      </c>
      <c r="Q760" s="151">
        <f t="shared" si="53"/>
        <v>0</v>
      </c>
      <c r="R760" s="150">
        <f t="shared" si="53"/>
        <v>0</v>
      </c>
      <c r="S760" s="151">
        <f t="shared" si="53"/>
        <v>0</v>
      </c>
      <c r="T760" s="153" t="e">
        <f>+VLOOKUP($L760,Data_Validation!$A:$D,1,0)</f>
        <v>#N/A</v>
      </c>
      <c r="U760" s="153" t="e">
        <f>+VLOOKUP($L760,Data_Validation!$A:$D,3,0)</f>
        <v>#N/A</v>
      </c>
      <c r="V760" s="153" t="e">
        <f>+VLOOKUP($L760,Data_Validation!$A:$D,4,0)</f>
        <v>#N/A</v>
      </c>
      <c r="W760" s="153" t="e">
        <f>+VLOOKUP($L760,Data_Validation!$A:$E,5,0)</f>
        <v>#N/A</v>
      </c>
    </row>
    <row r="761" spans="1:23" ht="15.75" customHeight="1">
      <c r="A761" s="1113"/>
      <c r="B761" s="1119"/>
      <c r="C761" s="1120"/>
      <c r="D761" s="1113"/>
      <c r="E761" s="1113"/>
      <c r="F761" s="1113"/>
      <c r="G761" s="1113"/>
      <c r="H761" s="1113"/>
      <c r="I761" s="1113"/>
      <c r="J761" s="1113"/>
      <c r="K761" s="1113"/>
      <c r="L761" s="150">
        <f t="shared" si="36"/>
        <v>0</v>
      </c>
      <c r="M761" s="151">
        <f t="shared" si="37"/>
        <v>0</v>
      </c>
      <c r="N761" s="152">
        <f>+IF(OR($Q761=Parametres!$G$2,$Q761=Parametres!$G$3),I761,C761)</f>
        <v>0</v>
      </c>
      <c r="O761" s="152">
        <f>+IF(OR($Q761=Parametres!$G$2,$Q761=Parametres!$G$3),J761,D761)</f>
        <v>0</v>
      </c>
      <c r="P761" s="152">
        <f>+IF(OR($Q761=Parametres!$G$2,$Q761=Parametres!$G$3),K761,E761)</f>
        <v>0</v>
      </c>
      <c r="Q761" s="151">
        <f t="shared" si="53"/>
        <v>0</v>
      </c>
      <c r="R761" s="150">
        <f t="shared" si="53"/>
        <v>0</v>
      </c>
      <c r="S761" s="151">
        <f t="shared" si="53"/>
        <v>0</v>
      </c>
      <c r="T761" s="153" t="e">
        <f>+VLOOKUP($L761,Data_Validation!$A:$D,1,0)</f>
        <v>#N/A</v>
      </c>
      <c r="U761" s="153" t="e">
        <f>+VLOOKUP($L761,Data_Validation!$A:$D,3,0)</f>
        <v>#N/A</v>
      </c>
      <c r="V761" s="153" t="e">
        <f>+VLOOKUP($L761,Data_Validation!$A:$D,4,0)</f>
        <v>#N/A</v>
      </c>
      <c r="W761" s="153" t="e">
        <f>+VLOOKUP($L761,Data_Validation!$A:$E,5,0)</f>
        <v>#N/A</v>
      </c>
    </row>
    <row r="762" spans="1:23" ht="15.75" customHeight="1">
      <c r="A762" s="1113"/>
      <c r="B762" s="1119"/>
      <c r="C762" s="1120"/>
      <c r="D762" s="1113"/>
      <c r="E762" s="1113"/>
      <c r="F762" s="1113"/>
      <c r="G762" s="1113"/>
      <c r="H762" s="1113"/>
      <c r="I762" s="1113"/>
      <c r="J762" s="1113"/>
      <c r="K762" s="1113"/>
      <c r="L762" s="150">
        <f t="shared" si="36"/>
        <v>0</v>
      </c>
      <c r="M762" s="151">
        <f t="shared" si="37"/>
        <v>0</v>
      </c>
      <c r="N762" s="152">
        <f>+IF(OR($Q762=Parametres!$G$2,$Q762=Parametres!$G$3),I762,C762)</f>
        <v>0</v>
      </c>
      <c r="O762" s="152">
        <f>+IF(OR($Q762=Parametres!$G$2,$Q762=Parametres!$G$3),J762,D762)</f>
        <v>0</v>
      </c>
      <c r="P762" s="152">
        <f>+IF(OR($Q762=Parametres!$G$2,$Q762=Parametres!$G$3),K762,E762)</f>
        <v>0</v>
      </c>
      <c r="Q762" s="151">
        <f t="shared" si="53"/>
        <v>0</v>
      </c>
      <c r="R762" s="150">
        <f t="shared" si="53"/>
        <v>0</v>
      </c>
      <c r="S762" s="151">
        <f t="shared" si="53"/>
        <v>0</v>
      </c>
      <c r="T762" s="153" t="e">
        <f>+VLOOKUP($L762,Data_Validation!$A:$D,1,0)</f>
        <v>#N/A</v>
      </c>
      <c r="U762" s="153" t="e">
        <f>+VLOOKUP($L762,Data_Validation!$A:$D,3,0)</f>
        <v>#N/A</v>
      </c>
      <c r="V762" s="153" t="e">
        <f>+VLOOKUP($L762,Data_Validation!$A:$D,4,0)</f>
        <v>#N/A</v>
      </c>
      <c r="W762" s="153" t="e">
        <f>+VLOOKUP($L762,Data_Validation!$A:$E,5,0)</f>
        <v>#N/A</v>
      </c>
    </row>
    <row r="763" spans="1:23" ht="15.75" customHeight="1">
      <c r="A763" s="1113"/>
      <c r="B763" s="1119"/>
      <c r="C763" s="1120"/>
      <c r="D763" s="1113"/>
      <c r="E763" s="1113"/>
      <c r="F763" s="1113"/>
      <c r="G763" s="1113"/>
      <c r="H763" s="1113"/>
      <c r="I763" s="1113"/>
      <c r="J763" s="1113"/>
      <c r="K763" s="1113"/>
      <c r="L763" s="150">
        <f t="shared" si="36"/>
        <v>0</v>
      </c>
      <c r="M763" s="151">
        <f t="shared" si="37"/>
        <v>0</v>
      </c>
      <c r="N763" s="152">
        <f>+IF(OR($Q763=Parametres!$G$2,$Q763=Parametres!$G$3),I763,C763)</f>
        <v>0</v>
      </c>
      <c r="O763" s="152">
        <f>+IF(OR($Q763=Parametres!$G$2,$Q763=Parametres!$G$3),J763,D763)</f>
        <v>0</v>
      </c>
      <c r="P763" s="152">
        <f>+IF(OR($Q763=Parametres!$G$2,$Q763=Parametres!$G$3),K763,E763)</f>
        <v>0</v>
      </c>
      <c r="Q763" s="151">
        <f t="shared" si="53"/>
        <v>0</v>
      </c>
      <c r="R763" s="150">
        <f t="shared" si="53"/>
        <v>0</v>
      </c>
      <c r="S763" s="151">
        <f t="shared" si="53"/>
        <v>0</v>
      </c>
      <c r="T763" s="153" t="e">
        <f>+VLOOKUP($L763,Data_Validation!$A:$D,1,0)</f>
        <v>#N/A</v>
      </c>
      <c r="U763" s="153" t="e">
        <f>+VLOOKUP($L763,Data_Validation!$A:$D,3,0)</f>
        <v>#N/A</v>
      </c>
      <c r="V763" s="153" t="e">
        <f>+VLOOKUP($L763,Data_Validation!$A:$D,4,0)</f>
        <v>#N/A</v>
      </c>
      <c r="W763" s="153" t="e">
        <f>+VLOOKUP($L763,Data_Validation!$A:$E,5,0)</f>
        <v>#N/A</v>
      </c>
    </row>
    <row r="764" spans="1:23" ht="15.75" customHeight="1">
      <c r="A764" s="1113"/>
      <c r="B764" s="1119"/>
      <c r="C764" s="1120"/>
      <c r="D764" s="1113"/>
      <c r="E764" s="1113"/>
      <c r="F764" s="1113"/>
      <c r="G764" s="1113"/>
      <c r="H764" s="1113"/>
      <c r="I764" s="1113"/>
      <c r="J764" s="1113"/>
      <c r="K764" s="1113"/>
      <c r="L764" s="150">
        <f t="shared" si="36"/>
        <v>0</v>
      </c>
      <c r="M764" s="151">
        <f t="shared" si="37"/>
        <v>0</v>
      </c>
      <c r="N764" s="152">
        <f>+IF(OR($Q764=Parametres!$G$2,$Q764=Parametres!$G$3),I764,C764)</f>
        <v>0</v>
      </c>
      <c r="O764" s="152">
        <f>+IF(OR($Q764=Parametres!$G$2,$Q764=Parametres!$G$3),J764,D764)</f>
        <v>0</v>
      </c>
      <c r="P764" s="152">
        <f>+IF(OR($Q764=Parametres!$G$2,$Q764=Parametres!$G$3),K764,E764)</f>
        <v>0</v>
      </c>
      <c r="Q764" s="151">
        <f t="shared" si="53"/>
        <v>0</v>
      </c>
      <c r="R764" s="150">
        <f t="shared" si="53"/>
        <v>0</v>
      </c>
      <c r="S764" s="151">
        <f t="shared" si="53"/>
        <v>0</v>
      </c>
      <c r="T764" s="153" t="e">
        <f>+VLOOKUP($L764,Data_Validation!$A:$D,1,0)</f>
        <v>#N/A</v>
      </c>
      <c r="U764" s="153" t="e">
        <f>+VLOOKUP($L764,Data_Validation!$A:$D,3,0)</f>
        <v>#N/A</v>
      </c>
      <c r="V764" s="153" t="e">
        <f>+VLOOKUP($L764,Data_Validation!$A:$D,4,0)</f>
        <v>#N/A</v>
      </c>
      <c r="W764" s="153" t="e">
        <f>+VLOOKUP($L764,Data_Validation!$A:$E,5,0)</f>
        <v>#N/A</v>
      </c>
    </row>
    <row r="765" spans="1:23" ht="15.75" customHeight="1">
      <c r="A765" s="1113"/>
      <c r="B765" s="1119"/>
      <c r="C765" s="1120"/>
      <c r="D765" s="1113"/>
      <c r="E765" s="1113"/>
      <c r="F765" s="1113"/>
      <c r="G765" s="1113"/>
      <c r="H765" s="1113"/>
      <c r="I765" s="1113"/>
      <c r="J765" s="1113"/>
      <c r="K765" s="1113"/>
      <c r="L765" s="150">
        <f t="shared" si="36"/>
        <v>0</v>
      </c>
      <c r="M765" s="151">
        <f t="shared" si="37"/>
        <v>0</v>
      </c>
      <c r="N765" s="152">
        <f>+IF(OR($Q765=Parametres!$G$2,$Q765=Parametres!$G$3),I765,C765)</f>
        <v>0</v>
      </c>
      <c r="O765" s="152">
        <f>+IF(OR($Q765=Parametres!$G$2,$Q765=Parametres!$G$3),J765,D765)</f>
        <v>0</v>
      </c>
      <c r="P765" s="152">
        <f>+IF(OR($Q765=Parametres!$G$2,$Q765=Parametres!$G$3),K765,E765)</f>
        <v>0</v>
      </c>
      <c r="Q765" s="151">
        <f t="shared" si="53"/>
        <v>0</v>
      </c>
      <c r="R765" s="150">
        <f t="shared" si="53"/>
        <v>0</v>
      </c>
      <c r="S765" s="151">
        <f t="shared" si="53"/>
        <v>0</v>
      </c>
      <c r="T765" s="153" t="e">
        <f>+VLOOKUP($L765,Data_Validation!$A:$D,1,0)</f>
        <v>#N/A</v>
      </c>
      <c r="U765" s="153" t="e">
        <f>+VLOOKUP($L765,Data_Validation!$A:$D,3,0)</f>
        <v>#N/A</v>
      </c>
      <c r="V765" s="153" t="e">
        <f>+VLOOKUP($L765,Data_Validation!$A:$D,4,0)</f>
        <v>#N/A</v>
      </c>
      <c r="W765" s="153" t="e">
        <f>+VLOOKUP($L765,Data_Validation!$A:$E,5,0)</f>
        <v>#N/A</v>
      </c>
    </row>
    <row r="766" spans="1:23" ht="15.75" customHeight="1">
      <c r="A766" s="1113"/>
      <c r="B766" s="1119"/>
      <c r="C766" s="1120"/>
      <c r="D766" s="1113"/>
      <c r="E766" s="1113"/>
      <c r="F766" s="1113"/>
      <c r="G766" s="1113"/>
      <c r="H766" s="1113"/>
      <c r="I766" s="1113"/>
      <c r="J766" s="1113"/>
      <c r="K766" s="1113"/>
      <c r="L766" s="150">
        <f t="shared" si="36"/>
        <v>0</v>
      </c>
      <c r="M766" s="151">
        <f t="shared" si="37"/>
        <v>0</v>
      </c>
      <c r="N766" s="152">
        <f>+IF(OR($Q766=Parametres!$G$2,$Q766=Parametres!$G$3),I766,C766)</f>
        <v>0</v>
      </c>
      <c r="O766" s="152">
        <f>+IF(OR($Q766=Parametres!$G$2,$Q766=Parametres!$G$3),J766,D766)</f>
        <v>0</v>
      </c>
      <c r="P766" s="152">
        <f>+IF(OR($Q766=Parametres!$G$2,$Q766=Parametres!$G$3),K766,E766)</f>
        <v>0</v>
      </c>
      <c r="Q766" s="151">
        <f t="shared" si="53"/>
        <v>0</v>
      </c>
      <c r="R766" s="150">
        <f t="shared" si="53"/>
        <v>0</v>
      </c>
      <c r="S766" s="151">
        <f t="shared" si="53"/>
        <v>0</v>
      </c>
      <c r="T766" s="153" t="e">
        <f>+VLOOKUP($L766,Data_Validation!$A:$D,1,0)</f>
        <v>#N/A</v>
      </c>
      <c r="U766" s="153" t="e">
        <f>+VLOOKUP($L766,Data_Validation!$A:$D,3,0)</f>
        <v>#N/A</v>
      </c>
      <c r="V766" s="153" t="e">
        <f>+VLOOKUP($L766,Data_Validation!$A:$D,4,0)</f>
        <v>#N/A</v>
      </c>
      <c r="W766" s="153" t="e">
        <f>+VLOOKUP($L766,Data_Validation!$A:$E,5,0)</f>
        <v>#N/A</v>
      </c>
    </row>
    <row r="767" spans="1:23" ht="15.75" customHeight="1">
      <c r="A767" s="1113"/>
      <c r="B767" s="1119"/>
      <c r="C767" s="1120"/>
      <c r="D767" s="1113"/>
      <c r="E767" s="1113"/>
      <c r="F767" s="1113"/>
      <c r="G767" s="1113"/>
      <c r="H767" s="1113"/>
      <c r="I767" s="1113"/>
      <c r="J767" s="1113"/>
      <c r="K767" s="1113"/>
      <c r="L767" s="150">
        <f t="shared" ref="L767:L1021" si="54">+B767</f>
        <v>0</v>
      </c>
      <c r="M767" s="151">
        <f t="shared" ref="M767:M1021" si="55">+A767</f>
        <v>0</v>
      </c>
      <c r="N767" s="152">
        <f>+IF(OR($Q767=Parametres!$G$2,$Q767=Parametres!$G$3),I767,C767)</f>
        <v>0</v>
      </c>
      <c r="O767" s="152">
        <f>+IF(OR($Q767=Parametres!$G$2,$Q767=Parametres!$G$3),J767,D767)</f>
        <v>0</v>
      </c>
      <c r="P767" s="152">
        <f>+IF(OR($Q767=Parametres!$G$2,$Q767=Parametres!$G$3),K767,E767)</f>
        <v>0</v>
      </c>
      <c r="Q767" s="151">
        <f t="shared" si="53"/>
        <v>0</v>
      </c>
      <c r="R767" s="150">
        <f t="shared" si="53"/>
        <v>0</v>
      </c>
      <c r="S767" s="151">
        <f t="shared" si="53"/>
        <v>0</v>
      </c>
      <c r="T767" s="153" t="e">
        <f>+VLOOKUP($L767,Data_Validation!$A:$D,1,0)</f>
        <v>#N/A</v>
      </c>
      <c r="U767" s="153" t="e">
        <f>+VLOOKUP($L767,Data_Validation!$A:$D,3,0)</f>
        <v>#N/A</v>
      </c>
      <c r="V767" s="153" t="e">
        <f>+VLOOKUP($L767,Data_Validation!$A:$D,4,0)</f>
        <v>#N/A</v>
      </c>
      <c r="W767" s="153" t="e">
        <f>+VLOOKUP($L767,Data_Validation!$A:$E,5,0)</f>
        <v>#N/A</v>
      </c>
    </row>
    <row r="768" spans="1:23" ht="15.75" customHeight="1">
      <c r="A768" s="1113"/>
      <c r="B768" s="1119"/>
      <c r="C768" s="1120"/>
      <c r="D768" s="1113"/>
      <c r="E768" s="1113"/>
      <c r="F768" s="1113"/>
      <c r="G768" s="1113"/>
      <c r="H768" s="1113"/>
      <c r="I768" s="1113"/>
      <c r="J768" s="1113"/>
      <c r="K768" s="1113"/>
      <c r="L768" s="150">
        <f t="shared" si="54"/>
        <v>0</v>
      </c>
      <c r="M768" s="151">
        <f t="shared" si="55"/>
        <v>0</v>
      </c>
      <c r="N768" s="152">
        <f>+IF(OR($Q768=Parametres!$G$2,$Q768=Parametres!$G$3),I768,C768)</f>
        <v>0</v>
      </c>
      <c r="O768" s="152">
        <f>+IF(OR($Q768=Parametres!$G$2,$Q768=Parametres!$G$3),J768,D768)</f>
        <v>0</v>
      </c>
      <c r="P768" s="152">
        <f>+IF(OR($Q768=Parametres!$G$2,$Q768=Parametres!$G$3),K768,E768)</f>
        <v>0</v>
      </c>
      <c r="Q768" s="151">
        <f t="shared" si="53"/>
        <v>0</v>
      </c>
      <c r="R768" s="150">
        <f t="shared" si="53"/>
        <v>0</v>
      </c>
      <c r="S768" s="151">
        <f t="shared" si="53"/>
        <v>0</v>
      </c>
      <c r="T768" s="153" t="e">
        <f>+VLOOKUP($L768,Data_Validation!$A:$D,1,0)</f>
        <v>#N/A</v>
      </c>
      <c r="U768" s="153" t="e">
        <f>+VLOOKUP($L768,Data_Validation!$A:$D,3,0)</f>
        <v>#N/A</v>
      </c>
      <c r="V768" s="153" t="e">
        <f>+VLOOKUP($L768,Data_Validation!$A:$D,4,0)</f>
        <v>#N/A</v>
      </c>
      <c r="W768" s="153" t="e">
        <f>+VLOOKUP($L768,Data_Validation!$A:$E,5,0)</f>
        <v>#N/A</v>
      </c>
    </row>
    <row r="769" spans="1:23" ht="15.75" customHeight="1">
      <c r="A769" s="1113"/>
      <c r="B769" s="1119"/>
      <c r="C769" s="1120"/>
      <c r="D769" s="1113"/>
      <c r="E769" s="1113"/>
      <c r="F769" s="1113"/>
      <c r="G769" s="1113"/>
      <c r="H769" s="1113"/>
      <c r="I769" s="1113"/>
      <c r="J769" s="1113"/>
      <c r="K769" s="1113"/>
      <c r="L769" s="150">
        <f t="shared" si="54"/>
        <v>0</v>
      </c>
      <c r="M769" s="151">
        <f t="shared" si="55"/>
        <v>0</v>
      </c>
      <c r="N769" s="152">
        <f>+IF(OR($Q769=Parametres!$G$2,$Q769=Parametres!$G$3),I769,C769)</f>
        <v>0</v>
      </c>
      <c r="O769" s="152">
        <f>+IF(OR($Q769=Parametres!$G$2,$Q769=Parametres!$G$3),J769,D769)</f>
        <v>0</v>
      </c>
      <c r="P769" s="152">
        <f>+IF(OR($Q769=Parametres!$G$2,$Q769=Parametres!$G$3),K769,E769)</f>
        <v>0</v>
      </c>
      <c r="Q769" s="151">
        <f t="shared" si="53"/>
        <v>0</v>
      </c>
      <c r="R769" s="150">
        <f t="shared" si="53"/>
        <v>0</v>
      </c>
      <c r="S769" s="151">
        <f t="shared" si="53"/>
        <v>0</v>
      </c>
      <c r="T769" s="153" t="e">
        <f>+VLOOKUP($L769,Data_Validation!$A:$D,1,0)</f>
        <v>#N/A</v>
      </c>
      <c r="U769" s="153" t="e">
        <f>+VLOOKUP($L769,Data_Validation!$A:$D,3,0)</f>
        <v>#N/A</v>
      </c>
      <c r="V769" s="153" t="e">
        <f>+VLOOKUP($L769,Data_Validation!$A:$D,4,0)</f>
        <v>#N/A</v>
      </c>
      <c r="W769" s="153" t="e">
        <f>+VLOOKUP($L769,Data_Validation!$A:$E,5,0)</f>
        <v>#N/A</v>
      </c>
    </row>
    <row r="770" spans="1:23" ht="15.75" customHeight="1">
      <c r="A770" s="1113"/>
      <c r="B770" s="1119"/>
      <c r="C770" s="1120"/>
      <c r="D770" s="1113"/>
      <c r="E770" s="1113"/>
      <c r="F770" s="1113"/>
      <c r="G770" s="1113"/>
      <c r="H770" s="1113"/>
      <c r="I770" s="1113"/>
      <c r="J770" s="1113"/>
      <c r="K770" s="1113"/>
      <c r="L770" s="150">
        <f t="shared" si="54"/>
        <v>0</v>
      </c>
      <c r="M770" s="151">
        <f t="shared" si="55"/>
        <v>0</v>
      </c>
      <c r="N770" s="152">
        <f>+IF(OR($Q770=Parametres!$G$2,$Q770=Parametres!$G$3),I770,C770)</f>
        <v>0</v>
      </c>
      <c r="O770" s="152">
        <f>+IF(OR($Q770=Parametres!$G$2,$Q770=Parametres!$G$3),J770,D770)</f>
        <v>0</v>
      </c>
      <c r="P770" s="152">
        <f>+IF(OR($Q770=Parametres!$G$2,$Q770=Parametres!$G$3),K770,E770)</f>
        <v>0</v>
      </c>
      <c r="Q770" s="151">
        <f t="shared" ref="Q770:S785" si="56">+F770</f>
        <v>0</v>
      </c>
      <c r="R770" s="150">
        <f t="shared" si="56"/>
        <v>0</v>
      </c>
      <c r="S770" s="151">
        <f t="shared" si="56"/>
        <v>0</v>
      </c>
      <c r="T770" s="153" t="e">
        <f>+VLOOKUP($L770,Data_Validation!$A:$D,1,0)</f>
        <v>#N/A</v>
      </c>
      <c r="U770" s="153" t="e">
        <f>+VLOOKUP($L770,Data_Validation!$A:$D,3,0)</f>
        <v>#N/A</v>
      </c>
      <c r="V770" s="153" t="e">
        <f>+VLOOKUP($L770,Data_Validation!$A:$D,4,0)</f>
        <v>#N/A</v>
      </c>
      <c r="W770" s="153" t="e">
        <f>+VLOOKUP($L770,Data_Validation!$A:$E,5,0)</f>
        <v>#N/A</v>
      </c>
    </row>
    <row r="771" spans="1:23" ht="15.75" customHeight="1">
      <c r="A771" s="1113"/>
      <c r="B771" s="1119"/>
      <c r="C771" s="1120"/>
      <c r="D771" s="1113"/>
      <c r="E771" s="1113"/>
      <c r="F771" s="1113"/>
      <c r="G771" s="1113"/>
      <c r="H771" s="1113"/>
      <c r="I771" s="1113"/>
      <c r="J771" s="1113"/>
      <c r="K771" s="1113"/>
      <c r="L771" s="150">
        <f t="shared" si="54"/>
        <v>0</v>
      </c>
      <c r="M771" s="151">
        <f t="shared" si="55"/>
        <v>0</v>
      </c>
      <c r="N771" s="152">
        <f>+IF(OR($Q771=Parametres!$G$2,$Q771=Parametres!$G$3),I771,C771)</f>
        <v>0</v>
      </c>
      <c r="O771" s="152">
        <f>+IF(OR($Q771=Parametres!$G$2,$Q771=Parametres!$G$3),J771,D771)</f>
        <v>0</v>
      </c>
      <c r="P771" s="152">
        <f>+IF(OR($Q771=Parametres!$G$2,$Q771=Parametres!$G$3),K771,E771)</f>
        <v>0</v>
      </c>
      <c r="Q771" s="151">
        <f t="shared" si="56"/>
        <v>0</v>
      </c>
      <c r="R771" s="150">
        <f t="shared" si="56"/>
        <v>0</v>
      </c>
      <c r="S771" s="151">
        <f t="shared" si="56"/>
        <v>0</v>
      </c>
      <c r="T771" s="153" t="e">
        <f>+VLOOKUP($L771,Data_Validation!$A:$D,1,0)</f>
        <v>#N/A</v>
      </c>
      <c r="U771" s="153" t="e">
        <f>+VLOOKUP($L771,Data_Validation!$A:$D,3,0)</f>
        <v>#N/A</v>
      </c>
      <c r="V771" s="153" t="e">
        <f>+VLOOKUP($L771,Data_Validation!$A:$D,4,0)</f>
        <v>#N/A</v>
      </c>
      <c r="W771" s="153" t="e">
        <f>+VLOOKUP($L771,Data_Validation!$A:$E,5,0)</f>
        <v>#N/A</v>
      </c>
    </row>
    <row r="772" spans="1:23" ht="15.75" customHeight="1">
      <c r="A772" s="1113"/>
      <c r="B772" s="1119"/>
      <c r="C772" s="1120"/>
      <c r="D772" s="1113"/>
      <c r="E772" s="1113"/>
      <c r="F772" s="1113"/>
      <c r="G772" s="1113"/>
      <c r="H772" s="1113"/>
      <c r="I772" s="1113"/>
      <c r="J772" s="1113"/>
      <c r="K772" s="1113"/>
      <c r="L772" s="150">
        <f t="shared" si="54"/>
        <v>0</v>
      </c>
      <c r="M772" s="151">
        <f t="shared" si="55"/>
        <v>0</v>
      </c>
      <c r="N772" s="152">
        <f>+IF(OR($Q772=Parametres!$G$2,$Q772=Parametres!$G$3),I772,C772)</f>
        <v>0</v>
      </c>
      <c r="O772" s="152">
        <f>+IF(OR($Q772=Parametres!$G$2,$Q772=Parametres!$G$3),J772,D772)</f>
        <v>0</v>
      </c>
      <c r="P772" s="152">
        <f>+IF(OR($Q772=Parametres!$G$2,$Q772=Parametres!$G$3),K772,E772)</f>
        <v>0</v>
      </c>
      <c r="Q772" s="151">
        <f t="shared" si="56"/>
        <v>0</v>
      </c>
      <c r="R772" s="150">
        <f t="shared" si="56"/>
        <v>0</v>
      </c>
      <c r="S772" s="151">
        <f t="shared" si="56"/>
        <v>0</v>
      </c>
      <c r="T772" s="153" t="e">
        <f>+VLOOKUP($L772,Data_Validation!$A:$D,1,0)</f>
        <v>#N/A</v>
      </c>
      <c r="U772" s="153" t="e">
        <f>+VLOOKUP($L772,Data_Validation!$A:$D,3,0)</f>
        <v>#N/A</v>
      </c>
      <c r="V772" s="153" t="e">
        <f>+VLOOKUP($L772,Data_Validation!$A:$D,4,0)</f>
        <v>#N/A</v>
      </c>
      <c r="W772" s="153" t="e">
        <f>+VLOOKUP($L772,Data_Validation!$A:$E,5,0)</f>
        <v>#N/A</v>
      </c>
    </row>
    <row r="773" spans="1:23" ht="15.75" customHeight="1">
      <c r="A773" s="1113"/>
      <c r="B773" s="1119"/>
      <c r="C773" s="1120"/>
      <c r="D773" s="1113"/>
      <c r="E773" s="1113"/>
      <c r="F773" s="1113"/>
      <c r="G773" s="1113"/>
      <c r="H773" s="1113"/>
      <c r="I773" s="1113"/>
      <c r="J773" s="1113"/>
      <c r="K773" s="1113"/>
      <c r="L773" s="150">
        <f t="shared" si="54"/>
        <v>0</v>
      </c>
      <c r="M773" s="151">
        <f t="shared" si="55"/>
        <v>0</v>
      </c>
      <c r="N773" s="152">
        <f>+IF(OR($Q773=Parametres!$G$2,$Q773=Parametres!$G$3),I773,C773)</f>
        <v>0</v>
      </c>
      <c r="O773" s="152">
        <f>+IF(OR($Q773=Parametres!$G$2,$Q773=Parametres!$G$3),J773,D773)</f>
        <v>0</v>
      </c>
      <c r="P773" s="152">
        <f>+IF(OR($Q773=Parametres!$G$2,$Q773=Parametres!$G$3),K773,E773)</f>
        <v>0</v>
      </c>
      <c r="Q773" s="151">
        <f t="shared" si="56"/>
        <v>0</v>
      </c>
      <c r="R773" s="150">
        <f t="shared" si="56"/>
        <v>0</v>
      </c>
      <c r="S773" s="151">
        <f t="shared" si="56"/>
        <v>0</v>
      </c>
      <c r="T773" s="153" t="e">
        <f>+VLOOKUP($L773,Data_Validation!$A:$D,1,0)</f>
        <v>#N/A</v>
      </c>
      <c r="U773" s="153" t="e">
        <f>+VLOOKUP($L773,Data_Validation!$A:$D,3,0)</f>
        <v>#N/A</v>
      </c>
      <c r="V773" s="153" t="e">
        <f>+VLOOKUP($L773,Data_Validation!$A:$D,4,0)</f>
        <v>#N/A</v>
      </c>
      <c r="W773" s="153" t="e">
        <f>+VLOOKUP($L773,Data_Validation!$A:$E,5,0)</f>
        <v>#N/A</v>
      </c>
    </row>
    <row r="774" spans="1:23" ht="15.75" customHeight="1">
      <c r="A774" s="1113"/>
      <c r="B774" s="1119"/>
      <c r="C774" s="1120"/>
      <c r="D774" s="1113"/>
      <c r="E774" s="1113"/>
      <c r="F774" s="1113"/>
      <c r="G774" s="1113"/>
      <c r="H774" s="1113"/>
      <c r="I774" s="1113"/>
      <c r="J774" s="1113"/>
      <c r="K774" s="1113"/>
      <c r="L774" s="150">
        <f t="shared" si="54"/>
        <v>0</v>
      </c>
      <c r="M774" s="151">
        <f t="shared" si="55"/>
        <v>0</v>
      </c>
      <c r="N774" s="152">
        <f>+IF(OR($Q774=Parametres!$G$2,$Q774=Parametres!$G$3),I774,C774)</f>
        <v>0</v>
      </c>
      <c r="O774" s="152">
        <f>+IF(OR($Q774=Parametres!$G$2,$Q774=Parametres!$G$3),J774,D774)</f>
        <v>0</v>
      </c>
      <c r="P774" s="152">
        <f>+IF(OR($Q774=Parametres!$G$2,$Q774=Parametres!$G$3),K774,E774)</f>
        <v>0</v>
      </c>
      <c r="Q774" s="151">
        <f t="shared" si="56"/>
        <v>0</v>
      </c>
      <c r="R774" s="150">
        <f t="shared" si="56"/>
        <v>0</v>
      </c>
      <c r="S774" s="151">
        <f t="shared" si="56"/>
        <v>0</v>
      </c>
      <c r="T774" s="153" t="e">
        <f>+VLOOKUP($L774,Data_Validation!$A:$D,1,0)</f>
        <v>#N/A</v>
      </c>
      <c r="U774" s="153" t="e">
        <f>+VLOOKUP($L774,Data_Validation!$A:$D,3,0)</f>
        <v>#N/A</v>
      </c>
      <c r="V774" s="153" t="e">
        <f>+VLOOKUP($L774,Data_Validation!$A:$D,4,0)</f>
        <v>#N/A</v>
      </c>
      <c r="W774" s="153" t="e">
        <f>+VLOOKUP($L774,Data_Validation!$A:$E,5,0)</f>
        <v>#N/A</v>
      </c>
    </row>
    <row r="775" spans="1:23" ht="15.75" customHeight="1">
      <c r="A775" s="1113"/>
      <c r="B775" s="1119"/>
      <c r="C775" s="1120"/>
      <c r="D775" s="1113"/>
      <c r="E775" s="1113"/>
      <c r="F775" s="1113"/>
      <c r="G775" s="1113"/>
      <c r="H775" s="1113"/>
      <c r="I775" s="1113"/>
      <c r="J775" s="1113"/>
      <c r="K775" s="1113"/>
      <c r="L775" s="150">
        <f t="shared" si="54"/>
        <v>0</v>
      </c>
      <c r="M775" s="151">
        <f t="shared" si="55"/>
        <v>0</v>
      </c>
      <c r="N775" s="152">
        <f>+IF(OR($Q775=Parametres!$G$2,$Q775=Parametres!$G$3),I775,C775)</f>
        <v>0</v>
      </c>
      <c r="O775" s="152">
        <f>+IF(OR($Q775=Parametres!$G$2,$Q775=Parametres!$G$3),J775,D775)</f>
        <v>0</v>
      </c>
      <c r="P775" s="152">
        <f>+IF(OR($Q775=Parametres!$G$2,$Q775=Parametres!$G$3),K775,E775)</f>
        <v>0</v>
      </c>
      <c r="Q775" s="151">
        <f t="shared" si="56"/>
        <v>0</v>
      </c>
      <c r="R775" s="150">
        <f t="shared" si="56"/>
        <v>0</v>
      </c>
      <c r="S775" s="151">
        <f t="shared" si="56"/>
        <v>0</v>
      </c>
      <c r="T775" s="153" t="e">
        <f>+VLOOKUP($L775,Data_Validation!$A:$D,1,0)</f>
        <v>#N/A</v>
      </c>
      <c r="U775" s="153" t="e">
        <f>+VLOOKUP($L775,Data_Validation!$A:$D,3,0)</f>
        <v>#N/A</v>
      </c>
      <c r="V775" s="153" t="e">
        <f>+VLOOKUP($L775,Data_Validation!$A:$D,4,0)</f>
        <v>#N/A</v>
      </c>
      <c r="W775" s="153" t="e">
        <f>+VLOOKUP($L775,Data_Validation!$A:$E,5,0)</f>
        <v>#N/A</v>
      </c>
    </row>
    <row r="776" spans="1:23" ht="15.75" customHeight="1">
      <c r="A776" s="1113"/>
      <c r="B776" s="1119"/>
      <c r="C776" s="1120"/>
      <c r="D776" s="1113"/>
      <c r="E776" s="1113"/>
      <c r="F776" s="1113"/>
      <c r="G776" s="1113"/>
      <c r="H776" s="1113"/>
      <c r="I776" s="1113"/>
      <c r="J776" s="1113"/>
      <c r="K776" s="1113"/>
      <c r="L776" s="150">
        <f t="shared" si="54"/>
        <v>0</v>
      </c>
      <c r="M776" s="151">
        <f t="shared" si="55"/>
        <v>0</v>
      </c>
      <c r="N776" s="152">
        <f>+IF(OR($Q776=Parametres!$G$2,$Q776=Parametres!$G$3),I776,C776)</f>
        <v>0</v>
      </c>
      <c r="O776" s="152">
        <f>+IF(OR($Q776=Parametres!$G$2,$Q776=Parametres!$G$3),J776,D776)</f>
        <v>0</v>
      </c>
      <c r="P776" s="152">
        <f>+IF(OR($Q776=Parametres!$G$2,$Q776=Parametres!$G$3),K776,E776)</f>
        <v>0</v>
      </c>
      <c r="Q776" s="151">
        <f t="shared" si="56"/>
        <v>0</v>
      </c>
      <c r="R776" s="150">
        <f t="shared" si="56"/>
        <v>0</v>
      </c>
      <c r="S776" s="151">
        <f t="shared" si="56"/>
        <v>0</v>
      </c>
      <c r="T776" s="153" t="e">
        <f>+VLOOKUP($L776,Data_Validation!$A:$D,1,0)</f>
        <v>#N/A</v>
      </c>
      <c r="U776" s="153" t="e">
        <f>+VLOOKUP($L776,Data_Validation!$A:$D,3,0)</f>
        <v>#N/A</v>
      </c>
      <c r="V776" s="153" t="e">
        <f>+VLOOKUP($L776,Data_Validation!$A:$D,4,0)</f>
        <v>#N/A</v>
      </c>
      <c r="W776" s="153" t="e">
        <f>+VLOOKUP($L776,Data_Validation!$A:$E,5,0)</f>
        <v>#N/A</v>
      </c>
    </row>
    <row r="777" spans="1:23" ht="15.75" customHeight="1">
      <c r="A777" s="1113"/>
      <c r="B777" s="1119"/>
      <c r="C777" s="1120"/>
      <c r="D777" s="1113"/>
      <c r="E777" s="1113"/>
      <c r="F777" s="1113"/>
      <c r="G777" s="1113"/>
      <c r="H777" s="1113"/>
      <c r="I777" s="1113"/>
      <c r="J777" s="1113"/>
      <c r="K777" s="1113"/>
      <c r="L777" s="150">
        <f t="shared" si="54"/>
        <v>0</v>
      </c>
      <c r="M777" s="151">
        <f t="shared" si="55"/>
        <v>0</v>
      </c>
      <c r="N777" s="152">
        <f>+IF(OR($Q777=Parametres!$G$2,$Q777=Parametres!$G$3),I777,C777)</f>
        <v>0</v>
      </c>
      <c r="O777" s="152">
        <f>+IF(OR($Q777=Parametres!$G$2,$Q777=Parametres!$G$3),J777,D777)</f>
        <v>0</v>
      </c>
      <c r="P777" s="152">
        <f>+IF(OR($Q777=Parametres!$G$2,$Q777=Parametres!$G$3),K777,E777)</f>
        <v>0</v>
      </c>
      <c r="Q777" s="151">
        <f t="shared" si="56"/>
        <v>0</v>
      </c>
      <c r="R777" s="150">
        <f t="shared" si="56"/>
        <v>0</v>
      </c>
      <c r="S777" s="151">
        <f t="shared" si="56"/>
        <v>0</v>
      </c>
      <c r="T777" s="153" t="e">
        <f>+VLOOKUP($L777,Data_Validation!$A:$D,1,0)</f>
        <v>#N/A</v>
      </c>
      <c r="U777" s="153" t="e">
        <f>+VLOOKUP($L777,Data_Validation!$A:$D,3,0)</f>
        <v>#N/A</v>
      </c>
      <c r="V777" s="153" t="e">
        <f>+VLOOKUP($L777,Data_Validation!$A:$D,4,0)</f>
        <v>#N/A</v>
      </c>
      <c r="W777" s="153" t="e">
        <f>+VLOOKUP($L777,Data_Validation!$A:$E,5,0)</f>
        <v>#N/A</v>
      </c>
    </row>
    <row r="778" spans="1:23" ht="15.75" customHeight="1">
      <c r="A778" s="1113"/>
      <c r="B778" s="1119"/>
      <c r="C778" s="1120"/>
      <c r="D778" s="1113"/>
      <c r="E778" s="1113"/>
      <c r="F778" s="1113"/>
      <c r="G778" s="1113"/>
      <c r="H778" s="1113"/>
      <c r="I778" s="1113"/>
      <c r="J778" s="1113"/>
      <c r="K778" s="1113"/>
      <c r="L778" s="150">
        <f t="shared" si="54"/>
        <v>0</v>
      </c>
      <c r="M778" s="151">
        <f t="shared" si="55"/>
        <v>0</v>
      </c>
      <c r="N778" s="152">
        <f>+IF(OR($Q778=Parametres!$G$2,$Q778=Parametres!$G$3),I778,C778)</f>
        <v>0</v>
      </c>
      <c r="O778" s="152">
        <f>+IF(OR($Q778=Parametres!$G$2,$Q778=Parametres!$G$3),J778,D778)</f>
        <v>0</v>
      </c>
      <c r="P778" s="152">
        <f>+IF(OR($Q778=Parametres!$G$2,$Q778=Parametres!$G$3),K778,E778)</f>
        <v>0</v>
      </c>
      <c r="Q778" s="151">
        <f t="shared" si="56"/>
        <v>0</v>
      </c>
      <c r="R778" s="150">
        <f t="shared" si="56"/>
        <v>0</v>
      </c>
      <c r="S778" s="151">
        <f t="shared" si="56"/>
        <v>0</v>
      </c>
      <c r="T778" s="153" t="e">
        <f>+VLOOKUP($L778,Data_Validation!$A:$D,1,0)</f>
        <v>#N/A</v>
      </c>
      <c r="U778" s="153" t="e">
        <f>+VLOOKUP($L778,Data_Validation!$A:$D,3,0)</f>
        <v>#N/A</v>
      </c>
      <c r="V778" s="153" t="e">
        <f>+VLOOKUP($L778,Data_Validation!$A:$D,4,0)</f>
        <v>#N/A</v>
      </c>
      <c r="W778" s="153" t="e">
        <f>+VLOOKUP($L778,Data_Validation!$A:$E,5,0)</f>
        <v>#N/A</v>
      </c>
    </row>
    <row r="779" spans="1:23" ht="15.75" customHeight="1">
      <c r="A779" s="1113"/>
      <c r="B779" s="1119"/>
      <c r="C779" s="1120"/>
      <c r="D779" s="1113"/>
      <c r="E779" s="1113"/>
      <c r="F779" s="1113"/>
      <c r="G779" s="1113"/>
      <c r="H779" s="1113"/>
      <c r="I779" s="1113"/>
      <c r="J779" s="1113"/>
      <c r="K779" s="1113"/>
      <c r="L779" s="150">
        <f t="shared" si="54"/>
        <v>0</v>
      </c>
      <c r="M779" s="151">
        <f t="shared" si="55"/>
        <v>0</v>
      </c>
      <c r="N779" s="152">
        <f>+IF(OR($Q779=Parametres!$G$2,$Q779=Parametres!$G$3),I779,C779)</f>
        <v>0</v>
      </c>
      <c r="O779" s="152">
        <f>+IF(OR($Q779=Parametres!$G$2,$Q779=Parametres!$G$3),J779,D779)</f>
        <v>0</v>
      </c>
      <c r="P779" s="152">
        <f>+IF(OR($Q779=Parametres!$G$2,$Q779=Parametres!$G$3),K779,E779)</f>
        <v>0</v>
      </c>
      <c r="Q779" s="151">
        <f t="shared" si="56"/>
        <v>0</v>
      </c>
      <c r="R779" s="150">
        <f t="shared" si="56"/>
        <v>0</v>
      </c>
      <c r="S779" s="151">
        <f t="shared" si="56"/>
        <v>0</v>
      </c>
      <c r="T779" s="153" t="e">
        <f>+VLOOKUP($L779,Data_Validation!$A:$D,1,0)</f>
        <v>#N/A</v>
      </c>
      <c r="U779" s="153" t="e">
        <f>+VLOOKUP($L779,Data_Validation!$A:$D,3,0)</f>
        <v>#N/A</v>
      </c>
      <c r="V779" s="153" t="e">
        <f>+VLOOKUP($L779,Data_Validation!$A:$D,4,0)</f>
        <v>#N/A</v>
      </c>
      <c r="W779" s="153" t="e">
        <f>+VLOOKUP($L779,Data_Validation!$A:$E,5,0)</f>
        <v>#N/A</v>
      </c>
    </row>
    <row r="780" spans="1:23" ht="15.75" customHeight="1">
      <c r="A780" s="1113"/>
      <c r="B780" s="1119"/>
      <c r="C780" s="1120"/>
      <c r="D780" s="1113"/>
      <c r="E780" s="1113"/>
      <c r="F780" s="1113"/>
      <c r="G780" s="1113"/>
      <c r="H780" s="1113"/>
      <c r="I780" s="1113"/>
      <c r="J780" s="1113"/>
      <c r="K780" s="1113"/>
      <c r="L780" s="150">
        <f t="shared" si="54"/>
        <v>0</v>
      </c>
      <c r="M780" s="151">
        <f t="shared" si="55"/>
        <v>0</v>
      </c>
      <c r="N780" s="152">
        <f>+IF(OR($Q780=Parametres!$G$2,$Q780=Parametres!$G$3),I780,C780)</f>
        <v>0</v>
      </c>
      <c r="O780" s="152">
        <f>+IF(OR($Q780=Parametres!$G$2,$Q780=Parametres!$G$3),J780,D780)</f>
        <v>0</v>
      </c>
      <c r="P780" s="152">
        <f>+IF(OR($Q780=Parametres!$G$2,$Q780=Parametres!$G$3),K780,E780)</f>
        <v>0</v>
      </c>
      <c r="Q780" s="151">
        <f t="shared" si="56"/>
        <v>0</v>
      </c>
      <c r="R780" s="150">
        <f t="shared" si="56"/>
        <v>0</v>
      </c>
      <c r="S780" s="151">
        <f t="shared" si="56"/>
        <v>0</v>
      </c>
      <c r="T780" s="153" t="e">
        <f>+VLOOKUP($L780,Data_Validation!$A:$D,1,0)</f>
        <v>#N/A</v>
      </c>
      <c r="U780" s="153" t="e">
        <f>+VLOOKUP($L780,Data_Validation!$A:$D,3,0)</f>
        <v>#N/A</v>
      </c>
      <c r="V780" s="153" t="e">
        <f>+VLOOKUP($L780,Data_Validation!$A:$D,4,0)</f>
        <v>#N/A</v>
      </c>
      <c r="W780" s="153" t="e">
        <f>+VLOOKUP($L780,Data_Validation!$A:$E,5,0)</f>
        <v>#N/A</v>
      </c>
    </row>
    <row r="781" spans="1:23" ht="15.75" customHeight="1">
      <c r="A781" s="1113"/>
      <c r="B781" s="1119"/>
      <c r="C781" s="1120"/>
      <c r="D781" s="1113"/>
      <c r="E781" s="1113"/>
      <c r="F781" s="1113"/>
      <c r="G781" s="1113"/>
      <c r="H781" s="1113"/>
      <c r="I781" s="1113"/>
      <c r="J781" s="1113"/>
      <c r="K781" s="1113"/>
      <c r="L781" s="150">
        <f t="shared" si="54"/>
        <v>0</v>
      </c>
      <c r="M781" s="151">
        <f t="shared" si="55"/>
        <v>0</v>
      </c>
      <c r="N781" s="152">
        <f>+IF(OR($Q781=Parametres!$G$2,$Q781=Parametres!$G$3),I781,C781)</f>
        <v>0</v>
      </c>
      <c r="O781" s="152">
        <f>+IF(OR($Q781=Parametres!$G$2,$Q781=Parametres!$G$3),J781,D781)</f>
        <v>0</v>
      </c>
      <c r="P781" s="152">
        <f>+IF(OR($Q781=Parametres!$G$2,$Q781=Parametres!$G$3),K781,E781)</f>
        <v>0</v>
      </c>
      <c r="Q781" s="151">
        <f t="shared" si="56"/>
        <v>0</v>
      </c>
      <c r="R781" s="150">
        <f t="shared" si="56"/>
        <v>0</v>
      </c>
      <c r="S781" s="151">
        <f t="shared" si="56"/>
        <v>0</v>
      </c>
      <c r="T781" s="153" t="e">
        <f>+VLOOKUP($L781,Data_Validation!$A:$D,1,0)</f>
        <v>#N/A</v>
      </c>
      <c r="U781" s="153" t="e">
        <f>+VLOOKUP($L781,Data_Validation!$A:$D,3,0)</f>
        <v>#N/A</v>
      </c>
      <c r="V781" s="153" t="e">
        <f>+VLOOKUP($L781,Data_Validation!$A:$D,4,0)</f>
        <v>#N/A</v>
      </c>
      <c r="W781" s="153" t="e">
        <f>+VLOOKUP($L781,Data_Validation!$A:$E,5,0)</f>
        <v>#N/A</v>
      </c>
    </row>
    <row r="782" spans="1:23" ht="15.75" customHeight="1">
      <c r="A782" s="1113"/>
      <c r="B782" s="1119"/>
      <c r="C782" s="1120"/>
      <c r="D782" s="1113"/>
      <c r="E782" s="1113"/>
      <c r="F782" s="1113"/>
      <c r="G782" s="1113"/>
      <c r="H782" s="1113"/>
      <c r="I782" s="1113"/>
      <c r="J782" s="1113"/>
      <c r="K782" s="1113"/>
      <c r="L782" s="150">
        <f t="shared" si="54"/>
        <v>0</v>
      </c>
      <c r="M782" s="151">
        <f t="shared" si="55"/>
        <v>0</v>
      </c>
      <c r="N782" s="152">
        <f>+IF(OR($Q782=Parametres!$G$2,$Q782=Parametres!$G$3),I782,C782)</f>
        <v>0</v>
      </c>
      <c r="O782" s="152">
        <f>+IF(OR($Q782=Parametres!$G$2,$Q782=Parametres!$G$3),J782,D782)</f>
        <v>0</v>
      </c>
      <c r="P782" s="152">
        <f>+IF(OR($Q782=Parametres!$G$2,$Q782=Parametres!$G$3),K782,E782)</f>
        <v>0</v>
      </c>
      <c r="Q782" s="151">
        <f t="shared" si="56"/>
        <v>0</v>
      </c>
      <c r="R782" s="150">
        <f t="shared" si="56"/>
        <v>0</v>
      </c>
      <c r="S782" s="151">
        <f t="shared" si="56"/>
        <v>0</v>
      </c>
      <c r="T782" s="153" t="e">
        <f>+VLOOKUP($L782,Data_Validation!$A:$D,1,0)</f>
        <v>#N/A</v>
      </c>
      <c r="U782" s="153" t="e">
        <f>+VLOOKUP($L782,Data_Validation!$A:$D,3,0)</f>
        <v>#N/A</v>
      </c>
      <c r="V782" s="153" t="e">
        <f>+VLOOKUP($L782,Data_Validation!$A:$D,4,0)</f>
        <v>#N/A</v>
      </c>
      <c r="W782" s="153" t="e">
        <f>+VLOOKUP($L782,Data_Validation!$A:$E,5,0)</f>
        <v>#N/A</v>
      </c>
    </row>
    <row r="783" spans="1:23" ht="15.75" customHeight="1">
      <c r="A783" s="1113"/>
      <c r="B783" s="1119"/>
      <c r="C783" s="1120"/>
      <c r="D783" s="1113"/>
      <c r="E783" s="1113"/>
      <c r="F783" s="1113"/>
      <c r="G783" s="1113"/>
      <c r="H783" s="1113"/>
      <c r="I783" s="1113"/>
      <c r="J783" s="1113"/>
      <c r="K783" s="1113"/>
      <c r="L783" s="150">
        <f t="shared" si="54"/>
        <v>0</v>
      </c>
      <c r="M783" s="151">
        <f t="shared" si="55"/>
        <v>0</v>
      </c>
      <c r="N783" s="152">
        <f>+IF(OR($Q783=Parametres!$G$2,$Q783=Parametres!$G$3),I783,C783)</f>
        <v>0</v>
      </c>
      <c r="O783" s="152">
        <f>+IF(OR($Q783=Parametres!$G$2,$Q783=Parametres!$G$3),J783,D783)</f>
        <v>0</v>
      </c>
      <c r="P783" s="152">
        <f>+IF(OR($Q783=Parametres!$G$2,$Q783=Parametres!$G$3),K783,E783)</f>
        <v>0</v>
      </c>
      <c r="Q783" s="151">
        <f t="shared" si="56"/>
        <v>0</v>
      </c>
      <c r="R783" s="150">
        <f t="shared" si="56"/>
        <v>0</v>
      </c>
      <c r="S783" s="151">
        <f t="shared" si="56"/>
        <v>0</v>
      </c>
      <c r="T783" s="153" t="e">
        <f>+VLOOKUP($L783,Data_Validation!$A:$D,1,0)</f>
        <v>#N/A</v>
      </c>
      <c r="U783" s="153" t="e">
        <f>+VLOOKUP($L783,Data_Validation!$A:$D,3,0)</f>
        <v>#N/A</v>
      </c>
      <c r="V783" s="153" t="e">
        <f>+VLOOKUP($L783,Data_Validation!$A:$D,4,0)</f>
        <v>#N/A</v>
      </c>
      <c r="W783" s="153" t="e">
        <f>+VLOOKUP($L783,Data_Validation!$A:$E,5,0)</f>
        <v>#N/A</v>
      </c>
    </row>
    <row r="784" spans="1:23" ht="15.75" customHeight="1">
      <c r="A784" s="1113"/>
      <c r="B784" s="1119"/>
      <c r="C784" s="1120"/>
      <c r="D784" s="1113"/>
      <c r="E784" s="1113"/>
      <c r="F784" s="1113"/>
      <c r="G784" s="1113"/>
      <c r="H784" s="1113"/>
      <c r="I784" s="1113"/>
      <c r="J784" s="1113"/>
      <c r="K784" s="1113"/>
      <c r="L784" s="150">
        <f t="shared" si="54"/>
        <v>0</v>
      </c>
      <c r="M784" s="151">
        <f t="shared" si="55"/>
        <v>0</v>
      </c>
      <c r="N784" s="152">
        <f>+IF(OR($Q784=Parametres!$G$2,$Q784=Parametres!$G$3),I784,C784)</f>
        <v>0</v>
      </c>
      <c r="O784" s="152">
        <f>+IF(OR($Q784=Parametres!$G$2,$Q784=Parametres!$G$3),J784,D784)</f>
        <v>0</v>
      </c>
      <c r="P784" s="152">
        <f>+IF(OR($Q784=Parametres!$G$2,$Q784=Parametres!$G$3),K784,E784)</f>
        <v>0</v>
      </c>
      <c r="Q784" s="151">
        <f t="shared" si="56"/>
        <v>0</v>
      </c>
      <c r="R784" s="150">
        <f t="shared" si="56"/>
        <v>0</v>
      </c>
      <c r="S784" s="151">
        <f t="shared" si="56"/>
        <v>0</v>
      </c>
      <c r="T784" s="153" t="e">
        <f>+VLOOKUP($L784,Data_Validation!$A:$D,1,0)</f>
        <v>#N/A</v>
      </c>
      <c r="U784" s="153" t="e">
        <f>+VLOOKUP($L784,Data_Validation!$A:$D,3,0)</f>
        <v>#N/A</v>
      </c>
      <c r="V784" s="153" t="e">
        <f>+VLOOKUP($L784,Data_Validation!$A:$D,4,0)</f>
        <v>#N/A</v>
      </c>
      <c r="W784" s="153" t="e">
        <f>+VLOOKUP($L784,Data_Validation!$A:$E,5,0)</f>
        <v>#N/A</v>
      </c>
    </row>
    <row r="785" spans="1:23" ht="15.75" customHeight="1">
      <c r="A785" s="1113"/>
      <c r="B785" s="1119"/>
      <c r="C785" s="1120"/>
      <c r="D785" s="1113"/>
      <c r="E785" s="1113"/>
      <c r="F785" s="1113"/>
      <c r="G785" s="1113"/>
      <c r="H785" s="1113"/>
      <c r="I785" s="1113"/>
      <c r="J785" s="1113"/>
      <c r="K785" s="1113"/>
      <c r="L785" s="150">
        <f t="shared" si="54"/>
        <v>0</v>
      </c>
      <c r="M785" s="151">
        <f t="shared" si="55"/>
        <v>0</v>
      </c>
      <c r="N785" s="152">
        <f>+IF(OR($Q785=Parametres!$G$2,$Q785=Parametres!$G$3),I785,C785)</f>
        <v>0</v>
      </c>
      <c r="O785" s="152">
        <f>+IF(OR($Q785=Parametres!$G$2,$Q785=Parametres!$G$3),J785,D785)</f>
        <v>0</v>
      </c>
      <c r="P785" s="152">
        <f>+IF(OR($Q785=Parametres!$G$2,$Q785=Parametres!$G$3),K785,E785)</f>
        <v>0</v>
      </c>
      <c r="Q785" s="151">
        <f t="shared" si="56"/>
        <v>0</v>
      </c>
      <c r="R785" s="150">
        <f t="shared" si="56"/>
        <v>0</v>
      </c>
      <c r="S785" s="151">
        <f t="shared" si="56"/>
        <v>0</v>
      </c>
      <c r="T785" s="153" t="e">
        <f>+VLOOKUP($L785,Data_Validation!$A:$D,1,0)</f>
        <v>#N/A</v>
      </c>
      <c r="U785" s="153" t="e">
        <f>+VLOOKUP($L785,Data_Validation!$A:$D,3,0)</f>
        <v>#N/A</v>
      </c>
      <c r="V785" s="153" t="e">
        <f>+VLOOKUP($L785,Data_Validation!$A:$D,4,0)</f>
        <v>#N/A</v>
      </c>
      <c r="W785" s="153" t="e">
        <f>+VLOOKUP($L785,Data_Validation!$A:$E,5,0)</f>
        <v>#N/A</v>
      </c>
    </row>
    <row r="786" spans="1:23" ht="15.75" customHeight="1">
      <c r="A786" s="1113"/>
      <c r="B786" s="1119"/>
      <c r="C786" s="1120"/>
      <c r="D786" s="1113"/>
      <c r="E786" s="1113"/>
      <c r="F786" s="1113"/>
      <c r="G786" s="1113"/>
      <c r="H786" s="1113"/>
      <c r="I786" s="1113"/>
      <c r="J786" s="1113"/>
      <c r="K786" s="1113"/>
      <c r="L786" s="150">
        <f t="shared" si="54"/>
        <v>0</v>
      </c>
      <c r="M786" s="151">
        <f t="shared" si="55"/>
        <v>0</v>
      </c>
      <c r="N786" s="152">
        <f>+IF(OR($Q786=Parametres!$G$2,$Q786=Parametres!$G$3),I786,C786)</f>
        <v>0</v>
      </c>
      <c r="O786" s="152">
        <f>+IF(OR($Q786=Parametres!$G$2,$Q786=Parametres!$G$3),J786,D786)</f>
        <v>0</v>
      </c>
      <c r="P786" s="152">
        <f>+IF(OR($Q786=Parametres!$G$2,$Q786=Parametres!$G$3),K786,E786)</f>
        <v>0</v>
      </c>
      <c r="Q786" s="151">
        <f t="shared" ref="Q786:S801" si="57">+F786</f>
        <v>0</v>
      </c>
      <c r="R786" s="150">
        <f t="shared" si="57"/>
        <v>0</v>
      </c>
      <c r="S786" s="151">
        <f t="shared" si="57"/>
        <v>0</v>
      </c>
      <c r="T786" s="153" t="e">
        <f>+VLOOKUP($L786,Data_Validation!$A:$D,1,0)</f>
        <v>#N/A</v>
      </c>
      <c r="U786" s="153" t="e">
        <f>+VLOOKUP($L786,Data_Validation!$A:$D,3,0)</f>
        <v>#N/A</v>
      </c>
      <c r="V786" s="153" t="e">
        <f>+VLOOKUP($L786,Data_Validation!$A:$D,4,0)</f>
        <v>#N/A</v>
      </c>
      <c r="W786" s="153" t="e">
        <f>+VLOOKUP($L786,Data_Validation!$A:$E,5,0)</f>
        <v>#N/A</v>
      </c>
    </row>
    <row r="787" spans="1:23" ht="15.75" customHeight="1">
      <c r="A787" s="1113"/>
      <c r="B787" s="1119"/>
      <c r="C787" s="1120"/>
      <c r="D787" s="1113"/>
      <c r="E787" s="1113"/>
      <c r="F787" s="1113"/>
      <c r="G787" s="1113"/>
      <c r="H787" s="1113"/>
      <c r="I787" s="1113"/>
      <c r="J787" s="1113"/>
      <c r="K787" s="1113"/>
      <c r="L787" s="150">
        <f t="shared" si="54"/>
        <v>0</v>
      </c>
      <c r="M787" s="151">
        <f t="shared" si="55"/>
        <v>0</v>
      </c>
      <c r="N787" s="152">
        <f>+IF(OR($Q787=Parametres!$G$2,$Q787=Parametres!$G$3),I787,C787)</f>
        <v>0</v>
      </c>
      <c r="O787" s="152">
        <f>+IF(OR($Q787=Parametres!$G$2,$Q787=Parametres!$G$3),J787,D787)</f>
        <v>0</v>
      </c>
      <c r="P787" s="152">
        <f>+IF(OR($Q787=Parametres!$G$2,$Q787=Parametres!$G$3),K787,E787)</f>
        <v>0</v>
      </c>
      <c r="Q787" s="151">
        <f t="shared" si="57"/>
        <v>0</v>
      </c>
      <c r="R787" s="150">
        <f t="shared" si="57"/>
        <v>0</v>
      </c>
      <c r="S787" s="151">
        <f t="shared" si="57"/>
        <v>0</v>
      </c>
      <c r="T787" s="153" t="e">
        <f>+VLOOKUP($L787,Data_Validation!$A:$D,1,0)</f>
        <v>#N/A</v>
      </c>
      <c r="U787" s="153" t="e">
        <f>+VLOOKUP($L787,Data_Validation!$A:$D,3,0)</f>
        <v>#N/A</v>
      </c>
      <c r="V787" s="153" t="e">
        <f>+VLOOKUP($L787,Data_Validation!$A:$D,4,0)</f>
        <v>#N/A</v>
      </c>
      <c r="W787" s="153" t="e">
        <f>+VLOOKUP($L787,Data_Validation!$A:$E,5,0)</f>
        <v>#N/A</v>
      </c>
    </row>
    <row r="788" spans="1:23" ht="15.75" customHeight="1">
      <c r="A788" s="1113"/>
      <c r="B788" s="1119"/>
      <c r="C788" s="1120"/>
      <c r="D788" s="1113"/>
      <c r="E788" s="1113"/>
      <c r="F788" s="1113"/>
      <c r="G788" s="1113"/>
      <c r="H788" s="1113"/>
      <c r="I788" s="1113"/>
      <c r="J788" s="1113"/>
      <c r="K788" s="1113"/>
      <c r="L788" s="150">
        <f t="shared" si="54"/>
        <v>0</v>
      </c>
      <c r="M788" s="151">
        <f t="shared" si="55"/>
        <v>0</v>
      </c>
      <c r="N788" s="152">
        <f>+IF(OR($Q788=Parametres!$G$2,$Q788=Parametres!$G$3),I788,C788)</f>
        <v>0</v>
      </c>
      <c r="O788" s="152">
        <f>+IF(OR($Q788=Parametres!$G$2,$Q788=Parametres!$G$3),J788,D788)</f>
        <v>0</v>
      </c>
      <c r="P788" s="152">
        <f>+IF(OR($Q788=Parametres!$G$2,$Q788=Parametres!$G$3),K788,E788)</f>
        <v>0</v>
      </c>
      <c r="Q788" s="151">
        <f t="shared" si="57"/>
        <v>0</v>
      </c>
      <c r="R788" s="150">
        <f t="shared" si="57"/>
        <v>0</v>
      </c>
      <c r="S788" s="151">
        <f t="shared" si="57"/>
        <v>0</v>
      </c>
      <c r="T788" s="153" t="e">
        <f>+VLOOKUP($L788,Data_Validation!$A:$D,1,0)</f>
        <v>#N/A</v>
      </c>
      <c r="U788" s="153" t="e">
        <f>+VLOOKUP($L788,Data_Validation!$A:$D,3,0)</f>
        <v>#N/A</v>
      </c>
      <c r="V788" s="153" t="e">
        <f>+VLOOKUP($L788,Data_Validation!$A:$D,4,0)</f>
        <v>#N/A</v>
      </c>
      <c r="W788" s="153" t="e">
        <f>+VLOOKUP($L788,Data_Validation!$A:$E,5,0)</f>
        <v>#N/A</v>
      </c>
    </row>
    <row r="789" spans="1:23" ht="15.75" customHeight="1">
      <c r="A789" s="1113"/>
      <c r="B789" s="1119"/>
      <c r="C789" s="1120"/>
      <c r="D789" s="1113"/>
      <c r="E789" s="1113"/>
      <c r="F789" s="1113"/>
      <c r="G789" s="1113"/>
      <c r="H789" s="1113"/>
      <c r="I789" s="1113"/>
      <c r="J789" s="1113"/>
      <c r="K789" s="1113"/>
      <c r="L789" s="150">
        <f t="shared" si="54"/>
        <v>0</v>
      </c>
      <c r="M789" s="151">
        <f t="shared" si="55"/>
        <v>0</v>
      </c>
      <c r="N789" s="152">
        <f>+IF(OR($Q789=Parametres!$G$2,$Q789=Parametres!$G$3),I789,C789)</f>
        <v>0</v>
      </c>
      <c r="O789" s="152">
        <f>+IF(OR($Q789=Parametres!$G$2,$Q789=Parametres!$G$3),J789,D789)</f>
        <v>0</v>
      </c>
      <c r="P789" s="152">
        <f>+IF(OR($Q789=Parametres!$G$2,$Q789=Parametres!$G$3),K789,E789)</f>
        <v>0</v>
      </c>
      <c r="Q789" s="151">
        <f t="shared" si="57"/>
        <v>0</v>
      </c>
      <c r="R789" s="150">
        <f t="shared" si="57"/>
        <v>0</v>
      </c>
      <c r="S789" s="151">
        <f t="shared" si="57"/>
        <v>0</v>
      </c>
      <c r="T789" s="153" t="e">
        <f>+VLOOKUP($L789,Data_Validation!$A:$D,1,0)</f>
        <v>#N/A</v>
      </c>
      <c r="U789" s="153" t="e">
        <f>+VLOOKUP($L789,Data_Validation!$A:$D,3,0)</f>
        <v>#N/A</v>
      </c>
      <c r="V789" s="153" t="e">
        <f>+VLOOKUP($L789,Data_Validation!$A:$D,4,0)</f>
        <v>#N/A</v>
      </c>
      <c r="W789" s="153" t="e">
        <f>+VLOOKUP($L789,Data_Validation!$A:$E,5,0)</f>
        <v>#N/A</v>
      </c>
    </row>
    <row r="790" spans="1:23" ht="15.75" customHeight="1">
      <c r="A790" s="1113"/>
      <c r="B790" s="1119"/>
      <c r="C790" s="1120"/>
      <c r="D790" s="1113"/>
      <c r="E790" s="1113"/>
      <c r="F790" s="1113"/>
      <c r="G790" s="1113"/>
      <c r="H790" s="1113"/>
      <c r="I790" s="1113"/>
      <c r="J790" s="1113"/>
      <c r="K790" s="1113"/>
      <c r="L790" s="150">
        <f t="shared" si="54"/>
        <v>0</v>
      </c>
      <c r="M790" s="151">
        <f t="shared" si="55"/>
        <v>0</v>
      </c>
      <c r="N790" s="152">
        <f>+IF(OR($Q790=Parametres!$G$2,$Q790=Parametres!$G$3),I790,C790)</f>
        <v>0</v>
      </c>
      <c r="O790" s="152">
        <f>+IF(OR($Q790=Parametres!$G$2,$Q790=Parametres!$G$3),J790,D790)</f>
        <v>0</v>
      </c>
      <c r="P790" s="152">
        <f>+IF(OR($Q790=Parametres!$G$2,$Q790=Parametres!$G$3),K790,E790)</f>
        <v>0</v>
      </c>
      <c r="Q790" s="151">
        <f t="shared" si="57"/>
        <v>0</v>
      </c>
      <c r="R790" s="150">
        <f t="shared" si="57"/>
        <v>0</v>
      </c>
      <c r="S790" s="151">
        <f t="shared" si="57"/>
        <v>0</v>
      </c>
      <c r="T790" s="153" t="e">
        <f>+VLOOKUP($L790,Data_Validation!$A:$D,1,0)</f>
        <v>#N/A</v>
      </c>
      <c r="U790" s="153" t="e">
        <f>+VLOOKUP($L790,Data_Validation!$A:$D,3,0)</f>
        <v>#N/A</v>
      </c>
      <c r="V790" s="153" t="e">
        <f>+VLOOKUP($L790,Data_Validation!$A:$D,4,0)</f>
        <v>#N/A</v>
      </c>
      <c r="W790" s="153" t="e">
        <f>+VLOOKUP($L790,Data_Validation!$A:$E,5,0)</f>
        <v>#N/A</v>
      </c>
    </row>
    <row r="791" spans="1:23" ht="15.75" customHeight="1">
      <c r="A791" s="1113"/>
      <c r="B791" s="1119"/>
      <c r="C791" s="1120"/>
      <c r="D791" s="1113"/>
      <c r="E791" s="1113"/>
      <c r="F791" s="1113"/>
      <c r="G791" s="1113"/>
      <c r="H791" s="1113"/>
      <c r="I791" s="1113"/>
      <c r="J791" s="1113"/>
      <c r="K791" s="1113"/>
      <c r="L791" s="150">
        <f t="shared" si="54"/>
        <v>0</v>
      </c>
      <c r="M791" s="151">
        <f t="shared" si="55"/>
        <v>0</v>
      </c>
      <c r="N791" s="152">
        <f>+IF(OR($Q791=Parametres!$G$2,$Q791=Parametres!$G$3),I791,C791)</f>
        <v>0</v>
      </c>
      <c r="O791" s="152">
        <f>+IF(OR($Q791=Parametres!$G$2,$Q791=Parametres!$G$3),J791,D791)</f>
        <v>0</v>
      </c>
      <c r="P791" s="152">
        <f>+IF(OR($Q791=Parametres!$G$2,$Q791=Parametres!$G$3),K791,E791)</f>
        <v>0</v>
      </c>
      <c r="Q791" s="151">
        <f t="shared" si="57"/>
        <v>0</v>
      </c>
      <c r="R791" s="150">
        <f t="shared" si="57"/>
        <v>0</v>
      </c>
      <c r="S791" s="151">
        <f t="shared" si="57"/>
        <v>0</v>
      </c>
      <c r="T791" s="153" t="e">
        <f>+VLOOKUP($L791,Data_Validation!$A:$D,1,0)</f>
        <v>#N/A</v>
      </c>
      <c r="U791" s="153" t="e">
        <f>+VLOOKUP($L791,Data_Validation!$A:$D,3,0)</f>
        <v>#N/A</v>
      </c>
      <c r="V791" s="153" t="e">
        <f>+VLOOKUP($L791,Data_Validation!$A:$D,4,0)</f>
        <v>#N/A</v>
      </c>
      <c r="W791" s="153" t="e">
        <f>+VLOOKUP($L791,Data_Validation!$A:$E,5,0)</f>
        <v>#N/A</v>
      </c>
    </row>
    <row r="792" spans="1:23" ht="15.75" customHeight="1">
      <c r="A792" s="1113"/>
      <c r="B792" s="1119"/>
      <c r="C792" s="1120"/>
      <c r="D792" s="1113"/>
      <c r="E792" s="1113"/>
      <c r="F792" s="1113"/>
      <c r="G792" s="1113"/>
      <c r="H792" s="1113"/>
      <c r="I792" s="1113"/>
      <c r="J792" s="1113"/>
      <c r="K792" s="1113"/>
      <c r="L792" s="150">
        <f t="shared" si="54"/>
        <v>0</v>
      </c>
      <c r="M792" s="151">
        <f t="shared" si="55"/>
        <v>0</v>
      </c>
      <c r="N792" s="152">
        <f>+IF(OR($Q792=Parametres!$G$2,$Q792=Parametres!$G$3),I792,C792)</f>
        <v>0</v>
      </c>
      <c r="O792" s="152">
        <f>+IF(OR($Q792=Parametres!$G$2,$Q792=Parametres!$G$3),J792,D792)</f>
        <v>0</v>
      </c>
      <c r="P792" s="152">
        <f>+IF(OR($Q792=Parametres!$G$2,$Q792=Parametres!$G$3),K792,E792)</f>
        <v>0</v>
      </c>
      <c r="Q792" s="151">
        <f t="shared" si="57"/>
        <v>0</v>
      </c>
      <c r="R792" s="150">
        <f t="shared" si="57"/>
        <v>0</v>
      </c>
      <c r="S792" s="151">
        <f t="shared" si="57"/>
        <v>0</v>
      </c>
      <c r="T792" s="153" t="e">
        <f>+VLOOKUP($L792,Data_Validation!$A:$D,1,0)</f>
        <v>#N/A</v>
      </c>
      <c r="U792" s="153" t="e">
        <f>+VLOOKUP($L792,Data_Validation!$A:$D,3,0)</f>
        <v>#N/A</v>
      </c>
      <c r="V792" s="153" t="e">
        <f>+VLOOKUP($L792,Data_Validation!$A:$D,4,0)</f>
        <v>#N/A</v>
      </c>
      <c r="W792" s="153" t="e">
        <f>+VLOOKUP($L792,Data_Validation!$A:$E,5,0)</f>
        <v>#N/A</v>
      </c>
    </row>
    <row r="793" spans="1:23" ht="15.75" customHeight="1">
      <c r="A793" s="1113"/>
      <c r="B793" s="1119"/>
      <c r="C793" s="1120"/>
      <c r="D793" s="1113"/>
      <c r="E793" s="1113"/>
      <c r="F793" s="1113"/>
      <c r="G793" s="1113"/>
      <c r="H793" s="1113"/>
      <c r="I793" s="1113"/>
      <c r="J793" s="1113"/>
      <c r="K793" s="1113"/>
      <c r="L793" s="150">
        <f t="shared" si="54"/>
        <v>0</v>
      </c>
      <c r="M793" s="151">
        <f t="shared" si="55"/>
        <v>0</v>
      </c>
      <c r="N793" s="152">
        <f>+IF(OR($Q793=Parametres!$G$2,$Q793=Parametres!$G$3),I793,C793)</f>
        <v>0</v>
      </c>
      <c r="O793" s="152">
        <f>+IF(OR($Q793=Parametres!$G$2,$Q793=Parametres!$G$3),J793,D793)</f>
        <v>0</v>
      </c>
      <c r="P793" s="152">
        <f>+IF(OR($Q793=Parametres!$G$2,$Q793=Parametres!$G$3),K793,E793)</f>
        <v>0</v>
      </c>
      <c r="Q793" s="151">
        <f t="shared" si="57"/>
        <v>0</v>
      </c>
      <c r="R793" s="150">
        <f t="shared" si="57"/>
        <v>0</v>
      </c>
      <c r="S793" s="151">
        <f t="shared" si="57"/>
        <v>0</v>
      </c>
      <c r="T793" s="153" t="e">
        <f>+VLOOKUP($L793,Data_Validation!$A:$D,1,0)</f>
        <v>#N/A</v>
      </c>
      <c r="U793" s="153" t="e">
        <f>+VLOOKUP($L793,Data_Validation!$A:$D,3,0)</f>
        <v>#N/A</v>
      </c>
      <c r="V793" s="153" t="e">
        <f>+VLOOKUP($L793,Data_Validation!$A:$D,4,0)</f>
        <v>#N/A</v>
      </c>
      <c r="W793" s="153" t="e">
        <f>+VLOOKUP($L793,Data_Validation!$A:$E,5,0)</f>
        <v>#N/A</v>
      </c>
    </row>
    <row r="794" spans="1:23" ht="15.75" customHeight="1">
      <c r="A794" s="1113"/>
      <c r="B794" s="1119"/>
      <c r="C794" s="1120"/>
      <c r="D794" s="1113"/>
      <c r="E794" s="1113"/>
      <c r="F794" s="1113"/>
      <c r="G794" s="1113"/>
      <c r="H794" s="1113"/>
      <c r="I794" s="1113"/>
      <c r="J794" s="1113"/>
      <c r="K794" s="1113"/>
      <c r="L794" s="150">
        <f t="shared" si="54"/>
        <v>0</v>
      </c>
      <c r="M794" s="151">
        <f t="shared" si="55"/>
        <v>0</v>
      </c>
      <c r="N794" s="152">
        <f>+IF(OR($Q794=Parametres!$G$2,$Q794=Parametres!$G$3),I794,C794)</f>
        <v>0</v>
      </c>
      <c r="O794" s="152">
        <f>+IF(OR($Q794=Parametres!$G$2,$Q794=Parametres!$G$3),J794,D794)</f>
        <v>0</v>
      </c>
      <c r="P794" s="152">
        <f>+IF(OR($Q794=Parametres!$G$2,$Q794=Parametres!$G$3),K794,E794)</f>
        <v>0</v>
      </c>
      <c r="Q794" s="151">
        <f t="shared" si="57"/>
        <v>0</v>
      </c>
      <c r="R794" s="150">
        <f t="shared" si="57"/>
        <v>0</v>
      </c>
      <c r="S794" s="151">
        <f t="shared" si="57"/>
        <v>0</v>
      </c>
      <c r="T794" s="153" t="e">
        <f>+VLOOKUP($L794,Data_Validation!$A:$D,1,0)</f>
        <v>#N/A</v>
      </c>
      <c r="U794" s="153" t="e">
        <f>+VLOOKUP($L794,Data_Validation!$A:$D,3,0)</f>
        <v>#N/A</v>
      </c>
      <c r="V794" s="153" t="e">
        <f>+VLOOKUP($L794,Data_Validation!$A:$D,4,0)</f>
        <v>#N/A</v>
      </c>
      <c r="W794" s="153" t="e">
        <f>+VLOOKUP($L794,Data_Validation!$A:$E,5,0)</f>
        <v>#N/A</v>
      </c>
    </row>
    <row r="795" spans="1:23" ht="15.75" customHeight="1">
      <c r="A795" s="1113"/>
      <c r="B795" s="1119"/>
      <c r="C795" s="1120"/>
      <c r="D795" s="1113"/>
      <c r="E795" s="1113"/>
      <c r="F795" s="1113"/>
      <c r="G795" s="1113"/>
      <c r="H795" s="1113"/>
      <c r="I795" s="1113"/>
      <c r="J795" s="1113"/>
      <c r="K795" s="1113"/>
      <c r="L795" s="150">
        <f t="shared" si="54"/>
        <v>0</v>
      </c>
      <c r="M795" s="151">
        <f t="shared" si="55"/>
        <v>0</v>
      </c>
      <c r="N795" s="152">
        <f>+IF(OR($Q795=Parametres!$G$2,$Q795=Parametres!$G$3),I795,C795)</f>
        <v>0</v>
      </c>
      <c r="O795" s="152">
        <f>+IF(OR($Q795=Parametres!$G$2,$Q795=Parametres!$G$3),J795,D795)</f>
        <v>0</v>
      </c>
      <c r="P795" s="152">
        <f>+IF(OR($Q795=Parametres!$G$2,$Q795=Parametres!$G$3),K795,E795)</f>
        <v>0</v>
      </c>
      <c r="Q795" s="151">
        <f t="shared" si="57"/>
        <v>0</v>
      </c>
      <c r="R795" s="150">
        <f t="shared" si="57"/>
        <v>0</v>
      </c>
      <c r="S795" s="151">
        <f t="shared" si="57"/>
        <v>0</v>
      </c>
      <c r="T795" s="153" t="e">
        <f>+VLOOKUP($L795,Data_Validation!$A:$D,1,0)</f>
        <v>#N/A</v>
      </c>
      <c r="U795" s="153" t="e">
        <f>+VLOOKUP($L795,Data_Validation!$A:$D,3,0)</f>
        <v>#N/A</v>
      </c>
      <c r="V795" s="153" t="e">
        <f>+VLOOKUP($L795,Data_Validation!$A:$D,4,0)</f>
        <v>#N/A</v>
      </c>
      <c r="W795" s="153" t="e">
        <f>+VLOOKUP($L795,Data_Validation!$A:$E,5,0)</f>
        <v>#N/A</v>
      </c>
    </row>
    <row r="796" spans="1:23" ht="15.75" customHeight="1">
      <c r="A796" s="1113"/>
      <c r="B796" s="1119"/>
      <c r="C796" s="1120"/>
      <c r="D796" s="1113"/>
      <c r="E796" s="1113"/>
      <c r="F796" s="1113"/>
      <c r="G796" s="1113"/>
      <c r="H796" s="1113"/>
      <c r="I796" s="1113"/>
      <c r="J796" s="1113"/>
      <c r="K796" s="1113"/>
      <c r="L796" s="150">
        <f t="shared" si="54"/>
        <v>0</v>
      </c>
      <c r="M796" s="151">
        <f t="shared" si="55"/>
        <v>0</v>
      </c>
      <c r="N796" s="152">
        <f>+IF(OR($Q796=Parametres!$G$2,$Q796=Parametres!$G$3),I796,C796)</f>
        <v>0</v>
      </c>
      <c r="O796" s="152">
        <f>+IF(OR($Q796=Parametres!$G$2,$Q796=Parametres!$G$3),J796,D796)</f>
        <v>0</v>
      </c>
      <c r="P796" s="152">
        <f>+IF(OR($Q796=Parametres!$G$2,$Q796=Parametres!$G$3),K796,E796)</f>
        <v>0</v>
      </c>
      <c r="Q796" s="151">
        <f t="shared" si="57"/>
        <v>0</v>
      </c>
      <c r="R796" s="150">
        <f t="shared" si="57"/>
        <v>0</v>
      </c>
      <c r="S796" s="151">
        <f t="shared" si="57"/>
        <v>0</v>
      </c>
      <c r="T796" s="153" t="e">
        <f>+VLOOKUP($L796,Data_Validation!$A:$D,1,0)</f>
        <v>#N/A</v>
      </c>
      <c r="U796" s="153" t="e">
        <f>+VLOOKUP($L796,Data_Validation!$A:$D,3,0)</f>
        <v>#N/A</v>
      </c>
      <c r="V796" s="153" t="e">
        <f>+VLOOKUP($L796,Data_Validation!$A:$D,4,0)</f>
        <v>#N/A</v>
      </c>
      <c r="W796" s="153" t="e">
        <f>+VLOOKUP($L796,Data_Validation!$A:$E,5,0)</f>
        <v>#N/A</v>
      </c>
    </row>
    <row r="797" spans="1:23" ht="15.75" customHeight="1">
      <c r="A797" s="1113"/>
      <c r="B797" s="1119"/>
      <c r="C797" s="1120"/>
      <c r="D797" s="1113"/>
      <c r="E797" s="1113"/>
      <c r="F797" s="1113"/>
      <c r="G797" s="1113"/>
      <c r="H797" s="1113"/>
      <c r="I797" s="1113"/>
      <c r="J797" s="1113"/>
      <c r="K797" s="1113"/>
      <c r="L797" s="150">
        <f t="shared" si="54"/>
        <v>0</v>
      </c>
      <c r="M797" s="151">
        <f t="shared" si="55"/>
        <v>0</v>
      </c>
      <c r="N797" s="152">
        <f>+IF(OR($Q797=Parametres!$G$2,$Q797=Parametres!$G$3),I797,C797)</f>
        <v>0</v>
      </c>
      <c r="O797" s="152">
        <f>+IF(OR($Q797=Parametres!$G$2,$Q797=Parametres!$G$3),J797,D797)</f>
        <v>0</v>
      </c>
      <c r="P797" s="152">
        <f>+IF(OR($Q797=Parametres!$G$2,$Q797=Parametres!$G$3),K797,E797)</f>
        <v>0</v>
      </c>
      <c r="Q797" s="151">
        <f t="shared" si="57"/>
        <v>0</v>
      </c>
      <c r="R797" s="150">
        <f t="shared" si="57"/>
        <v>0</v>
      </c>
      <c r="S797" s="151">
        <f t="shared" si="57"/>
        <v>0</v>
      </c>
      <c r="T797" s="153" t="e">
        <f>+VLOOKUP($L797,Data_Validation!$A:$D,1,0)</f>
        <v>#N/A</v>
      </c>
      <c r="U797" s="153" t="e">
        <f>+VLOOKUP($L797,Data_Validation!$A:$D,3,0)</f>
        <v>#N/A</v>
      </c>
      <c r="V797" s="153" t="e">
        <f>+VLOOKUP($L797,Data_Validation!$A:$D,4,0)</f>
        <v>#N/A</v>
      </c>
      <c r="W797" s="153" t="e">
        <f>+VLOOKUP($L797,Data_Validation!$A:$E,5,0)</f>
        <v>#N/A</v>
      </c>
    </row>
    <row r="798" spans="1:23" ht="15.75" customHeight="1">
      <c r="A798" s="1113"/>
      <c r="B798" s="1119"/>
      <c r="C798" s="1120"/>
      <c r="D798" s="1113"/>
      <c r="E798" s="1113"/>
      <c r="F798" s="1113"/>
      <c r="G798" s="1113"/>
      <c r="H798" s="1113"/>
      <c r="I798" s="1113"/>
      <c r="J798" s="1113"/>
      <c r="K798" s="1113"/>
      <c r="L798" s="150">
        <f t="shared" si="54"/>
        <v>0</v>
      </c>
      <c r="M798" s="151">
        <f t="shared" si="55"/>
        <v>0</v>
      </c>
      <c r="N798" s="152">
        <f>+IF(OR($Q798=Parametres!$G$2,$Q798=Parametres!$G$3),I798,C798)</f>
        <v>0</v>
      </c>
      <c r="O798" s="152">
        <f>+IF(OR($Q798=Parametres!$G$2,$Q798=Parametres!$G$3),J798,D798)</f>
        <v>0</v>
      </c>
      <c r="P798" s="152">
        <f>+IF(OR($Q798=Parametres!$G$2,$Q798=Parametres!$G$3),K798,E798)</f>
        <v>0</v>
      </c>
      <c r="Q798" s="151">
        <f t="shared" si="57"/>
        <v>0</v>
      </c>
      <c r="R798" s="150">
        <f t="shared" si="57"/>
        <v>0</v>
      </c>
      <c r="S798" s="151">
        <f t="shared" si="57"/>
        <v>0</v>
      </c>
      <c r="T798" s="153" t="e">
        <f>+VLOOKUP($L798,Data_Validation!$A:$D,1,0)</f>
        <v>#N/A</v>
      </c>
      <c r="U798" s="153" t="e">
        <f>+VLOOKUP($L798,Data_Validation!$A:$D,3,0)</f>
        <v>#N/A</v>
      </c>
      <c r="V798" s="153" t="e">
        <f>+VLOOKUP($L798,Data_Validation!$A:$D,4,0)</f>
        <v>#N/A</v>
      </c>
      <c r="W798" s="153" t="e">
        <f>+VLOOKUP($L798,Data_Validation!$A:$E,5,0)</f>
        <v>#N/A</v>
      </c>
    </row>
    <row r="799" spans="1:23" ht="15.75" customHeight="1">
      <c r="A799" s="1113"/>
      <c r="B799" s="1119"/>
      <c r="C799" s="1120"/>
      <c r="D799" s="1113"/>
      <c r="E799" s="1113"/>
      <c r="F799" s="1113"/>
      <c r="G799" s="1113"/>
      <c r="H799" s="1113"/>
      <c r="I799" s="1113"/>
      <c r="J799" s="1113"/>
      <c r="K799" s="1113"/>
      <c r="L799" s="150">
        <f t="shared" si="54"/>
        <v>0</v>
      </c>
      <c r="M799" s="151">
        <f t="shared" si="55"/>
        <v>0</v>
      </c>
      <c r="N799" s="152">
        <f>+IF(OR($Q799=Parametres!$G$2,$Q799=Parametres!$G$3),I799,C799)</f>
        <v>0</v>
      </c>
      <c r="O799" s="152">
        <f>+IF(OR($Q799=Parametres!$G$2,$Q799=Parametres!$G$3),J799,D799)</f>
        <v>0</v>
      </c>
      <c r="P799" s="152">
        <f>+IF(OR($Q799=Parametres!$G$2,$Q799=Parametres!$G$3),K799,E799)</f>
        <v>0</v>
      </c>
      <c r="Q799" s="151">
        <f t="shared" si="57"/>
        <v>0</v>
      </c>
      <c r="R799" s="150">
        <f t="shared" si="57"/>
        <v>0</v>
      </c>
      <c r="S799" s="151">
        <f t="shared" si="57"/>
        <v>0</v>
      </c>
      <c r="T799" s="153" t="e">
        <f>+VLOOKUP($L799,Data_Validation!$A:$D,1,0)</f>
        <v>#N/A</v>
      </c>
      <c r="U799" s="153" t="e">
        <f>+VLOOKUP($L799,Data_Validation!$A:$D,3,0)</f>
        <v>#N/A</v>
      </c>
      <c r="V799" s="153" t="e">
        <f>+VLOOKUP($L799,Data_Validation!$A:$D,4,0)</f>
        <v>#N/A</v>
      </c>
      <c r="W799" s="153" t="e">
        <f>+VLOOKUP($L799,Data_Validation!$A:$E,5,0)</f>
        <v>#N/A</v>
      </c>
    </row>
    <row r="800" spans="1:23" ht="15.75" customHeight="1">
      <c r="A800" s="1113"/>
      <c r="B800" s="1119"/>
      <c r="C800" s="1120"/>
      <c r="D800" s="1113"/>
      <c r="E800" s="1113"/>
      <c r="F800" s="1113"/>
      <c r="G800" s="1113"/>
      <c r="H800" s="1113"/>
      <c r="I800" s="1113"/>
      <c r="J800" s="1113"/>
      <c r="K800" s="1113"/>
      <c r="L800" s="150">
        <f t="shared" si="54"/>
        <v>0</v>
      </c>
      <c r="M800" s="151">
        <f t="shared" si="55"/>
        <v>0</v>
      </c>
      <c r="N800" s="152">
        <f>+IF(OR($Q800=Parametres!$G$2,$Q800=Parametres!$G$3),I800,C800)</f>
        <v>0</v>
      </c>
      <c r="O800" s="152">
        <f>+IF(OR($Q800=Parametres!$G$2,$Q800=Parametres!$G$3),J800,D800)</f>
        <v>0</v>
      </c>
      <c r="P800" s="152">
        <f>+IF(OR($Q800=Parametres!$G$2,$Q800=Parametres!$G$3),K800,E800)</f>
        <v>0</v>
      </c>
      <c r="Q800" s="151">
        <f t="shared" si="57"/>
        <v>0</v>
      </c>
      <c r="R800" s="150">
        <f t="shared" si="57"/>
        <v>0</v>
      </c>
      <c r="S800" s="151">
        <f t="shared" si="57"/>
        <v>0</v>
      </c>
      <c r="T800" s="153" t="e">
        <f>+VLOOKUP($L800,Data_Validation!$A:$D,1,0)</f>
        <v>#N/A</v>
      </c>
      <c r="U800" s="153" t="e">
        <f>+VLOOKUP($L800,Data_Validation!$A:$D,3,0)</f>
        <v>#N/A</v>
      </c>
      <c r="V800" s="153" t="e">
        <f>+VLOOKUP($L800,Data_Validation!$A:$D,4,0)</f>
        <v>#N/A</v>
      </c>
      <c r="W800" s="153" t="e">
        <f>+VLOOKUP($L800,Data_Validation!$A:$E,5,0)</f>
        <v>#N/A</v>
      </c>
    </row>
    <row r="801" spans="1:23" ht="15.75" customHeight="1">
      <c r="A801" s="1113"/>
      <c r="B801" s="1119"/>
      <c r="C801" s="1120"/>
      <c r="D801" s="1113"/>
      <c r="E801" s="1113"/>
      <c r="F801" s="1113"/>
      <c r="G801" s="1113"/>
      <c r="H801" s="1113"/>
      <c r="I801" s="1113"/>
      <c r="J801" s="1113"/>
      <c r="K801" s="1113"/>
      <c r="L801" s="150">
        <f t="shared" si="54"/>
        <v>0</v>
      </c>
      <c r="M801" s="151">
        <f t="shared" si="55"/>
        <v>0</v>
      </c>
      <c r="N801" s="152">
        <f>+IF(OR($Q801=Parametres!$G$2,$Q801=Parametres!$G$3),I801,C801)</f>
        <v>0</v>
      </c>
      <c r="O801" s="152">
        <f>+IF(OR($Q801=Parametres!$G$2,$Q801=Parametres!$G$3),J801,D801)</f>
        <v>0</v>
      </c>
      <c r="P801" s="152">
        <f>+IF(OR($Q801=Parametres!$G$2,$Q801=Parametres!$G$3),K801,E801)</f>
        <v>0</v>
      </c>
      <c r="Q801" s="151">
        <f t="shared" si="57"/>
        <v>0</v>
      </c>
      <c r="R801" s="150">
        <f t="shared" si="57"/>
        <v>0</v>
      </c>
      <c r="S801" s="151">
        <f t="shared" si="57"/>
        <v>0</v>
      </c>
      <c r="T801" s="153" t="e">
        <f>+VLOOKUP($L801,Data_Validation!$A:$D,1,0)</f>
        <v>#N/A</v>
      </c>
      <c r="U801" s="153" t="e">
        <f>+VLOOKUP($L801,Data_Validation!$A:$D,3,0)</f>
        <v>#N/A</v>
      </c>
      <c r="V801" s="153" t="e">
        <f>+VLOOKUP($L801,Data_Validation!$A:$D,4,0)</f>
        <v>#N/A</v>
      </c>
      <c r="W801" s="153" t="e">
        <f>+VLOOKUP($L801,Data_Validation!$A:$E,5,0)</f>
        <v>#N/A</v>
      </c>
    </row>
    <row r="802" spans="1:23" ht="15.75" customHeight="1">
      <c r="A802" s="1113"/>
      <c r="B802" s="1119"/>
      <c r="C802" s="1120"/>
      <c r="D802" s="1113"/>
      <c r="E802" s="1113"/>
      <c r="F802" s="1113"/>
      <c r="G802" s="1113"/>
      <c r="H802" s="1113"/>
      <c r="I802" s="1113"/>
      <c r="J802" s="1113"/>
      <c r="K802" s="1113"/>
      <c r="L802" s="150">
        <f t="shared" si="54"/>
        <v>0</v>
      </c>
      <c r="M802" s="151">
        <f t="shared" si="55"/>
        <v>0</v>
      </c>
      <c r="N802" s="152">
        <f>+IF(OR($Q802=Parametres!$G$2,$Q802=Parametres!$G$3),I802,C802)</f>
        <v>0</v>
      </c>
      <c r="O802" s="152">
        <f>+IF(OR($Q802=Parametres!$G$2,$Q802=Parametres!$G$3),J802,D802)</f>
        <v>0</v>
      </c>
      <c r="P802" s="152">
        <f>+IF(OR($Q802=Parametres!$G$2,$Q802=Parametres!$G$3),K802,E802)</f>
        <v>0</v>
      </c>
      <c r="Q802" s="151">
        <f t="shared" ref="Q802:S817" si="58">+F802</f>
        <v>0</v>
      </c>
      <c r="R802" s="150">
        <f t="shared" si="58"/>
        <v>0</v>
      </c>
      <c r="S802" s="151">
        <f t="shared" si="58"/>
        <v>0</v>
      </c>
      <c r="T802" s="153" t="e">
        <f>+VLOOKUP($L802,Data_Validation!$A:$D,1,0)</f>
        <v>#N/A</v>
      </c>
      <c r="U802" s="153" t="e">
        <f>+VLOOKUP($L802,Data_Validation!$A:$D,3,0)</f>
        <v>#N/A</v>
      </c>
      <c r="V802" s="153" t="e">
        <f>+VLOOKUP($L802,Data_Validation!$A:$D,4,0)</f>
        <v>#N/A</v>
      </c>
      <c r="W802" s="153" t="e">
        <f>+VLOOKUP($L802,Data_Validation!$A:$E,5,0)</f>
        <v>#N/A</v>
      </c>
    </row>
    <row r="803" spans="1:23" ht="15.75" customHeight="1">
      <c r="A803" s="1113"/>
      <c r="B803" s="1119"/>
      <c r="C803" s="1120"/>
      <c r="D803" s="1113"/>
      <c r="E803" s="1113"/>
      <c r="F803" s="1113"/>
      <c r="G803" s="1113"/>
      <c r="H803" s="1113"/>
      <c r="I803" s="1113"/>
      <c r="J803" s="1113"/>
      <c r="K803" s="1113"/>
      <c r="L803" s="150">
        <f t="shared" si="54"/>
        <v>0</v>
      </c>
      <c r="M803" s="151">
        <f t="shared" si="55"/>
        <v>0</v>
      </c>
      <c r="N803" s="152">
        <f>+IF(OR($Q803=Parametres!$G$2,$Q803=Parametres!$G$3),I803,C803)</f>
        <v>0</v>
      </c>
      <c r="O803" s="152">
        <f>+IF(OR($Q803=Parametres!$G$2,$Q803=Parametres!$G$3),J803,D803)</f>
        <v>0</v>
      </c>
      <c r="P803" s="152">
        <f>+IF(OR($Q803=Parametres!$G$2,$Q803=Parametres!$G$3),K803,E803)</f>
        <v>0</v>
      </c>
      <c r="Q803" s="151">
        <f t="shared" si="58"/>
        <v>0</v>
      </c>
      <c r="R803" s="150">
        <f t="shared" si="58"/>
        <v>0</v>
      </c>
      <c r="S803" s="151">
        <f t="shared" si="58"/>
        <v>0</v>
      </c>
      <c r="T803" s="153" t="e">
        <f>+VLOOKUP($L803,Data_Validation!$A:$D,1,0)</f>
        <v>#N/A</v>
      </c>
      <c r="U803" s="153" t="e">
        <f>+VLOOKUP($L803,Data_Validation!$A:$D,3,0)</f>
        <v>#N/A</v>
      </c>
      <c r="V803" s="153" t="e">
        <f>+VLOOKUP($L803,Data_Validation!$A:$D,4,0)</f>
        <v>#N/A</v>
      </c>
      <c r="W803" s="153" t="e">
        <f>+VLOOKUP($L803,Data_Validation!$A:$E,5,0)</f>
        <v>#N/A</v>
      </c>
    </row>
    <row r="804" spans="1:23" ht="15.75" customHeight="1">
      <c r="A804" s="1113"/>
      <c r="B804" s="1119"/>
      <c r="C804" s="1120"/>
      <c r="D804" s="1113"/>
      <c r="E804" s="1113"/>
      <c r="F804" s="1113"/>
      <c r="G804" s="1113"/>
      <c r="H804" s="1113"/>
      <c r="I804" s="1113"/>
      <c r="J804" s="1113"/>
      <c r="K804" s="1113"/>
      <c r="L804" s="150">
        <f t="shared" si="54"/>
        <v>0</v>
      </c>
      <c r="M804" s="151">
        <f t="shared" si="55"/>
        <v>0</v>
      </c>
      <c r="N804" s="152">
        <f>+IF(OR($Q804=Parametres!$G$2,$Q804=Parametres!$G$3),I804,C804)</f>
        <v>0</v>
      </c>
      <c r="O804" s="152">
        <f>+IF(OR($Q804=Parametres!$G$2,$Q804=Parametres!$G$3),J804,D804)</f>
        <v>0</v>
      </c>
      <c r="P804" s="152">
        <f>+IF(OR($Q804=Parametres!$G$2,$Q804=Parametres!$G$3),K804,E804)</f>
        <v>0</v>
      </c>
      <c r="Q804" s="151">
        <f t="shared" si="58"/>
        <v>0</v>
      </c>
      <c r="R804" s="150">
        <f t="shared" si="58"/>
        <v>0</v>
      </c>
      <c r="S804" s="151">
        <f t="shared" si="58"/>
        <v>0</v>
      </c>
      <c r="T804" s="153" t="e">
        <f>+VLOOKUP($L804,Data_Validation!$A:$D,1,0)</f>
        <v>#N/A</v>
      </c>
      <c r="U804" s="153" t="e">
        <f>+VLOOKUP($L804,Data_Validation!$A:$D,3,0)</f>
        <v>#N/A</v>
      </c>
      <c r="V804" s="153" t="e">
        <f>+VLOOKUP($L804,Data_Validation!$A:$D,4,0)</f>
        <v>#N/A</v>
      </c>
      <c r="W804" s="153" t="e">
        <f>+VLOOKUP($L804,Data_Validation!$A:$E,5,0)</f>
        <v>#N/A</v>
      </c>
    </row>
    <row r="805" spans="1:23" ht="15.75" customHeight="1">
      <c r="A805" s="1113"/>
      <c r="B805" s="1119"/>
      <c r="C805" s="1120"/>
      <c r="D805" s="1113"/>
      <c r="E805" s="1113"/>
      <c r="F805" s="1113"/>
      <c r="G805" s="1113"/>
      <c r="H805" s="1113"/>
      <c r="I805" s="1113"/>
      <c r="J805" s="1113"/>
      <c r="K805" s="1113"/>
      <c r="L805" s="150">
        <f t="shared" si="54"/>
        <v>0</v>
      </c>
      <c r="M805" s="151">
        <f t="shared" si="55"/>
        <v>0</v>
      </c>
      <c r="N805" s="152">
        <f>+IF(OR($Q805=Parametres!$G$2,$Q805=Parametres!$G$3),I805,C805)</f>
        <v>0</v>
      </c>
      <c r="O805" s="152">
        <f>+IF(OR($Q805=Parametres!$G$2,$Q805=Parametres!$G$3),J805,D805)</f>
        <v>0</v>
      </c>
      <c r="P805" s="152">
        <f>+IF(OR($Q805=Parametres!$G$2,$Q805=Parametres!$G$3),K805,E805)</f>
        <v>0</v>
      </c>
      <c r="Q805" s="151">
        <f t="shared" si="58"/>
        <v>0</v>
      </c>
      <c r="R805" s="150">
        <f t="shared" si="58"/>
        <v>0</v>
      </c>
      <c r="S805" s="151">
        <f t="shared" si="58"/>
        <v>0</v>
      </c>
      <c r="T805" s="153" t="e">
        <f>+VLOOKUP($L805,Data_Validation!$A:$D,1,0)</f>
        <v>#N/A</v>
      </c>
      <c r="U805" s="153" t="e">
        <f>+VLOOKUP($L805,Data_Validation!$A:$D,3,0)</f>
        <v>#N/A</v>
      </c>
      <c r="V805" s="153" t="e">
        <f>+VLOOKUP($L805,Data_Validation!$A:$D,4,0)</f>
        <v>#N/A</v>
      </c>
      <c r="W805" s="153" t="e">
        <f>+VLOOKUP($L805,Data_Validation!$A:$E,5,0)</f>
        <v>#N/A</v>
      </c>
    </row>
    <row r="806" spans="1:23" ht="15.75" customHeight="1">
      <c r="A806" s="1113"/>
      <c r="B806" s="1119"/>
      <c r="C806" s="1120"/>
      <c r="D806" s="1113"/>
      <c r="E806" s="1113"/>
      <c r="F806" s="1113"/>
      <c r="G806" s="1113"/>
      <c r="H806" s="1113"/>
      <c r="I806" s="1113"/>
      <c r="J806" s="1113"/>
      <c r="K806" s="1113"/>
      <c r="L806" s="150">
        <f t="shared" si="54"/>
        <v>0</v>
      </c>
      <c r="M806" s="151">
        <f t="shared" si="55"/>
        <v>0</v>
      </c>
      <c r="N806" s="152">
        <f>+IF(OR($Q806=Parametres!$G$2,$Q806=Parametres!$G$3),I806,C806)</f>
        <v>0</v>
      </c>
      <c r="O806" s="152">
        <f>+IF(OR($Q806=Parametres!$G$2,$Q806=Parametres!$G$3),J806,D806)</f>
        <v>0</v>
      </c>
      <c r="P806" s="152">
        <f>+IF(OR($Q806=Parametres!$G$2,$Q806=Parametres!$G$3),K806,E806)</f>
        <v>0</v>
      </c>
      <c r="Q806" s="151">
        <f t="shared" si="58"/>
        <v>0</v>
      </c>
      <c r="R806" s="150">
        <f t="shared" si="58"/>
        <v>0</v>
      </c>
      <c r="S806" s="151">
        <f t="shared" si="58"/>
        <v>0</v>
      </c>
      <c r="T806" s="153" t="e">
        <f>+VLOOKUP($L806,Data_Validation!$A:$D,1,0)</f>
        <v>#N/A</v>
      </c>
      <c r="U806" s="153" t="e">
        <f>+VLOOKUP($L806,Data_Validation!$A:$D,3,0)</f>
        <v>#N/A</v>
      </c>
      <c r="V806" s="153" t="e">
        <f>+VLOOKUP($L806,Data_Validation!$A:$D,4,0)</f>
        <v>#N/A</v>
      </c>
      <c r="W806" s="153" t="e">
        <f>+VLOOKUP($L806,Data_Validation!$A:$E,5,0)</f>
        <v>#N/A</v>
      </c>
    </row>
    <row r="807" spans="1:23" ht="15.75" customHeight="1">
      <c r="A807" s="1113"/>
      <c r="B807" s="1119"/>
      <c r="C807" s="1120"/>
      <c r="D807" s="1113"/>
      <c r="E807" s="1113"/>
      <c r="F807" s="1113"/>
      <c r="G807" s="1113"/>
      <c r="H807" s="1113"/>
      <c r="I807" s="1113"/>
      <c r="J807" s="1113"/>
      <c r="K807" s="1113"/>
      <c r="L807" s="150">
        <f t="shared" si="54"/>
        <v>0</v>
      </c>
      <c r="M807" s="151">
        <f t="shared" si="55"/>
        <v>0</v>
      </c>
      <c r="N807" s="152">
        <f>+IF(OR($Q807=Parametres!$G$2,$Q807=Parametres!$G$3),I807,C807)</f>
        <v>0</v>
      </c>
      <c r="O807" s="152">
        <f>+IF(OR($Q807=Parametres!$G$2,$Q807=Parametres!$G$3),J807,D807)</f>
        <v>0</v>
      </c>
      <c r="P807" s="152">
        <f>+IF(OR($Q807=Parametres!$G$2,$Q807=Parametres!$G$3),K807,E807)</f>
        <v>0</v>
      </c>
      <c r="Q807" s="151">
        <f t="shared" si="58"/>
        <v>0</v>
      </c>
      <c r="R807" s="150">
        <f t="shared" si="58"/>
        <v>0</v>
      </c>
      <c r="S807" s="151">
        <f t="shared" si="58"/>
        <v>0</v>
      </c>
      <c r="T807" s="153" t="e">
        <f>+VLOOKUP($L807,Data_Validation!$A:$D,1,0)</f>
        <v>#N/A</v>
      </c>
      <c r="U807" s="153" t="e">
        <f>+VLOOKUP($L807,Data_Validation!$A:$D,3,0)</f>
        <v>#N/A</v>
      </c>
      <c r="V807" s="153" t="e">
        <f>+VLOOKUP($L807,Data_Validation!$A:$D,4,0)</f>
        <v>#N/A</v>
      </c>
      <c r="W807" s="153" t="e">
        <f>+VLOOKUP($L807,Data_Validation!$A:$E,5,0)</f>
        <v>#N/A</v>
      </c>
    </row>
    <row r="808" spans="1:23" ht="15.75" customHeight="1">
      <c r="A808" s="1113"/>
      <c r="B808" s="1119"/>
      <c r="C808" s="1120"/>
      <c r="D808" s="1113"/>
      <c r="E808" s="1113"/>
      <c r="F808" s="1113"/>
      <c r="G808" s="1113"/>
      <c r="H808" s="1113"/>
      <c r="I808" s="1113"/>
      <c r="J808" s="1113"/>
      <c r="K808" s="1113"/>
      <c r="L808" s="150">
        <f t="shared" si="54"/>
        <v>0</v>
      </c>
      <c r="M808" s="151">
        <f t="shared" si="55"/>
        <v>0</v>
      </c>
      <c r="N808" s="152">
        <f>+IF(OR($Q808=Parametres!$G$2,$Q808=Parametres!$G$3),I808,C808)</f>
        <v>0</v>
      </c>
      <c r="O808" s="152">
        <f>+IF(OR($Q808=Parametres!$G$2,$Q808=Parametres!$G$3),J808,D808)</f>
        <v>0</v>
      </c>
      <c r="P808" s="152">
        <f>+IF(OR($Q808=Parametres!$G$2,$Q808=Parametres!$G$3),K808,E808)</f>
        <v>0</v>
      </c>
      <c r="Q808" s="151">
        <f t="shared" si="58"/>
        <v>0</v>
      </c>
      <c r="R808" s="150">
        <f t="shared" si="58"/>
        <v>0</v>
      </c>
      <c r="S808" s="151">
        <f t="shared" si="58"/>
        <v>0</v>
      </c>
      <c r="T808" s="153" t="e">
        <f>+VLOOKUP($L808,Data_Validation!$A:$D,1,0)</f>
        <v>#N/A</v>
      </c>
      <c r="U808" s="153" t="e">
        <f>+VLOOKUP($L808,Data_Validation!$A:$D,3,0)</f>
        <v>#N/A</v>
      </c>
      <c r="V808" s="153" t="e">
        <f>+VLOOKUP($L808,Data_Validation!$A:$D,4,0)</f>
        <v>#N/A</v>
      </c>
      <c r="W808" s="153" t="e">
        <f>+VLOOKUP($L808,Data_Validation!$A:$E,5,0)</f>
        <v>#N/A</v>
      </c>
    </row>
    <row r="809" spans="1:23" ht="15.75" customHeight="1">
      <c r="A809" s="1113"/>
      <c r="B809" s="1119"/>
      <c r="C809" s="1120"/>
      <c r="D809" s="1113"/>
      <c r="E809" s="1113"/>
      <c r="F809" s="1113"/>
      <c r="G809" s="1113"/>
      <c r="H809" s="1113"/>
      <c r="I809" s="1113"/>
      <c r="J809" s="1113"/>
      <c r="K809" s="1113"/>
      <c r="L809" s="150">
        <f t="shared" si="54"/>
        <v>0</v>
      </c>
      <c r="M809" s="151">
        <f t="shared" si="55"/>
        <v>0</v>
      </c>
      <c r="N809" s="152">
        <f>+IF(OR($Q809=Parametres!$G$2,$Q809=Parametres!$G$3),I809,C809)</f>
        <v>0</v>
      </c>
      <c r="O809" s="152">
        <f>+IF(OR($Q809=Parametres!$G$2,$Q809=Parametres!$G$3),J809,D809)</f>
        <v>0</v>
      </c>
      <c r="P809" s="152">
        <f>+IF(OR($Q809=Parametres!$G$2,$Q809=Parametres!$G$3),K809,E809)</f>
        <v>0</v>
      </c>
      <c r="Q809" s="151">
        <f t="shared" si="58"/>
        <v>0</v>
      </c>
      <c r="R809" s="150">
        <f t="shared" si="58"/>
        <v>0</v>
      </c>
      <c r="S809" s="151">
        <f t="shared" si="58"/>
        <v>0</v>
      </c>
      <c r="T809" s="153" t="e">
        <f>+VLOOKUP($L809,Data_Validation!$A:$D,1,0)</f>
        <v>#N/A</v>
      </c>
      <c r="U809" s="153" t="e">
        <f>+VLOOKUP($L809,Data_Validation!$A:$D,3,0)</f>
        <v>#N/A</v>
      </c>
      <c r="V809" s="153" t="e">
        <f>+VLOOKUP($L809,Data_Validation!$A:$D,4,0)</f>
        <v>#N/A</v>
      </c>
      <c r="W809" s="153" t="e">
        <f>+VLOOKUP($L809,Data_Validation!$A:$E,5,0)</f>
        <v>#N/A</v>
      </c>
    </row>
    <row r="810" spans="1:23" ht="15.75" customHeight="1">
      <c r="A810" s="1113"/>
      <c r="B810" s="1119"/>
      <c r="C810" s="1120"/>
      <c r="D810" s="1113"/>
      <c r="E810" s="1113"/>
      <c r="F810" s="1113"/>
      <c r="G810" s="1113"/>
      <c r="H810" s="1113"/>
      <c r="I810" s="1113"/>
      <c r="J810" s="1113"/>
      <c r="K810" s="1113"/>
      <c r="L810" s="150">
        <f t="shared" si="54"/>
        <v>0</v>
      </c>
      <c r="M810" s="151">
        <f t="shared" si="55"/>
        <v>0</v>
      </c>
      <c r="N810" s="152">
        <f>+IF(OR($Q810=Parametres!$G$2,$Q810=Parametres!$G$3),I810,C810)</f>
        <v>0</v>
      </c>
      <c r="O810" s="152">
        <f>+IF(OR($Q810=Parametres!$G$2,$Q810=Parametres!$G$3),J810,D810)</f>
        <v>0</v>
      </c>
      <c r="P810" s="152">
        <f>+IF(OR($Q810=Parametres!$G$2,$Q810=Parametres!$G$3),K810,E810)</f>
        <v>0</v>
      </c>
      <c r="Q810" s="151">
        <f t="shared" si="58"/>
        <v>0</v>
      </c>
      <c r="R810" s="150">
        <f t="shared" si="58"/>
        <v>0</v>
      </c>
      <c r="S810" s="151">
        <f t="shared" si="58"/>
        <v>0</v>
      </c>
      <c r="T810" s="153" t="e">
        <f>+VLOOKUP($L810,Data_Validation!$A:$D,1,0)</f>
        <v>#N/A</v>
      </c>
      <c r="U810" s="153" t="e">
        <f>+VLOOKUP($L810,Data_Validation!$A:$D,3,0)</f>
        <v>#N/A</v>
      </c>
      <c r="V810" s="153" t="e">
        <f>+VLOOKUP($L810,Data_Validation!$A:$D,4,0)</f>
        <v>#N/A</v>
      </c>
      <c r="W810" s="153" t="e">
        <f>+VLOOKUP($L810,Data_Validation!$A:$E,5,0)</f>
        <v>#N/A</v>
      </c>
    </row>
    <row r="811" spans="1:23" ht="15.75" customHeight="1">
      <c r="A811" s="1113"/>
      <c r="B811" s="1119"/>
      <c r="C811" s="1120"/>
      <c r="D811" s="1113"/>
      <c r="E811" s="1113"/>
      <c r="F811" s="1113"/>
      <c r="G811" s="1113"/>
      <c r="H811" s="1113"/>
      <c r="I811" s="1113"/>
      <c r="J811" s="1113"/>
      <c r="K811" s="1113"/>
      <c r="L811" s="150">
        <f t="shared" si="54"/>
        <v>0</v>
      </c>
      <c r="M811" s="151">
        <f t="shared" si="55"/>
        <v>0</v>
      </c>
      <c r="N811" s="152">
        <f>+IF(OR($Q811=Parametres!$G$2,$Q811=Parametres!$G$3),I811,C811)</f>
        <v>0</v>
      </c>
      <c r="O811" s="152">
        <f>+IF(OR($Q811=Parametres!$G$2,$Q811=Parametres!$G$3),J811,D811)</f>
        <v>0</v>
      </c>
      <c r="P811" s="152">
        <f>+IF(OR($Q811=Parametres!$G$2,$Q811=Parametres!$G$3),K811,E811)</f>
        <v>0</v>
      </c>
      <c r="Q811" s="151">
        <f t="shared" si="58"/>
        <v>0</v>
      </c>
      <c r="R811" s="150">
        <f t="shared" si="58"/>
        <v>0</v>
      </c>
      <c r="S811" s="151">
        <f t="shared" si="58"/>
        <v>0</v>
      </c>
      <c r="T811" s="153" t="e">
        <f>+VLOOKUP($L811,Data_Validation!$A:$D,1,0)</f>
        <v>#N/A</v>
      </c>
      <c r="U811" s="153" t="e">
        <f>+VLOOKUP($L811,Data_Validation!$A:$D,3,0)</f>
        <v>#N/A</v>
      </c>
      <c r="V811" s="153" t="e">
        <f>+VLOOKUP($L811,Data_Validation!$A:$D,4,0)</f>
        <v>#N/A</v>
      </c>
      <c r="W811" s="153" t="e">
        <f>+VLOOKUP($L811,Data_Validation!$A:$E,5,0)</f>
        <v>#N/A</v>
      </c>
    </row>
    <row r="812" spans="1:23" ht="15.75" customHeight="1">
      <c r="A812" s="1113"/>
      <c r="B812" s="1119"/>
      <c r="C812" s="1120"/>
      <c r="D812" s="1113"/>
      <c r="E812" s="1113"/>
      <c r="F812" s="1113"/>
      <c r="G812" s="1113"/>
      <c r="H812" s="1113"/>
      <c r="I812" s="1113"/>
      <c r="J812" s="1113"/>
      <c r="K812" s="1113"/>
      <c r="L812" s="150">
        <f t="shared" si="54"/>
        <v>0</v>
      </c>
      <c r="M812" s="151">
        <f t="shared" si="55"/>
        <v>0</v>
      </c>
      <c r="N812" s="152">
        <f>+IF(OR($Q812=Parametres!$G$2,$Q812=Parametres!$G$3),I812,C812)</f>
        <v>0</v>
      </c>
      <c r="O812" s="152">
        <f>+IF(OR($Q812=Parametres!$G$2,$Q812=Parametres!$G$3),J812,D812)</f>
        <v>0</v>
      </c>
      <c r="P812" s="152">
        <f>+IF(OR($Q812=Parametres!$G$2,$Q812=Parametres!$G$3),K812,E812)</f>
        <v>0</v>
      </c>
      <c r="Q812" s="151">
        <f t="shared" si="58"/>
        <v>0</v>
      </c>
      <c r="R812" s="150">
        <f t="shared" si="58"/>
        <v>0</v>
      </c>
      <c r="S812" s="151">
        <f t="shared" si="58"/>
        <v>0</v>
      </c>
      <c r="T812" s="153" t="e">
        <f>+VLOOKUP($L812,Data_Validation!$A:$D,1,0)</f>
        <v>#N/A</v>
      </c>
      <c r="U812" s="153" t="e">
        <f>+VLOOKUP($L812,Data_Validation!$A:$D,3,0)</f>
        <v>#N/A</v>
      </c>
      <c r="V812" s="153" t="e">
        <f>+VLOOKUP($L812,Data_Validation!$A:$D,4,0)</f>
        <v>#N/A</v>
      </c>
      <c r="W812" s="153" t="e">
        <f>+VLOOKUP($L812,Data_Validation!$A:$E,5,0)</f>
        <v>#N/A</v>
      </c>
    </row>
    <row r="813" spans="1:23" ht="15.75" customHeight="1">
      <c r="A813" s="1113"/>
      <c r="B813" s="1119"/>
      <c r="C813" s="1120"/>
      <c r="D813" s="1113"/>
      <c r="E813" s="1113"/>
      <c r="F813" s="1113"/>
      <c r="G813" s="1113"/>
      <c r="H813" s="1113"/>
      <c r="I813" s="1113"/>
      <c r="J813" s="1113"/>
      <c r="K813" s="1113"/>
      <c r="L813" s="150">
        <f t="shared" si="54"/>
        <v>0</v>
      </c>
      <c r="M813" s="151">
        <f t="shared" si="55"/>
        <v>0</v>
      </c>
      <c r="N813" s="152">
        <f>+IF(OR($Q813=Parametres!$G$2,$Q813=Parametres!$G$3),I813,C813)</f>
        <v>0</v>
      </c>
      <c r="O813" s="152">
        <f>+IF(OR($Q813=Parametres!$G$2,$Q813=Parametres!$G$3),J813,D813)</f>
        <v>0</v>
      </c>
      <c r="P813" s="152">
        <f>+IF(OR($Q813=Parametres!$G$2,$Q813=Parametres!$G$3),K813,E813)</f>
        <v>0</v>
      </c>
      <c r="Q813" s="151">
        <f t="shared" si="58"/>
        <v>0</v>
      </c>
      <c r="R813" s="150">
        <f t="shared" si="58"/>
        <v>0</v>
      </c>
      <c r="S813" s="151">
        <f t="shared" si="58"/>
        <v>0</v>
      </c>
      <c r="T813" s="153" t="e">
        <f>+VLOOKUP($L813,Data_Validation!$A:$D,1,0)</f>
        <v>#N/A</v>
      </c>
      <c r="U813" s="153" t="e">
        <f>+VLOOKUP($L813,Data_Validation!$A:$D,3,0)</f>
        <v>#N/A</v>
      </c>
      <c r="V813" s="153" t="e">
        <f>+VLOOKUP($L813,Data_Validation!$A:$D,4,0)</f>
        <v>#N/A</v>
      </c>
      <c r="W813" s="153" t="e">
        <f>+VLOOKUP($L813,Data_Validation!$A:$E,5,0)</f>
        <v>#N/A</v>
      </c>
    </row>
    <row r="814" spans="1:23" ht="15.75" customHeight="1">
      <c r="A814" s="1113"/>
      <c r="B814" s="1119"/>
      <c r="C814" s="1120"/>
      <c r="D814" s="1113"/>
      <c r="E814" s="1113"/>
      <c r="F814" s="1113"/>
      <c r="G814" s="1113"/>
      <c r="H814" s="1113"/>
      <c r="I814" s="1113"/>
      <c r="J814" s="1113"/>
      <c r="K814" s="1113"/>
      <c r="L814" s="150">
        <f t="shared" si="54"/>
        <v>0</v>
      </c>
      <c r="M814" s="151">
        <f t="shared" si="55"/>
        <v>0</v>
      </c>
      <c r="N814" s="152">
        <f>+IF(OR($Q814=Parametres!$G$2,$Q814=Parametres!$G$3),I814,C814)</f>
        <v>0</v>
      </c>
      <c r="O814" s="152">
        <f>+IF(OR($Q814=Parametres!$G$2,$Q814=Parametres!$G$3),J814,D814)</f>
        <v>0</v>
      </c>
      <c r="P814" s="152">
        <f>+IF(OR($Q814=Parametres!$G$2,$Q814=Parametres!$G$3),K814,E814)</f>
        <v>0</v>
      </c>
      <c r="Q814" s="151">
        <f t="shared" si="58"/>
        <v>0</v>
      </c>
      <c r="R814" s="150">
        <f t="shared" si="58"/>
        <v>0</v>
      </c>
      <c r="S814" s="151">
        <f t="shared" si="58"/>
        <v>0</v>
      </c>
      <c r="T814" s="153" t="e">
        <f>+VLOOKUP($L814,Data_Validation!$A:$D,1,0)</f>
        <v>#N/A</v>
      </c>
      <c r="U814" s="153" t="e">
        <f>+VLOOKUP($L814,Data_Validation!$A:$D,3,0)</f>
        <v>#N/A</v>
      </c>
      <c r="V814" s="153" t="e">
        <f>+VLOOKUP($L814,Data_Validation!$A:$D,4,0)</f>
        <v>#N/A</v>
      </c>
      <c r="W814" s="153" t="e">
        <f>+VLOOKUP($L814,Data_Validation!$A:$E,5,0)</f>
        <v>#N/A</v>
      </c>
    </row>
    <row r="815" spans="1:23" ht="15.75" customHeight="1">
      <c r="A815" s="1113"/>
      <c r="B815" s="1119"/>
      <c r="C815" s="1120"/>
      <c r="D815" s="1113"/>
      <c r="E815" s="1113"/>
      <c r="F815" s="1113"/>
      <c r="G815" s="1113"/>
      <c r="H815" s="1113"/>
      <c r="I815" s="1113"/>
      <c r="J815" s="1113"/>
      <c r="K815" s="1113"/>
      <c r="L815" s="150">
        <f t="shared" si="54"/>
        <v>0</v>
      </c>
      <c r="M815" s="151">
        <f t="shared" si="55"/>
        <v>0</v>
      </c>
      <c r="N815" s="152">
        <f>+IF(OR($Q815=Parametres!$G$2,$Q815=Parametres!$G$3),I815,C815)</f>
        <v>0</v>
      </c>
      <c r="O815" s="152">
        <f>+IF(OR($Q815=Parametres!$G$2,$Q815=Parametres!$G$3),J815,D815)</f>
        <v>0</v>
      </c>
      <c r="P815" s="152">
        <f>+IF(OR($Q815=Parametres!$G$2,$Q815=Parametres!$G$3),K815,E815)</f>
        <v>0</v>
      </c>
      <c r="Q815" s="151">
        <f t="shared" si="58"/>
        <v>0</v>
      </c>
      <c r="R815" s="150">
        <f t="shared" si="58"/>
        <v>0</v>
      </c>
      <c r="S815" s="151">
        <f t="shared" si="58"/>
        <v>0</v>
      </c>
      <c r="T815" s="153" t="e">
        <f>+VLOOKUP($L815,Data_Validation!$A:$D,1,0)</f>
        <v>#N/A</v>
      </c>
      <c r="U815" s="153" t="e">
        <f>+VLOOKUP($L815,Data_Validation!$A:$D,3,0)</f>
        <v>#N/A</v>
      </c>
      <c r="V815" s="153" t="e">
        <f>+VLOOKUP($L815,Data_Validation!$A:$D,4,0)</f>
        <v>#N/A</v>
      </c>
      <c r="W815" s="153" t="e">
        <f>+VLOOKUP($L815,Data_Validation!$A:$E,5,0)</f>
        <v>#N/A</v>
      </c>
    </row>
    <row r="816" spans="1:23" ht="15.75" customHeight="1">
      <c r="A816" s="1113"/>
      <c r="B816" s="1119"/>
      <c r="C816" s="1120"/>
      <c r="D816" s="1113"/>
      <c r="E816" s="1113"/>
      <c r="F816" s="1113"/>
      <c r="G816" s="1113"/>
      <c r="H816" s="1113"/>
      <c r="I816" s="1113"/>
      <c r="J816" s="1113"/>
      <c r="K816" s="1113"/>
      <c r="L816" s="150">
        <f t="shared" si="54"/>
        <v>0</v>
      </c>
      <c r="M816" s="151">
        <f t="shared" si="55"/>
        <v>0</v>
      </c>
      <c r="N816" s="152">
        <f>+IF(OR($Q816=Parametres!$G$2,$Q816=Parametres!$G$3),I816,C816)</f>
        <v>0</v>
      </c>
      <c r="O816" s="152">
        <f>+IF(OR($Q816=Parametres!$G$2,$Q816=Parametres!$G$3),J816,D816)</f>
        <v>0</v>
      </c>
      <c r="P816" s="152">
        <f>+IF(OR($Q816=Parametres!$G$2,$Q816=Parametres!$G$3),K816,E816)</f>
        <v>0</v>
      </c>
      <c r="Q816" s="151">
        <f t="shared" si="58"/>
        <v>0</v>
      </c>
      <c r="R816" s="150">
        <f t="shared" si="58"/>
        <v>0</v>
      </c>
      <c r="S816" s="151">
        <f t="shared" si="58"/>
        <v>0</v>
      </c>
      <c r="T816" s="153" t="e">
        <f>+VLOOKUP($L816,Data_Validation!$A:$D,1,0)</f>
        <v>#N/A</v>
      </c>
      <c r="U816" s="153" t="e">
        <f>+VLOOKUP($L816,Data_Validation!$A:$D,3,0)</f>
        <v>#N/A</v>
      </c>
      <c r="V816" s="153" t="e">
        <f>+VLOOKUP($L816,Data_Validation!$A:$D,4,0)</f>
        <v>#N/A</v>
      </c>
      <c r="W816" s="153" t="e">
        <f>+VLOOKUP($L816,Data_Validation!$A:$E,5,0)</f>
        <v>#N/A</v>
      </c>
    </row>
    <row r="817" spans="1:23" ht="15.75" customHeight="1">
      <c r="A817" s="1113"/>
      <c r="B817" s="1119"/>
      <c r="C817" s="1120"/>
      <c r="D817" s="1113"/>
      <c r="E817" s="1113"/>
      <c r="F817" s="1113"/>
      <c r="G817" s="1113"/>
      <c r="H817" s="1113"/>
      <c r="I817" s="1113"/>
      <c r="J817" s="1113"/>
      <c r="K817" s="1113"/>
      <c r="L817" s="150">
        <f t="shared" si="54"/>
        <v>0</v>
      </c>
      <c r="M817" s="151">
        <f t="shared" si="55"/>
        <v>0</v>
      </c>
      <c r="N817" s="152">
        <f>+IF(OR($Q817=Parametres!$G$2,$Q817=Parametres!$G$3),I817,C817)</f>
        <v>0</v>
      </c>
      <c r="O817" s="152">
        <f>+IF(OR($Q817=Parametres!$G$2,$Q817=Parametres!$G$3),J817,D817)</f>
        <v>0</v>
      </c>
      <c r="P817" s="152">
        <f>+IF(OR($Q817=Parametres!$G$2,$Q817=Parametres!$G$3),K817,E817)</f>
        <v>0</v>
      </c>
      <c r="Q817" s="151">
        <f t="shared" si="58"/>
        <v>0</v>
      </c>
      <c r="R817" s="150">
        <f t="shared" si="58"/>
        <v>0</v>
      </c>
      <c r="S817" s="151">
        <f t="shared" si="58"/>
        <v>0</v>
      </c>
      <c r="T817" s="153" t="e">
        <f>+VLOOKUP($L817,Data_Validation!$A:$D,1,0)</f>
        <v>#N/A</v>
      </c>
      <c r="U817" s="153" t="e">
        <f>+VLOOKUP($L817,Data_Validation!$A:$D,3,0)</f>
        <v>#N/A</v>
      </c>
      <c r="V817" s="153" t="e">
        <f>+VLOOKUP($L817,Data_Validation!$A:$D,4,0)</f>
        <v>#N/A</v>
      </c>
      <c r="W817" s="153" t="e">
        <f>+VLOOKUP($L817,Data_Validation!$A:$E,5,0)</f>
        <v>#N/A</v>
      </c>
    </row>
    <row r="818" spans="1:23" ht="15.75" customHeight="1">
      <c r="A818" s="1113"/>
      <c r="B818" s="1119"/>
      <c r="C818" s="1120"/>
      <c r="D818" s="1113"/>
      <c r="E818" s="1113"/>
      <c r="F818" s="1113"/>
      <c r="G818" s="1113"/>
      <c r="H818" s="1113"/>
      <c r="I818" s="1113"/>
      <c r="J818" s="1113"/>
      <c r="K818" s="1113"/>
      <c r="L818" s="150">
        <f t="shared" si="54"/>
        <v>0</v>
      </c>
      <c r="M818" s="151">
        <f t="shared" si="55"/>
        <v>0</v>
      </c>
      <c r="N818" s="152">
        <f>+IF(OR($Q818=Parametres!$G$2,$Q818=Parametres!$G$3),I818,C818)</f>
        <v>0</v>
      </c>
      <c r="O818" s="152">
        <f>+IF(OR($Q818=Parametres!$G$2,$Q818=Parametres!$G$3),J818,D818)</f>
        <v>0</v>
      </c>
      <c r="P818" s="152">
        <f>+IF(OR($Q818=Parametres!$G$2,$Q818=Parametres!$G$3),K818,E818)</f>
        <v>0</v>
      </c>
      <c r="Q818" s="151">
        <f t="shared" ref="Q818:S833" si="59">+F818</f>
        <v>0</v>
      </c>
      <c r="R818" s="150">
        <f t="shared" si="59"/>
        <v>0</v>
      </c>
      <c r="S818" s="151">
        <f t="shared" si="59"/>
        <v>0</v>
      </c>
      <c r="T818" s="153" t="e">
        <f>+VLOOKUP($L818,Data_Validation!$A:$D,1,0)</f>
        <v>#N/A</v>
      </c>
      <c r="U818" s="153" t="e">
        <f>+VLOOKUP($L818,Data_Validation!$A:$D,3,0)</f>
        <v>#N/A</v>
      </c>
      <c r="V818" s="153" t="e">
        <f>+VLOOKUP($L818,Data_Validation!$A:$D,4,0)</f>
        <v>#N/A</v>
      </c>
      <c r="W818" s="153" t="e">
        <f>+VLOOKUP($L818,Data_Validation!$A:$E,5,0)</f>
        <v>#N/A</v>
      </c>
    </row>
    <row r="819" spans="1:23" ht="15.75" customHeight="1">
      <c r="A819" s="1113"/>
      <c r="B819" s="1119"/>
      <c r="C819" s="1120"/>
      <c r="D819" s="1113"/>
      <c r="E819" s="1113"/>
      <c r="F819" s="1113"/>
      <c r="G819" s="1113"/>
      <c r="H819" s="1113"/>
      <c r="I819" s="1113"/>
      <c r="J819" s="1113"/>
      <c r="K819" s="1113"/>
      <c r="L819" s="150">
        <f t="shared" si="54"/>
        <v>0</v>
      </c>
      <c r="M819" s="151">
        <f t="shared" si="55"/>
        <v>0</v>
      </c>
      <c r="N819" s="152">
        <f>+IF(OR($Q819=Parametres!$G$2,$Q819=Parametres!$G$3),I819,C819)</f>
        <v>0</v>
      </c>
      <c r="O819" s="152">
        <f>+IF(OR($Q819=Parametres!$G$2,$Q819=Parametres!$G$3),J819,D819)</f>
        <v>0</v>
      </c>
      <c r="P819" s="152">
        <f>+IF(OR($Q819=Parametres!$G$2,$Q819=Parametres!$G$3),K819,E819)</f>
        <v>0</v>
      </c>
      <c r="Q819" s="151">
        <f t="shared" si="59"/>
        <v>0</v>
      </c>
      <c r="R819" s="150">
        <f t="shared" si="59"/>
        <v>0</v>
      </c>
      <c r="S819" s="151">
        <f t="shared" si="59"/>
        <v>0</v>
      </c>
      <c r="T819" s="153" t="e">
        <f>+VLOOKUP($L819,Data_Validation!$A:$D,1,0)</f>
        <v>#N/A</v>
      </c>
      <c r="U819" s="153" t="e">
        <f>+VLOOKUP($L819,Data_Validation!$A:$D,3,0)</f>
        <v>#N/A</v>
      </c>
      <c r="V819" s="153" t="e">
        <f>+VLOOKUP($L819,Data_Validation!$A:$D,4,0)</f>
        <v>#N/A</v>
      </c>
      <c r="W819" s="153" t="e">
        <f>+VLOOKUP($L819,Data_Validation!$A:$E,5,0)</f>
        <v>#N/A</v>
      </c>
    </row>
    <row r="820" spans="1:23" ht="15.75" customHeight="1">
      <c r="A820" s="1113"/>
      <c r="B820" s="1119"/>
      <c r="C820" s="1120"/>
      <c r="D820" s="1113"/>
      <c r="E820" s="1113"/>
      <c r="F820" s="1113"/>
      <c r="G820" s="1113"/>
      <c r="H820" s="1113"/>
      <c r="I820" s="1113"/>
      <c r="J820" s="1113"/>
      <c r="K820" s="1113"/>
      <c r="L820" s="150">
        <f t="shared" si="54"/>
        <v>0</v>
      </c>
      <c r="M820" s="151">
        <f t="shared" si="55"/>
        <v>0</v>
      </c>
      <c r="N820" s="152">
        <f>+IF(OR($Q820=Parametres!$G$2,$Q820=Parametres!$G$3),I820,C820)</f>
        <v>0</v>
      </c>
      <c r="O820" s="152">
        <f>+IF(OR($Q820=Parametres!$G$2,$Q820=Parametres!$G$3),J820,D820)</f>
        <v>0</v>
      </c>
      <c r="P820" s="152">
        <f>+IF(OR($Q820=Parametres!$G$2,$Q820=Parametres!$G$3),K820,E820)</f>
        <v>0</v>
      </c>
      <c r="Q820" s="151">
        <f t="shared" si="59"/>
        <v>0</v>
      </c>
      <c r="R820" s="150">
        <f t="shared" si="59"/>
        <v>0</v>
      </c>
      <c r="S820" s="151">
        <f t="shared" si="59"/>
        <v>0</v>
      </c>
      <c r="T820" s="153" t="e">
        <f>+VLOOKUP($L820,Data_Validation!$A:$D,1,0)</f>
        <v>#N/A</v>
      </c>
      <c r="U820" s="153" t="e">
        <f>+VLOOKUP($L820,Data_Validation!$A:$D,3,0)</f>
        <v>#N/A</v>
      </c>
      <c r="V820" s="153" t="e">
        <f>+VLOOKUP($L820,Data_Validation!$A:$D,4,0)</f>
        <v>#N/A</v>
      </c>
      <c r="W820" s="153" t="e">
        <f>+VLOOKUP($L820,Data_Validation!$A:$E,5,0)</f>
        <v>#N/A</v>
      </c>
    </row>
    <row r="821" spans="1:23" ht="15.75" customHeight="1">
      <c r="A821" s="1113"/>
      <c r="B821" s="1119"/>
      <c r="C821" s="1120"/>
      <c r="D821" s="1113"/>
      <c r="E821" s="1113"/>
      <c r="F821" s="1113"/>
      <c r="G821" s="1113"/>
      <c r="H821" s="1113"/>
      <c r="I821" s="1113"/>
      <c r="J821" s="1113"/>
      <c r="K821" s="1113"/>
      <c r="L821" s="150">
        <f t="shared" si="54"/>
        <v>0</v>
      </c>
      <c r="M821" s="151">
        <f t="shared" si="55"/>
        <v>0</v>
      </c>
      <c r="N821" s="152">
        <f>+IF(OR($Q821=Parametres!$G$2,$Q821=Parametres!$G$3),I821,C821)</f>
        <v>0</v>
      </c>
      <c r="O821" s="152">
        <f>+IF(OR($Q821=Parametres!$G$2,$Q821=Parametres!$G$3),J821,D821)</f>
        <v>0</v>
      </c>
      <c r="P821" s="152">
        <f>+IF(OR($Q821=Parametres!$G$2,$Q821=Parametres!$G$3),K821,E821)</f>
        <v>0</v>
      </c>
      <c r="Q821" s="151">
        <f t="shared" si="59"/>
        <v>0</v>
      </c>
      <c r="R821" s="150">
        <f t="shared" si="59"/>
        <v>0</v>
      </c>
      <c r="S821" s="151">
        <f t="shared" si="59"/>
        <v>0</v>
      </c>
      <c r="T821" s="153" t="e">
        <f>+VLOOKUP($L821,Data_Validation!$A:$D,1,0)</f>
        <v>#N/A</v>
      </c>
      <c r="U821" s="153" t="e">
        <f>+VLOOKUP($L821,Data_Validation!$A:$D,3,0)</f>
        <v>#N/A</v>
      </c>
      <c r="V821" s="153" t="e">
        <f>+VLOOKUP($L821,Data_Validation!$A:$D,4,0)</f>
        <v>#N/A</v>
      </c>
      <c r="W821" s="153" t="e">
        <f>+VLOOKUP($L821,Data_Validation!$A:$E,5,0)</f>
        <v>#N/A</v>
      </c>
    </row>
    <row r="822" spans="1:23" ht="15.75" customHeight="1">
      <c r="A822" s="1113"/>
      <c r="B822" s="1119"/>
      <c r="C822" s="1120"/>
      <c r="D822" s="1113"/>
      <c r="E822" s="1113"/>
      <c r="F822" s="1113"/>
      <c r="G822" s="1113"/>
      <c r="H822" s="1113"/>
      <c r="I822" s="1113"/>
      <c r="J822" s="1113"/>
      <c r="K822" s="1113"/>
      <c r="L822" s="150">
        <f t="shared" si="54"/>
        <v>0</v>
      </c>
      <c r="M822" s="151">
        <f t="shared" si="55"/>
        <v>0</v>
      </c>
      <c r="N822" s="152">
        <f>+IF(OR($Q822=Parametres!$G$2,$Q822=Parametres!$G$3),I822,C822)</f>
        <v>0</v>
      </c>
      <c r="O822" s="152">
        <f>+IF(OR($Q822=Parametres!$G$2,$Q822=Parametres!$G$3),J822,D822)</f>
        <v>0</v>
      </c>
      <c r="P822" s="152">
        <f>+IF(OR($Q822=Parametres!$G$2,$Q822=Parametres!$G$3),K822,E822)</f>
        <v>0</v>
      </c>
      <c r="Q822" s="151">
        <f t="shared" si="59"/>
        <v>0</v>
      </c>
      <c r="R822" s="150">
        <f t="shared" si="59"/>
        <v>0</v>
      </c>
      <c r="S822" s="151">
        <f t="shared" si="59"/>
        <v>0</v>
      </c>
      <c r="T822" s="153" t="e">
        <f>+VLOOKUP($L822,Data_Validation!$A:$D,1,0)</f>
        <v>#N/A</v>
      </c>
      <c r="U822" s="153" t="e">
        <f>+VLOOKUP($L822,Data_Validation!$A:$D,3,0)</f>
        <v>#N/A</v>
      </c>
      <c r="V822" s="153" t="e">
        <f>+VLOOKUP($L822,Data_Validation!$A:$D,4,0)</f>
        <v>#N/A</v>
      </c>
      <c r="W822" s="153" t="e">
        <f>+VLOOKUP($L822,Data_Validation!$A:$E,5,0)</f>
        <v>#N/A</v>
      </c>
    </row>
    <row r="823" spans="1:23" ht="15.75" customHeight="1">
      <c r="A823" s="1113"/>
      <c r="B823" s="1119"/>
      <c r="C823" s="1120"/>
      <c r="D823" s="1113"/>
      <c r="E823" s="1113"/>
      <c r="F823" s="1113"/>
      <c r="G823" s="1113"/>
      <c r="H823" s="1113"/>
      <c r="I823" s="1113"/>
      <c r="J823" s="1113"/>
      <c r="K823" s="1113"/>
      <c r="L823" s="150">
        <f t="shared" si="54"/>
        <v>0</v>
      </c>
      <c r="M823" s="151">
        <f t="shared" si="55"/>
        <v>0</v>
      </c>
      <c r="N823" s="152">
        <f>+IF(OR($Q823=Parametres!$G$2,$Q823=Parametres!$G$3),I823,C823)</f>
        <v>0</v>
      </c>
      <c r="O823" s="152">
        <f>+IF(OR($Q823=Parametres!$G$2,$Q823=Parametres!$G$3),J823,D823)</f>
        <v>0</v>
      </c>
      <c r="P823" s="152">
        <f>+IF(OR($Q823=Parametres!$G$2,$Q823=Parametres!$G$3),K823,E823)</f>
        <v>0</v>
      </c>
      <c r="Q823" s="151">
        <f t="shared" si="59"/>
        <v>0</v>
      </c>
      <c r="R823" s="150">
        <f t="shared" si="59"/>
        <v>0</v>
      </c>
      <c r="S823" s="151">
        <f t="shared" si="59"/>
        <v>0</v>
      </c>
      <c r="T823" s="153" t="e">
        <f>+VLOOKUP($L823,Data_Validation!$A:$D,1,0)</f>
        <v>#N/A</v>
      </c>
      <c r="U823" s="153" t="e">
        <f>+VLOOKUP($L823,Data_Validation!$A:$D,3,0)</f>
        <v>#N/A</v>
      </c>
      <c r="V823" s="153" t="e">
        <f>+VLOOKUP($L823,Data_Validation!$A:$D,4,0)</f>
        <v>#N/A</v>
      </c>
      <c r="W823" s="153" t="e">
        <f>+VLOOKUP($L823,Data_Validation!$A:$E,5,0)</f>
        <v>#N/A</v>
      </c>
    </row>
    <row r="824" spans="1:23" ht="15.75" customHeight="1">
      <c r="A824" s="1113"/>
      <c r="B824" s="1119"/>
      <c r="C824" s="1120"/>
      <c r="D824" s="1113"/>
      <c r="E824" s="1113"/>
      <c r="F824" s="1113"/>
      <c r="G824" s="1113"/>
      <c r="H824" s="1113"/>
      <c r="I824" s="1113"/>
      <c r="J824" s="1113"/>
      <c r="K824" s="1113"/>
      <c r="L824" s="150">
        <f t="shared" si="54"/>
        <v>0</v>
      </c>
      <c r="M824" s="151">
        <f t="shared" si="55"/>
        <v>0</v>
      </c>
      <c r="N824" s="152">
        <f>+IF(OR($Q824=Parametres!$G$2,$Q824=Parametres!$G$3),I824,C824)</f>
        <v>0</v>
      </c>
      <c r="O824" s="152">
        <f>+IF(OR($Q824=Parametres!$G$2,$Q824=Parametres!$G$3),J824,D824)</f>
        <v>0</v>
      </c>
      <c r="P824" s="152">
        <f>+IF(OR($Q824=Parametres!$G$2,$Q824=Parametres!$G$3),K824,E824)</f>
        <v>0</v>
      </c>
      <c r="Q824" s="151">
        <f t="shared" si="59"/>
        <v>0</v>
      </c>
      <c r="R824" s="150">
        <f t="shared" si="59"/>
        <v>0</v>
      </c>
      <c r="S824" s="151">
        <f t="shared" si="59"/>
        <v>0</v>
      </c>
      <c r="T824" s="153" t="e">
        <f>+VLOOKUP($L824,Data_Validation!$A:$D,1,0)</f>
        <v>#N/A</v>
      </c>
      <c r="U824" s="153" t="e">
        <f>+VLOOKUP($L824,Data_Validation!$A:$D,3,0)</f>
        <v>#N/A</v>
      </c>
      <c r="V824" s="153" t="e">
        <f>+VLOOKUP($L824,Data_Validation!$A:$D,4,0)</f>
        <v>#N/A</v>
      </c>
      <c r="W824" s="153" t="e">
        <f>+VLOOKUP($L824,Data_Validation!$A:$E,5,0)</f>
        <v>#N/A</v>
      </c>
    </row>
    <row r="825" spans="1:23" ht="15.75" customHeight="1">
      <c r="A825" s="1113"/>
      <c r="B825" s="1119"/>
      <c r="C825" s="1120"/>
      <c r="D825" s="1113"/>
      <c r="E825" s="1113"/>
      <c r="F825" s="1113"/>
      <c r="G825" s="1113"/>
      <c r="H825" s="1113"/>
      <c r="I825" s="1113"/>
      <c r="J825" s="1113"/>
      <c r="K825" s="1113"/>
      <c r="L825" s="150">
        <f t="shared" si="54"/>
        <v>0</v>
      </c>
      <c r="M825" s="151">
        <f t="shared" si="55"/>
        <v>0</v>
      </c>
      <c r="N825" s="152">
        <f>+IF(OR($Q825=Parametres!$G$2,$Q825=Parametres!$G$3),I825,C825)</f>
        <v>0</v>
      </c>
      <c r="O825" s="152">
        <f>+IF(OR($Q825=Parametres!$G$2,$Q825=Parametres!$G$3),J825,D825)</f>
        <v>0</v>
      </c>
      <c r="P825" s="152">
        <f>+IF(OR($Q825=Parametres!$G$2,$Q825=Parametres!$G$3),K825,E825)</f>
        <v>0</v>
      </c>
      <c r="Q825" s="151">
        <f t="shared" si="59"/>
        <v>0</v>
      </c>
      <c r="R825" s="150">
        <f t="shared" si="59"/>
        <v>0</v>
      </c>
      <c r="S825" s="151">
        <f t="shared" si="59"/>
        <v>0</v>
      </c>
      <c r="T825" s="153" t="e">
        <f>+VLOOKUP($L825,Data_Validation!$A:$D,1,0)</f>
        <v>#N/A</v>
      </c>
      <c r="U825" s="153" t="e">
        <f>+VLOOKUP($L825,Data_Validation!$A:$D,3,0)</f>
        <v>#N/A</v>
      </c>
      <c r="V825" s="153" t="e">
        <f>+VLOOKUP($L825,Data_Validation!$A:$D,4,0)</f>
        <v>#N/A</v>
      </c>
      <c r="W825" s="153" t="e">
        <f>+VLOOKUP($L825,Data_Validation!$A:$E,5,0)</f>
        <v>#N/A</v>
      </c>
    </row>
    <row r="826" spans="1:23" ht="15.75" customHeight="1">
      <c r="A826" s="1113"/>
      <c r="B826" s="1119"/>
      <c r="C826" s="1120"/>
      <c r="D826" s="1113"/>
      <c r="E826" s="1113"/>
      <c r="F826" s="1113"/>
      <c r="G826" s="1113"/>
      <c r="H826" s="1113"/>
      <c r="I826" s="1113"/>
      <c r="J826" s="1113"/>
      <c r="K826" s="1113"/>
      <c r="L826" s="150">
        <f t="shared" si="54"/>
        <v>0</v>
      </c>
      <c r="M826" s="151">
        <f t="shared" si="55"/>
        <v>0</v>
      </c>
      <c r="N826" s="152">
        <f>+IF(OR($Q826=Parametres!$G$2,$Q826=Parametres!$G$3),I826,C826)</f>
        <v>0</v>
      </c>
      <c r="O826" s="152">
        <f>+IF(OR($Q826=Parametres!$G$2,$Q826=Parametres!$G$3),J826,D826)</f>
        <v>0</v>
      </c>
      <c r="P826" s="152">
        <f>+IF(OR($Q826=Parametres!$G$2,$Q826=Parametres!$G$3),K826,E826)</f>
        <v>0</v>
      </c>
      <c r="Q826" s="151">
        <f t="shared" si="59"/>
        <v>0</v>
      </c>
      <c r="R826" s="150">
        <f t="shared" si="59"/>
        <v>0</v>
      </c>
      <c r="S826" s="151">
        <f t="shared" si="59"/>
        <v>0</v>
      </c>
      <c r="T826" s="153" t="e">
        <f>+VLOOKUP($L826,Data_Validation!$A:$D,1,0)</f>
        <v>#N/A</v>
      </c>
      <c r="U826" s="153" t="e">
        <f>+VLOOKUP($L826,Data_Validation!$A:$D,3,0)</f>
        <v>#N/A</v>
      </c>
      <c r="V826" s="153" t="e">
        <f>+VLOOKUP($L826,Data_Validation!$A:$D,4,0)</f>
        <v>#N/A</v>
      </c>
      <c r="W826" s="153" t="e">
        <f>+VLOOKUP($L826,Data_Validation!$A:$E,5,0)</f>
        <v>#N/A</v>
      </c>
    </row>
    <row r="827" spans="1:23" ht="15.75" customHeight="1">
      <c r="A827" s="1113"/>
      <c r="B827" s="1119"/>
      <c r="C827" s="1120"/>
      <c r="D827" s="1113"/>
      <c r="E827" s="1113"/>
      <c r="F827" s="1113"/>
      <c r="G827" s="1113"/>
      <c r="H827" s="1113"/>
      <c r="I827" s="1113"/>
      <c r="J827" s="1113"/>
      <c r="K827" s="1113"/>
      <c r="L827" s="150">
        <f t="shared" si="54"/>
        <v>0</v>
      </c>
      <c r="M827" s="151">
        <f t="shared" si="55"/>
        <v>0</v>
      </c>
      <c r="N827" s="152">
        <f>+IF(OR($Q827=Parametres!$G$2,$Q827=Parametres!$G$3),I827,C827)</f>
        <v>0</v>
      </c>
      <c r="O827" s="152">
        <f>+IF(OR($Q827=Parametres!$G$2,$Q827=Parametres!$G$3),J827,D827)</f>
        <v>0</v>
      </c>
      <c r="P827" s="152">
        <f>+IF(OR($Q827=Parametres!$G$2,$Q827=Parametres!$G$3),K827,E827)</f>
        <v>0</v>
      </c>
      <c r="Q827" s="151">
        <f t="shared" si="59"/>
        <v>0</v>
      </c>
      <c r="R827" s="150">
        <f t="shared" si="59"/>
        <v>0</v>
      </c>
      <c r="S827" s="151">
        <f t="shared" si="59"/>
        <v>0</v>
      </c>
      <c r="T827" s="153" t="e">
        <f>+VLOOKUP($L827,Data_Validation!$A:$D,1,0)</f>
        <v>#N/A</v>
      </c>
      <c r="U827" s="153" t="e">
        <f>+VLOOKUP($L827,Data_Validation!$A:$D,3,0)</f>
        <v>#N/A</v>
      </c>
      <c r="V827" s="153" t="e">
        <f>+VLOOKUP($L827,Data_Validation!$A:$D,4,0)</f>
        <v>#N/A</v>
      </c>
      <c r="W827" s="153" t="e">
        <f>+VLOOKUP($L827,Data_Validation!$A:$E,5,0)</f>
        <v>#N/A</v>
      </c>
    </row>
    <row r="828" spans="1:23" ht="15.75" customHeight="1">
      <c r="A828" s="1113"/>
      <c r="B828" s="1119"/>
      <c r="C828" s="1120"/>
      <c r="D828" s="1113"/>
      <c r="E828" s="1113"/>
      <c r="F828" s="1113"/>
      <c r="G828" s="1113"/>
      <c r="H828" s="1113"/>
      <c r="I828" s="1113"/>
      <c r="J828" s="1113"/>
      <c r="K828" s="1113"/>
      <c r="L828" s="150">
        <f t="shared" si="54"/>
        <v>0</v>
      </c>
      <c r="M828" s="151">
        <f t="shared" si="55"/>
        <v>0</v>
      </c>
      <c r="N828" s="152">
        <f>+IF(OR($Q828=Parametres!$G$2,$Q828=Parametres!$G$3),I828,C828)</f>
        <v>0</v>
      </c>
      <c r="O828" s="152">
        <f>+IF(OR($Q828=Parametres!$G$2,$Q828=Parametres!$G$3),J828,D828)</f>
        <v>0</v>
      </c>
      <c r="P828" s="152">
        <f>+IF(OR($Q828=Parametres!$G$2,$Q828=Parametres!$G$3),K828,E828)</f>
        <v>0</v>
      </c>
      <c r="Q828" s="151">
        <f t="shared" si="59"/>
        <v>0</v>
      </c>
      <c r="R828" s="150">
        <f t="shared" si="59"/>
        <v>0</v>
      </c>
      <c r="S828" s="151">
        <f t="shared" si="59"/>
        <v>0</v>
      </c>
      <c r="T828" s="153" t="e">
        <f>+VLOOKUP($L828,Data_Validation!$A:$D,1,0)</f>
        <v>#N/A</v>
      </c>
      <c r="U828" s="153" t="e">
        <f>+VLOOKUP($L828,Data_Validation!$A:$D,3,0)</f>
        <v>#N/A</v>
      </c>
      <c r="V828" s="153" t="e">
        <f>+VLOOKUP($L828,Data_Validation!$A:$D,4,0)</f>
        <v>#N/A</v>
      </c>
      <c r="W828" s="153" t="e">
        <f>+VLOOKUP($L828,Data_Validation!$A:$E,5,0)</f>
        <v>#N/A</v>
      </c>
    </row>
    <row r="829" spans="1:23" ht="15.75" customHeight="1">
      <c r="A829" s="1113"/>
      <c r="B829" s="1119"/>
      <c r="C829" s="1120"/>
      <c r="D829" s="1113"/>
      <c r="E829" s="1113"/>
      <c r="F829" s="1113"/>
      <c r="G829" s="1113"/>
      <c r="H829" s="1113"/>
      <c r="I829" s="1113"/>
      <c r="J829" s="1113"/>
      <c r="K829" s="1113"/>
      <c r="L829" s="150">
        <f t="shared" si="54"/>
        <v>0</v>
      </c>
      <c r="M829" s="151">
        <f t="shared" si="55"/>
        <v>0</v>
      </c>
      <c r="N829" s="152">
        <f>+IF(OR($Q829=Parametres!$G$2,$Q829=Parametres!$G$3),I829,C829)</f>
        <v>0</v>
      </c>
      <c r="O829" s="152">
        <f>+IF(OR($Q829=Parametres!$G$2,$Q829=Parametres!$G$3),J829,D829)</f>
        <v>0</v>
      </c>
      <c r="P829" s="152">
        <f>+IF(OR($Q829=Parametres!$G$2,$Q829=Parametres!$G$3),K829,E829)</f>
        <v>0</v>
      </c>
      <c r="Q829" s="151">
        <f t="shared" si="59"/>
        <v>0</v>
      </c>
      <c r="R829" s="150">
        <f t="shared" si="59"/>
        <v>0</v>
      </c>
      <c r="S829" s="151">
        <f t="shared" si="59"/>
        <v>0</v>
      </c>
      <c r="T829" s="153" t="e">
        <f>+VLOOKUP($L829,Data_Validation!$A:$D,1,0)</f>
        <v>#N/A</v>
      </c>
      <c r="U829" s="153" t="e">
        <f>+VLOOKUP($L829,Data_Validation!$A:$D,3,0)</f>
        <v>#N/A</v>
      </c>
      <c r="V829" s="153" t="e">
        <f>+VLOOKUP($L829,Data_Validation!$A:$D,4,0)</f>
        <v>#N/A</v>
      </c>
      <c r="W829" s="153" t="e">
        <f>+VLOOKUP($L829,Data_Validation!$A:$E,5,0)</f>
        <v>#N/A</v>
      </c>
    </row>
    <row r="830" spans="1:23" ht="15.75" customHeight="1">
      <c r="A830" s="1113"/>
      <c r="B830" s="1119"/>
      <c r="C830" s="1120"/>
      <c r="D830" s="1113"/>
      <c r="E830" s="1113"/>
      <c r="F830" s="1113"/>
      <c r="G830" s="1113"/>
      <c r="H830" s="1113"/>
      <c r="I830" s="1113"/>
      <c r="J830" s="1113"/>
      <c r="K830" s="1113"/>
      <c r="L830" s="150">
        <f t="shared" si="54"/>
        <v>0</v>
      </c>
      <c r="M830" s="151">
        <f t="shared" si="55"/>
        <v>0</v>
      </c>
      <c r="N830" s="152">
        <f>+IF(OR($Q830=Parametres!$G$2,$Q830=Parametres!$G$3),I830,C830)</f>
        <v>0</v>
      </c>
      <c r="O830" s="152">
        <f>+IF(OR($Q830=Parametres!$G$2,$Q830=Parametres!$G$3),J830,D830)</f>
        <v>0</v>
      </c>
      <c r="P830" s="152">
        <f>+IF(OR($Q830=Parametres!$G$2,$Q830=Parametres!$G$3),K830,E830)</f>
        <v>0</v>
      </c>
      <c r="Q830" s="151">
        <f t="shared" si="59"/>
        <v>0</v>
      </c>
      <c r="R830" s="150">
        <f t="shared" si="59"/>
        <v>0</v>
      </c>
      <c r="S830" s="151">
        <f t="shared" si="59"/>
        <v>0</v>
      </c>
      <c r="T830" s="153" t="e">
        <f>+VLOOKUP($L830,Data_Validation!$A:$D,1,0)</f>
        <v>#N/A</v>
      </c>
      <c r="U830" s="153" t="e">
        <f>+VLOOKUP($L830,Data_Validation!$A:$D,3,0)</f>
        <v>#N/A</v>
      </c>
      <c r="V830" s="153" t="e">
        <f>+VLOOKUP($L830,Data_Validation!$A:$D,4,0)</f>
        <v>#N/A</v>
      </c>
      <c r="W830" s="153" t="e">
        <f>+VLOOKUP($L830,Data_Validation!$A:$E,5,0)</f>
        <v>#N/A</v>
      </c>
    </row>
    <row r="831" spans="1:23" ht="15.75" customHeight="1">
      <c r="A831" s="1113"/>
      <c r="B831" s="1119"/>
      <c r="C831" s="1120"/>
      <c r="D831" s="1113"/>
      <c r="E831" s="1113"/>
      <c r="F831" s="1113"/>
      <c r="G831" s="1113"/>
      <c r="H831" s="1113"/>
      <c r="I831" s="1113"/>
      <c r="J831" s="1113"/>
      <c r="K831" s="1113"/>
      <c r="L831" s="150">
        <f t="shared" si="54"/>
        <v>0</v>
      </c>
      <c r="M831" s="151">
        <f t="shared" si="55"/>
        <v>0</v>
      </c>
      <c r="N831" s="152">
        <f>+IF(OR($Q831=Parametres!$G$2,$Q831=Parametres!$G$3),I831,C831)</f>
        <v>0</v>
      </c>
      <c r="O831" s="152">
        <f>+IF(OR($Q831=Parametres!$G$2,$Q831=Parametres!$G$3),J831,D831)</f>
        <v>0</v>
      </c>
      <c r="P831" s="152">
        <f>+IF(OR($Q831=Parametres!$G$2,$Q831=Parametres!$G$3),K831,E831)</f>
        <v>0</v>
      </c>
      <c r="Q831" s="151">
        <f t="shared" si="59"/>
        <v>0</v>
      </c>
      <c r="R831" s="150">
        <f t="shared" si="59"/>
        <v>0</v>
      </c>
      <c r="S831" s="151">
        <f t="shared" si="59"/>
        <v>0</v>
      </c>
      <c r="T831" s="153" t="e">
        <f>+VLOOKUP($L831,Data_Validation!$A:$D,1,0)</f>
        <v>#N/A</v>
      </c>
      <c r="U831" s="153" t="e">
        <f>+VLOOKUP($L831,Data_Validation!$A:$D,3,0)</f>
        <v>#N/A</v>
      </c>
      <c r="V831" s="153" t="e">
        <f>+VLOOKUP($L831,Data_Validation!$A:$D,4,0)</f>
        <v>#N/A</v>
      </c>
      <c r="W831" s="153" t="e">
        <f>+VLOOKUP($L831,Data_Validation!$A:$E,5,0)</f>
        <v>#N/A</v>
      </c>
    </row>
    <row r="832" spans="1:23" ht="15.75" customHeight="1">
      <c r="A832" s="1113"/>
      <c r="B832" s="1119"/>
      <c r="C832" s="1120"/>
      <c r="D832" s="1113"/>
      <c r="E832" s="1113"/>
      <c r="F832" s="1113"/>
      <c r="G832" s="1113"/>
      <c r="H832" s="1113"/>
      <c r="I832" s="1113"/>
      <c r="J832" s="1113"/>
      <c r="K832" s="1113"/>
      <c r="L832" s="150">
        <f t="shared" si="54"/>
        <v>0</v>
      </c>
      <c r="M832" s="151">
        <f t="shared" si="55"/>
        <v>0</v>
      </c>
      <c r="N832" s="152">
        <f>+IF(OR($Q832=Parametres!$G$2,$Q832=Parametres!$G$3),I832,C832)</f>
        <v>0</v>
      </c>
      <c r="O832" s="152">
        <f>+IF(OR($Q832=Parametres!$G$2,$Q832=Parametres!$G$3),J832,D832)</f>
        <v>0</v>
      </c>
      <c r="P832" s="152">
        <f>+IF(OR($Q832=Parametres!$G$2,$Q832=Parametres!$G$3),K832,E832)</f>
        <v>0</v>
      </c>
      <c r="Q832" s="151">
        <f t="shared" si="59"/>
        <v>0</v>
      </c>
      <c r="R832" s="150">
        <f t="shared" si="59"/>
        <v>0</v>
      </c>
      <c r="S832" s="151">
        <f t="shared" si="59"/>
        <v>0</v>
      </c>
      <c r="T832" s="153" t="e">
        <f>+VLOOKUP($L832,Data_Validation!$A:$D,1,0)</f>
        <v>#N/A</v>
      </c>
      <c r="U832" s="153" t="e">
        <f>+VLOOKUP($L832,Data_Validation!$A:$D,3,0)</f>
        <v>#N/A</v>
      </c>
      <c r="V832" s="153" t="e">
        <f>+VLOOKUP($L832,Data_Validation!$A:$D,4,0)</f>
        <v>#N/A</v>
      </c>
      <c r="W832" s="153" t="e">
        <f>+VLOOKUP($L832,Data_Validation!$A:$E,5,0)</f>
        <v>#N/A</v>
      </c>
    </row>
    <row r="833" spans="1:23" ht="15.75" customHeight="1">
      <c r="A833" s="1113"/>
      <c r="B833" s="1119"/>
      <c r="C833" s="1120"/>
      <c r="D833" s="1113"/>
      <c r="E833" s="1113"/>
      <c r="F833" s="1113"/>
      <c r="G833" s="1113"/>
      <c r="H833" s="1113"/>
      <c r="I833" s="1113"/>
      <c r="J833" s="1113"/>
      <c r="K833" s="1113"/>
      <c r="L833" s="150">
        <f t="shared" si="54"/>
        <v>0</v>
      </c>
      <c r="M833" s="151">
        <f t="shared" si="55"/>
        <v>0</v>
      </c>
      <c r="N833" s="152">
        <f>+IF(OR($Q833=Parametres!$G$2,$Q833=Parametres!$G$3),I833,C833)</f>
        <v>0</v>
      </c>
      <c r="O833" s="152">
        <f>+IF(OR($Q833=Parametres!$G$2,$Q833=Parametres!$G$3),J833,D833)</f>
        <v>0</v>
      </c>
      <c r="P833" s="152">
        <f>+IF(OR($Q833=Parametres!$G$2,$Q833=Parametres!$G$3),K833,E833)</f>
        <v>0</v>
      </c>
      <c r="Q833" s="151">
        <f t="shared" si="59"/>
        <v>0</v>
      </c>
      <c r="R833" s="150">
        <f t="shared" si="59"/>
        <v>0</v>
      </c>
      <c r="S833" s="151">
        <f t="shared" si="59"/>
        <v>0</v>
      </c>
      <c r="T833" s="153" t="e">
        <f>+VLOOKUP($L833,Data_Validation!$A:$D,1,0)</f>
        <v>#N/A</v>
      </c>
      <c r="U833" s="153" t="e">
        <f>+VLOOKUP($L833,Data_Validation!$A:$D,3,0)</f>
        <v>#N/A</v>
      </c>
      <c r="V833" s="153" t="e">
        <f>+VLOOKUP($L833,Data_Validation!$A:$D,4,0)</f>
        <v>#N/A</v>
      </c>
      <c r="W833" s="153" t="e">
        <f>+VLOOKUP($L833,Data_Validation!$A:$E,5,0)</f>
        <v>#N/A</v>
      </c>
    </row>
    <row r="834" spans="1:23" ht="15.75" customHeight="1">
      <c r="A834" s="1113"/>
      <c r="B834" s="1119"/>
      <c r="C834" s="1120"/>
      <c r="D834" s="1113"/>
      <c r="E834" s="1113"/>
      <c r="F834" s="1113"/>
      <c r="G834" s="1113"/>
      <c r="H834" s="1113"/>
      <c r="I834" s="1113"/>
      <c r="J834" s="1113"/>
      <c r="K834" s="1113"/>
      <c r="L834" s="150">
        <f t="shared" si="54"/>
        <v>0</v>
      </c>
      <c r="M834" s="151">
        <f t="shared" si="55"/>
        <v>0</v>
      </c>
      <c r="N834" s="152">
        <f>+IF(OR($Q834=Parametres!$G$2,$Q834=Parametres!$G$3),I834,C834)</f>
        <v>0</v>
      </c>
      <c r="O834" s="152">
        <f>+IF(OR($Q834=Parametres!$G$2,$Q834=Parametres!$G$3),J834,D834)</f>
        <v>0</v>
      </c>
      <c r="P834" s="152">
        <f>+IF(OR($Q834=Parametres!$G$2,$Q834=Parametres!$G$3),K834,E834)</f>
        <v>0</v>
      </c>
      <c r="Q834" s="151">
        <f t="shared" ref="Q834:S849" si="60">+F834</f>
        <v>0</v>
      </c>
      <c r="R834" s="150">
        <f t="shared" si="60"/>
        <v>0</v>
      </c>
      <c r="S834" s="151">
        <f t="shared" si="60"/>
        <v>0</v>
      </c>
      <c r="T834" s="153" t="e">
        <f>+VLOOKUP($L834,Data_Validation!$A:$D,1,0)</f>
        <v>#N/A</v>
      </c>
      <c r="U834" s="153" t="e">
        <f>+VLOOKUP($L834,Data_Validation!$A:$D,3,0)</f>
        <v>#N/A</v>
      </c>
      <c r="V834" s="153" t="e">
        <f>+VLOOKUP($L834,Data_Validation!$A:$D,4,0)</f>
        <v>#N/A</v>
      </c>
      <c r="W834" s="153" t="e">
        <f>+VLOOKUP($L834,Data_Validation!$A:$E,5,0)</f>
        <v>#N/A</v>
      </c>
    </row>
    <row r="835" spans="1:23" ht="15.75" customHeight="1">
      <c r="A835" s="1113"/>
      <c r="B835" s="1119"/>
      <c r="C835" s="1120"/>
      <c r="D835" s="1113"/>
      <c r="E835" s="1113"/>
      <c r="F835" s="1113"/>
      <c r="G835" s="1113"/>
      <c r="H835" s="1113"/>
      <c r="I835" s="1113"/>
      <c r="J835" s="1113"/>
      <c r="K835" s="1113"/>
      <c r="L835" s="150">
        <f t="shared" si="54"/>
        <v>0</v>
      </c>
      <c r="M835" s="151">
        <f t="shared" si="55"/>
        <v>0</v>
      </c>
      <c r="N835" s="152">
        <f>+IF(OR($Q835=Parametres!$G$2,$Q835=Parametres!$G$3),I835,C835)</f>
        <v>0</v>
      </c>
      <c r="O835" s="152">
        <f>+IF(OR($Q835=Parametres!$G$2,$Q835=Parametres!$G$3),J835,D835)</f>
        <v>0</v>
      </c>
      <c r="P835" s="152">
        <f>+IF(OR($Q835=Parametres!$G$2,$Q835=Parametres!$G$3),K835,E835)</f>
        <v>0</v>
      </c>
      <c r="Q835" s="151">
        <f t="shared" si="60"/>
        <v>0</v>
      </c>
      <c r="R835" s="150">
        <f t="shared" si="60"/>
        <v>0</v>
      </c>
      <c r="S835" s="151">
        <f t="shared" si="60"/>
        <v>0</v>
      </c>
      <c r="T835" s="153" t="e">
        <f>+VLOOKUP($L835,Data_Validation!$A:$D,1,0)</f>
        <v>#N/A</v>
      </c>
      <c r="U835" s="153" t="e">
        <f>+VLOOKUP($L835,Data_Validation!$A:$D,3,0)</f>
        <v>#N/A</v>
      </c>
      <c r="V835" s="153" t="e">
        <f>+VLOOKUP($L835,Data_Validation!$A:$D,4,0)</f>
        <v>#N/A</v>
      </c>
      <c r="W835" s="153" t="e">
        <f>+VLOOKUP($L835,Data_Validation!$A:$E,5,0)</f>
        <v>#N/A</v>
      </c>
    </row>
    <row r="836" spans="1:23" ht="15.75" customHeight="1">
      <c r="A836" s="1113"/>
      <c r="B836" s="1119"/>
      <c r="C836" s="1120"/>
      <c r="D836" s="1113"/>
      <c r="E836" s="1113"/>
      <c r="F836" s="1113"/>
      <c r="G836" s="1113"/>
      <c r="H836" s="1113"/>
      <c r="I836" s="1113"/>
      <c r="J836" s="1113"/>
      <c r="K836" s="1113"/>
      <c r="L836" s="150">
        <f t="shared" si="54"/>
        <v>0</v>
      </c>
      <c r="M836" s="151">
        <f t="shared" si="55"/>
        <v>0</v>
      </c>
      <c r="N836" s="152">
        <f>+IF(OR($Q836=Parametres!$G$2,$Q836=Parametres!$G$3),I836,C836)</f>
        <v>0</v>
      </c>
      <c r="O836" s="152">
        <f>+IF(OR($Q836=Parametres!$G$2,$Q836=Parametres!$G$3),J836,D836)</f>
        <v>0</v>
      </c>
      <c r="P836" s="152">
        <f>+IF(OR($Q836=Parametres!$G$2,$Q836=Parametres!$G$3),K836,E836)</f>
        <v>0</v>
      </c>
      <c r="Q836" s="151">
        <f t="shared" si="60"/>
        <v>0</v>
      </c>
      <c r="R836" s="150">
        <f t="shared" si="60"/>
        <v>0</v>
      </c>
      <c r="S836" s="151">
        <f t="shared" si="60"/>
        <v>0</v>
      </c>
      <c r="T836" s="153" t="e">
        <f>+VLOOKUP($L836,Data_Validation!$A:$D,1,0)</f>
        <v>#N/A</v>
      </c>
      <c r="U836" s="153" t="e">
        <f>+VLOOKUP($L836,Data_Validation!$A:$D,3,0)</f>
        <v>#N/A</v>
      </c>
      <c r="V836" s="153" t="e">
        <f>+VLOOKUP($L836,Data_Validation!$A:$D,4,0)</f>
        <v>#N/A</v>
      </c>
      <c r="W836" s="153" t="e">
        <f>+VLOOKUP($L836,Data_Validation!$A:$E,5,0)</f>
        <v>#N/A</v>
      </c>
    </row>
    <row r="837" spans="1:23" ht="15.75" customHeight="1">
      <c r="A837" s="1113"/>
      <c r="B837" s="1119"/>
      <c r="C837" s="1120"/>
      <c r="D837" s="1113"/>
      <c r="E837" s="1113"/>
      <c r="F837" s="1113"/>
      <c r="G837" s="1113"/>
      <c r="H837" s="1113"/>
      <c r="I837" s="1113"/>
      <c r="J837" s="1113"/>
      <c r="K837" s="1113"/>
      <c r="L837" s="150">
        <f t="shared" si="54"/>
        <v>0</v>
      </c>
      <c r="M837" s="151">
        <f t="shared" si="55"/>
        <v>0</v>
      </c>
      <c r="N837" s="152">
        <f>+IF(OR($Q837=Parametres!$G$2,$Q837=Parametres!$G$3),I837,C837)</f>
        <v>0</v>
      </c>
      <c r="O837" s="152">
        <f>+IF(OR($Q837=Parametres!$G$2,$Q837=Parametres!$G$3),J837,D837)</f>
        <v>0</v>
      </c>
      <c r="P837" s="152">
        <f>+IF(OR($Q837=Parametres!$G$2,$Q837=Parametres!$G$3),K837,E837)</f>
        <v>0</v>
      </c>
      <c r="Q837" s="151">
        <f t="shared" si="60"/>
        <v>0</v>
      </c>
      <c r="R837" s="150">
        <f t="shared" si="60"/>
        <v>0</v>
      </c>
      <c r="S837" s="151">
        <f t="shared" si="60"/>
        <v>0</v>
      </c>
      <c r="T837" s="153" t="e">
        <f>+VLOOKUP($L837,Data_Validation!$A:$D,1,0)</f>
        <v>#N/A</v>
      </c>
      <c r="U837" s="153" t="e">
        <f>+VLOOKUP($L837,Data_Validation!$A:$D,3,0)</f>
        <v>#N/A</v>
      </c>
      <c r="V837" s="153" t="e">
        <f>+VLOOKUP($L837,Data_Validation!$A:$D,4,0)</f>
        <v>#N/A</v>
      </c>
      <c r="W837" s="153" t="e">
        <f>+VLOOKUP($L837,Data_Validation!$A:$E,5,0)</f>
        <v>#N/A</v>
      </c>
    </row>
    <row r="838" spans="1:23" ht="15.75" customHeight="1">
      <c r="A838" s="1113"/>
      <c r="B838" s="1119"/>
      <c r="C838" s="1120"/>
      <c r="D838" s="1113"/>
      <c r="E838" s="1113"/>
      <c r="F838" s="1113"/>
      <c r="G838" s="1113"/>
      <c r="H838" s="1113"/>
      <c r="I838" s="1113"/>
      <c r="J838" s="1113"/>
      <c r="K838" s="1113"/>
      <c r="L838" s="150">
        <f t="shared" si="54"/>
        <v>0</v>
      </c>
      <c r="M838" s="151">
        <f t="shared" si="55"/>
        <v>0</v>
      </c>
      <c r="N838" s="152">
        <f>+IF(OR($Q838=Parametres!$G$2,$Q838=Parametres!$G$3),I838,C838)</f>
        <v>0</v>
      </c>
      <c r="O838" s="152">
        <f>+IF(OR($Q838=Parametres!$G$2,$Q838=Parametres!$G$3),J838,D838)</f>
        <v>0</v>
      </c>
      <c r="P838" s="152">
        <f>+IF(OR($Q838=Parametres!$G$2,$Q838=Parametres!$G$3),K838,E838)</f>
        <v>0</v>
      </c>
      <c r="Q838" s="151">
        <f t="shared" si="60"/>
        <v>0</v>
      </c>
      <c r="R838" s="150">
        <f t="shared" si="60"/>
        <v>0</v>
      </c>
      <c r="S838" s="151">
        <f t="shared" si="60"/>
        <v>0</v>
      </c>
      <c r="T838" s="153" t="e">
        <f>+VLOOKUP($L838,Data_Validation!$A:$D,1,0)</f>
        <v>#N/A</v>
      </c>
      <c r="U838" s="153" t="e">
        <f>+VLOOKUP($L838,Data_Validation!$A:$D,3,0)</f>
        <v>#N/A</v>
      </c>
      <c r="V838" s="153" t="e">
        <f>+VLOOKUP($L838,Data_Validation!$A:$D,4,0)</f>
        <v>#N/A</v>
      </c>
      <c r="W838" s="153" t="e">
        <f>+VLOOKUP($L838,Data_Validation!$A:$E,5,0)</f>
        <v>#N/A</v>
      </c>
    </row>
    <row r="839" spans="1:23" ht="15.75" customHeight="1">
      <c r="A839" s="1113"/>
      <c r="B839" s="1119"/>
      <c r="C839" s="1120"/>
      <c r="D839" s="1113"/>
      <c r="E839" s="1113"/>
      <c r="F839" s="1113"/>
      <c r="G839" s="1113"/>
      <c r="H839" s="1113"/>
      <c r="I839" s="1113"/>
      <c r="J839" s="1113"/>
      <c r="K839" s="1113"/>
      <c r="L839" s="150">
        <f t="shared" si="54"/>
        <v>0</v>
      </c>
      <c r="M839" s="151">
        <f t="shared" si="55"/>
        <v>0</v>
      </c>
      <c r="N839" s="152">
        <f>+IF(OR($Q839=Parametres!$G$2,$Q839=Parametres!$G$3),I839,C839)</f>
        <v>0</v>
      </c>
      <c r="O839" s="152">
        <f>+IF(OR($Q839=Parametres!$G$2,$Q839=Parametres!$G$3),J839,D839)</f>
        <v>0</v>
      </c>
      <c r="P839" s="152">
        <f>+IF(OR($Q839=Parametres!$G$2,$Q839=Parametres!$G$3),K839,E839)</f>
        <v>0</v>
      </c>
      <c r="Q839" s="151">
        <f t="shared" si="60"/>
        <v>0</v>
      </c>
      <c r="R839" s="150">
        <f t="shared" si="60"/>
        <v>0</v>
      </c>
      <c r="S839" s="151">
        <f t="shared" si="60"/>
        <v>0</v>
      </c>
      <c r="T839" s="153" t="e">
        <f>+VLOOKUP($L839,Data_Validation!$A:$D,1,0)</f>
        <v>#N/A</v>
      </c>
      <c r="U839" s="153" t="e">
        <f>+VLOOKUP($L839,Data_Validation!$A:$D,3,0)</f>
        <v>#N/A</v>
      </c>
      <c r="V839" s="153" t="e">
        <f>+VLOOKUP($L839,Data_Validation!$A:$D,4,0)</f>
        <v>#N/A</v>
      </c>
      <c r="W839" s="153" t="e">
        <f>+VLOOKUP($L839,Data_Validation!$A:$E,5,0)</f>
        <v>#N/A</v>
      </c>
    </row>
    <row r="840" spans="1:23" ht="15.75" customHeight="1">
      <c r="A840" s="1113"/>
      <c r="B840" s="1119"/>
      <c r="C840" s="1120"/>
      <c r="D840" s="1113"/>
      <c r="E840" s="1113"/>
      <c r="F840" s="1113"/>
      <c r="G840" s="1113"/>
      <c r="H840" s="1113"/>
      <c r="I840" s="1113"/>
      <c r="J840" s="1113"/>
      <c r="K840" s="1113"/>
      <c r="L840" s="150">
        <f t="shared" si="54"/>
        <v>0</v>
      </c>
      <c r="M840" s="151">
        <f t="shared" si="55"/>
        <v>0</v>
      </c>
      <c r="N840" s="152">
        <f>+IF(OR($Q840=Parametres!$G$2,$Q840=Parametres!$G$3),I840,C840)</f>
        <v>0</v>
      </c>
      <c r="O840" s="152">
        <f>+IF(OR($Q840=Parametres!$G$2,$Q840=Parametres!$G$3),J840,D840)</f>
        <v>0</v>
      </c>
      <c r="P840" s="152">
        <f>+IF(OR($Q840=Parametres!$G$2,$Q840=Parametres!$G$3),K840,E840)</f>
        <v>0</v>
      </c>
      <c r="Q840" s="151">
        <f t="shared" si="60"/>
        <v>0</v>
      </c>
      <c r="R840" s="150">
        <f t="shared" si="60"/>
        <v>0</v>
      </c>
      <c r="S840" s="151">
        <f t="shared" si="60"/>
        <v>0</v>
      </c>
      <c r="T840" s="153" t="e">
        <f>+VLOOKUP($L840,Data_Validation!$A:$D,1,0)</f>
        <v>#N/A</v>
      </c>
      <c r="U840" s="153" t="e">
        <f>+VLOOKUP($L840,Data_Validation!$A:$D,3,0)</f>
        <v>#N/A</v>
      </c>
      <c r="V840" s="153" t="e">
        <f>+VLOOKUP($L840,Data_Validation!$A:$D,4,0)</f>
        <v>#N/A</v>
      </c>
      <c r="W840" s="153" t="e">
        <f>+VLOOKUP($L840,Data_Validation!$A:$E,5,0)</f>
        <v>#N/A</v>
      </c>
    </row>
    <row r="841" spans="1:23" ht="15.75" customHeight="1">
      <c r="A841" s="1113"/>
      <c r="B841" s="1119"/>
      <c r="C841" s="1120"/>
      <c r="D841" s="1113"/>
      <c r="E841" s="1113"/>
      <c r="F841" s="1113"/>
      <c r="G841" s="1113"/>
      <c r="H841" s="1113"/>
      <c r="I841" s="1113"/>
      <c r="J841" s="1113"/>
      <c r="K841" s="1113"/>
      <c r="L841" s="150">
        <f t="shared" si="54"/>
        <v>0</v>
      </c>
      <c r="M841" s="151">
        <f t="shared" si="55"/>
        <v>0</v>
      </c>
      <c r="N841" s="152">
        <f>+IF(OR($Q841=Parametres!$G$2,$Q841=Parametres!$G$3),I841,C841)</f>
        <v>0</v>
      </c>
      <c r="O841" s="152">
        <f>+IF(OR($Q841=Parametres!$G$2,$Q841=Parametres!$G$3),J841,D841)</f>
        <v>0</v>
      </c>
      <c r="P841" s="152">
        <f>+IF(OR($Q841=Parametres!$G$2,$Q841=Parametres!$G$3),K841,E841)</f>
        <v>0</v>
      </c>
      <c r="Q841" s="151">
        <f t="shared" si="60"/>
        <v>0</v>
      </c>
      <c r="R841" s="150">
        <f t="shared" si="60"/>
        <v>0</v>
      </c>
      <c r="S841" s="151">
        <f t="shared" si="60"/>
        <v>0</v>
      </c>
      <c r="T841" s="153" t="e">
        <f>+VLOOKUP($L841,Data_Validation!$A:$D,1,0)</f>
        <v>#N/A</v>
      </c>
      <c r="U841" s="153" t="e">
        <f>+VLOOKUP($L841,Data_Validation!$A:$D,3,0)</f>
        <v>#N/A</v>
      </c>
      <c r="V841" s="153" t="e">
        <f>+VLOOKUP($L841,Data_Validation!$A:$D,4,0)</f>
        <v>#N/A</v>
      </c>
      <c r="W841" s="153" t="e">
        <f>+VLOOKUP($L841,Data_Validation!$A:$E,5,0)</f>
        <v>#N/A</v>
      </c>
    </row>
    <row r="842" spans="1:23" ht="15.75" customHeight="1">
      <c r="A842" s="1113"/>
      <c r="B842" s="1119"/>
      <c r="C842" s="1120"/>
      <c r="D842" s="1113"/>
      <c r="E842" s="1113"/>
      <c r="F842" s="1113"/>
      <c r="G842" s="1113"/>
      <c r="H842" s="1113"/>
      <c r="I842" s="1113"/>
      <c r="J842" s="1113"/>
      <c r="K842" s="1113"/>
      <c r="L842" s="150">
        <f t="shared" si="54"/>
        <v>0</v>
      </c>
      <c r="M842" s="151">
        <f t="shared" si="55"/>
        <v>0</v>
      </c>
      <c r="N842" s="152">
        <f>+IF(OR($Q842=Parametres!$G$2,$Q842=Parametres!$G$3),I842,C842)</f>
        <v>0</v>
      </c>
      <c r="O842" s="152">
        <f>+IF(OR($Q842=Parametres!$G$2,$Q842=Parametres!$G$3),J842,D842)</f>
        <v>0</v>
      </c>
      <c r="P842" s="152">
        <f>+IF(OR($Q842=Parametres!$G$2,$Q842=Parametres!$G$3),K842,E842)</f>
        <v>0</v>
      </c>
      <c r="Q842" s="151">
        <f t="shared" si="60"/>
        <v>0</v>
      </c>
      <c r="R842" s="150">
        <f t="shared" si="60"/>
        <v>0</v>
      </c>
      <c r="S842" s="151">
        <f t="shared" si="60"/>
        <v>0</v>
      </c>
      <c r="T842" s="153" t="e">
        <f>+VLOOKUP($L842,Data_Validation!$A:$D,1,0)</f>
        <v>#N/A</v>
      </c>
      <c r="U842" s="153" t="e">
        <f>+VLOOKUP($L842,Data_Validation!$A:$D,3,0)</f>
        <v>#N/A</v>
      </c>
      <c r="V842" s="153" t="e">
        <f>+VLOOKUP($L842,Data_Validation!$A:$D,4,0)</f>
        <v>#N/A</v>
      </c>
      <c r="W842" s="153" t="e">
        <f>+VLOOKUP($L842,Data_Validation!$A:$E,5,0)</f>
        <v>#N/A</v>
      </c>
    </row>
    <row r="843" spans="1:23" ht="15.75" customHeight="1">
      <c r="A843" s="1113"/>
      <c r="B843" s="1119"/>
      <c r="C843" s="1120"/>
      <c r="D843" s="1113"/>
      <c r="E843" s="1113"/>
      <c r="F843" s="1113"/>
      <c r="G843" s="1113"/>
      <c r="H843" s="1113"/>
      <c r="I843" s="1113"/>
      <c r="J843" s="1113"/>
      <c r="K843" s="1113"/>
      <c r="L843" s="150">
        <f t="shared" si="54"/>
        <v>0</v>
      </c>
      <c r="M843" s="151">
        <f t="shared" si="55"/>
        <v>0</v>
      </c>
      <c r="N843" s="152">
        <f>+IF(OR($Q843=Parametres!$G$2,$Q843=Parametres!$G$3),I843,C843)</f>
        <v>0</v>
      </c>
      <c r="O843" s="152">
        <f>+IF(OR($Q843=Parametres!$G$2,$Q843=Parametres!$G$3),J843,D843)</f>
        <v>0</v>
      </c>
      <c r="P843" s="152">
        <f>+IF(OR($Q843=Parametres!$G$2,$Q843=Parametres!$G$3),K843,E843)</f>
        <v>0</v>
      </c>
      <c r="Q843" s="151">
        <f t="shared" si="60"/>
        <v>0</v>
      </c>
      <c r="R843" s="150">
        <f t="shared" si="60"/>
        <v>0</v>
      </c>
      <c r="S843" s="151">
        <f t="shared" si="60"/>
        <v>0</v>
      </c>
      <c r="T843" s="153" t="e">
        <f>+VLOOKUP($L843,Data_Validation!$A:$D,1,0)</f>
        <v>#N/A</v>
      </c>
      <c r="U843" s="153" t="e">
        <f>+VLOOKUP($L843,Data_Validation!$A:$D,3,0)</f>
        <v>#N/A</v>
      </c>
      <c r="V843" s="153" t="e">
        <f>+VLOOKUP($L843,Data_Validation!$A:$D,4,0)</f>
        <v>#N/A</v>
      </c>
      <c r="W843" s="153" t="e">
        <f>+VLOOKUP($L843,Data_Validation!$A:$E,5,0)</f>
        <v>#N/A</v>
      </c>
    </row>
    <row r="844" spans="1:23" ht="15.75" customHeight="1">
      <c r="A844" s="1113"/>
      <c r="B844" s="1119"/>
      <c r="C844" s="1120"/>
      <c r="D844" s="1113"/>
      <c r="E844" s="1113"/>
      <c r="F844" s="1113"/>
      <c r="G844" s="1113"/>
      <c r="H844" s="1113"/>
      <c r="I844" s="1113"/>
      <c r="J844" s="1113"/>
      <c r="K844" s="1113"/>
      <c r="L844" s="150">
        <f t="shared" si="54"/>
        <v>0</v>
      </c>
      <c r="M844" s="151">
        <f t="shared" si="55"/>
        <v>0</v>
      </c>
      <c r="N844" s="152">
        <f>+IF(OR($Q844=Parametres!$G$2,$Q844=Parametres!$G$3),I844,C844)</f>
        <v>0</v>
      </c>
      <c r="O844" s="152">
        <f>+IF(OR($Q844=Parametres!$G$2,$Q844=Parametres!$G$3),J844,D844)</f>
        <v>0</v>
      </c>
      <c r="P844" s="152">
        <f>+IF(OR($Q844=Parametres!$G$2,$Q844=Parametres!$G$3),K844,E844)</f>
        <v>0</v>
      </c>
      <c r="Q844" s="151">
        <f t="shared" si="60"/>
        <v>0</v>
      </c>
      <c r="R844" s="150">
        <f t="shared" si="60"/>
        <v>0</v>
      </c>
      <c r="S844" s="151">
        <f t="shared" si="60"/>
        <v>0</v>
      </c>
      <c r="T844" s="153" t="e">
        <f>+VLOOKUP($L844,Data_Validation!$A:$D,1,0)</f>
        <v>#N/A</v>
      </c>
      <c r="U844" s="153" t="e">
        <f>+VLOOKUP($L844,Data_Validation!$A:$D,3,0)</f>
        <v>#N/A</v>
      </c>
      <c r="V844" s="153" t="e">
        <f>+VLOOKUP($L844,Data_Validation!$A:$D,4,0)</f>
        <v>#N/A</v>
      </c>
      <c r="W844" s="153" t="e">
        <f>+VLOOKUP($L844,Data_Validation!$A:$E,5,0)</f>
        <v>#N/A</v>
      </c>
    </row>
    <row r="845" spans="1:23" ht="15.75" customHeight="1">
      <c r="A845" s="1113"/>
      <c r="B845" s="1119"/>
      <c r="C845" s="1120"/>
      <c r="D845" s="1113"/>
      <c r="E845" s="1113"/>
      <c r="F845" s="1113"/>
      <c r="G845" s="1113"/>
      <c r="H845" s="1113"/>
      <c r="I845" s="1113"/>
      <c r="J845" s="1113"/>
      <c r="K845" s="1113"/>
      <c r="L845" s="150">
        <f t="shared" si="54"/>
        <v>0</v>
      </c>
      <c r="M845" s="151">
        <f t="shared" si="55"/>
        <v>0</v>
      </c>
      <c r="N845" s="152">
        <f>+IF(OR($Q845=Parametres!$G$2,$Q845=Parametres!$G$3),I845,C845)</f>
        <v>0</v>
      </c>
      <c r="O845" s="152">
        <f>+IF(OR($Q845=Parametres!$G$2,$Q845=Parametres!$G$3),J845,D845)</f>
        <v>0</v>
      </c>
      <c r="P845" s="152">
        <f>+IF(OR($Q845=Parametres!$G$2,$Q845=Parametres!$G$3),K845,E845)</f>
        <v>0</v>
      </c>
      <c r="Q845" s="151">
        <f t="shared" si="60"/>
        <v>0</v>
      </c>
      <c r="R845" s="150">
        <f t="shared" si="60"/>
        <v>0</v>
      </c>
      <c r="S845" s="151">
        <f t="shared" si="60"/>
        <v>0</v>
      </c>
      <c r="T845" s="153" t="e">
        <f>+VLOOKUP($L845,Data_Validation!$A:$D,1,0)</f>
        <v>#N/A</v>
      </c>
      <c r="U845" s="153" t="e">
        <f>+VLOOKUP($L845,Data_Validation!$A:$D,3,0)</f>
        <v>#N/A</v>
      </c>
      <c r="V845" s="153" t="e">
        <f>+VLOOKUP($L845,Data_Validation!$A:$D,4,0)</f>
        <v>#N/A</v>
      </c>
      <c r="W845" s="153" t="e">
        <f>+VLOOKUP($L845,Data_Validation!$A:$E,5,0)</f>
        <v>#N/A</v>
      </c>
    </row>
    <row r="846" spans="1:23" ht="15.75" customHeight="1">
      <c r="A846" s="1113"/>
      <c r="B846" s="1119"/>
      <c r="C846" s="1120"/>
      <c r="D846" s="1113"/>
      <c r="E846" s="1113"/>
      <c r="F846" s="1113"/>
      <c r="G846" s="1113"/>
      <c r="H846" s="1113"/>
      <c r="I846" s="1113"/>
      <c r="J846" s="1113"/>
      <c r="K846" s="1113"/>
      <c r="L846" s="150">
        <f t="shared" si="54"/>
        <v>0</v>
      </c>
      <c r="M846" s="151">
        <f t="shared" si="55"/>
        <v>0</v>
      </c>
      <c r="N846" s="152">
        <f>+IF(OR($Q846=Parametres!$G$2,$Q846=Parametres!$G$3),I846,C846)</f>
        <v>0</v>
      </c>
      <c r="O846" s="152">
        <f>+IF(OR($Q846=Parametres!$G$2,$Q846=Parametres!$G$3),J846,D846)</f>
        <v>0</v>
      </c>
      <c r="P846" s="152">
        <f>+IF(OR($Q846=Parametres!$G$2,$Q846=Parametres!$G$3),K846,E846)</f>
        <v>0</v>
      </c>
      <c r="Q846" s="151">
        <f t="shared" si="60"/>
        <v>0</v>
      </c>
      <c r="R846" s="150">
        <f t="shared" si="60"/>
        <v>0</v>
      </c>
      <c r="S846" s="151">
        <f t="shared" si="60"/>
        <v>0</v>
      </c>
      <c r="T846" s="153" t="e">
        <f>+VLOOKUP($L846,Data_Validation!$A:$D,1,0)</f>
        <v>#N/A</v>
      </c>
      <c r="U846" s="153" t="e">
        <f>+VLOOKUP($L846,Data_Validation!$A:$D,3,0)</f>
        <v>#N/A</v>
      </c>
      <c r="V846" s="153" t="e">
        <f>+VLOOKUP($L846,Data_Validation!$A:$D,4,0)</f>
        <v>#N/A</v>
      </c>
      <c r="W846" s="153" t="e">
        <f>+VLOOKUP($L846,Data_Validation!$A:$E,5,0)</f>
        <v>#N/A</v>
      </c>
    </row>
    <row r="847" spans="1:23" ht="15.75" customHeight="1">
      <c r="A847" s="1113"/>
      <c r="B847" s="1119"/>
      <c r="C847" s="1120"/>
      <c r="D847" s="1113"/>
      <c r="E847" s="1113"/>
      <c r="F847" s="1113"/>
      <c r="G847" s="1113"/>
      <c r="H847" s="1113"/>
      <c r="I847" s="1113"/>
      <c r="J847" s="1113"/>
      <c r="K847" s="1113"/>
      <c r="L847" s="150">
        <f t="shared" si="54"/>
        <v>0</v>
      </c>
      <c r="M847" s="151">
        <f t="shared" si="55"/>
        <v>0</v>
      </c>
      <c r="N847" s="152">
        <f>+IF(OR($Q847=Parametres!$G$2,$Q847=Parametres!$G$3),I847,C847)</f>
        <v>0</v>
      </c>
      <c r="O847" s="152">
        <f>+IF(OR($Q847=Parametres!$G$2,$Q847=Parametres!$G$3),J847,D847)</f>
        <v>0</v>
      </c>
      <c r="P847" s="152">
        <f>+IF(OR($Q847=Parametres!$G$2,$Q847=Parametres!$G$3),K847,E847)</f>
        <v>0</v>
      </c>
      <c r="Q847" s="151">
        <f t="shared" si="60"/>
        <v>0</v>
      </c>
      <c r="R847" s="150">
        <f t="shared" si="60"/>
        <v>0</v>
      </c>
      <c r="S847" s="151">
        <f t="shared" si="60"/>
        <v>0</v>
      </c>
      <c r="T847" s="153" t="e">
        <f>+VLOOKUP($L847,Data_Validation!$A:$D,1,0)</f>
        <v>#N/A</v>
      </c>
      <c r="U847" s="153" t="e">
        <f>+VLOOKUP($L847,Data_Validation!$A:$D,3,0)</f>
        <v>#N/A</v>
      </c>
      <c r="V847" s="153" t="e">
        <f>+VLOOKUP($L847,Data_Validation!$A:$D,4,0)</f>
        <v>#N/A</v>
      </c>
      <c r="W847" s="153" t="e">
        <f>+VLOOKUP($L847,Data_Validation!$A:$E,5,0)</f>
        <v>#N/A</v>
      </c>
    </row>
    <row r="848" spans="1:23" ht="15.75" customHeight="1">
      <c r="A848" s="1113"/>
      <c r="B848" s="1119"/>
      <c r="C848" s="1120"/>
      <c r="D848" s="1113"/>
      <c r="E848" s="1113"/>
      <c r="F848" s="1113"/>
      <c r="G848" s="1113"/>
      <c r="H848" s="1113"/>
      <c r="I848" s="1113"/>
      <c r="J848" s="1113"/>
      <c r="K848" s="1113"/>
      <c r="L848" s="150">
        <f t="shared" si="54"/>
        <v>0</v>
      </c>
      <c r="M848" s="151">
        <f t="shared" si="55"/>
        <v>0</v>
      </c>
      <c r="N848" s="152">
        <f>+IF(OR($Q848=Parametres!$G$2,$Q848=Parametres!$G$3),I848,C848)</f>
        <v>0</v>
      </c>
      <c r="O848" s="152">
        <f>+IF(OR($Q848=Parametres!$G$2,$Q848=Parametres!$G$3),J848,D848)</f>
        <v>0</v>
      </c>
      <c r="P848" s="152">
        <f>+IF(OR($Q848=Parametres!$G$2,$Q848=Parametres!$G$3),K848,E848)</f>
        <v>0</v>
      </c>
      <c r="Q848" s="151">
        <f t="shared" si="60"/>
        <v>0</v>
      </c>
      <c r="R848" s="150">
        <f t="shared" si="60"/>
        <v>0</v>
      </c>
      <c r="S848" s="151">
        <f t="shared" si="60"/>
        <v>0</v>
      </c>
      <c r="T848" s="153" t="e">
        <f>+VLOOKUP($L848,Data_Validation!$A:$D,1,0)</f>
        <v>#N/A</v>
      </c>
      <c r="U848" s="153" t="e">
        <f>+VLOOKUP($L848,Data_Validation!$A:$D,3,0)</f>
        <v>#N/A</v>
      </c>
      <c r="V848" s="153" t="e">
        <f>+VLOOKUP($L848,Data_Validation!$A:$D,4,0)</f>
        <v>#N/A</v>
      </c>
      <c r="W848" s="153" t="e">
        <f>+VLOOKUP($L848,Data_Validation!$A:$E,5,0)</f>
        <v>#N/A</v>
      </c>
    </row>
    <row r="849" spans="1:23" ht="15.75" customHeight="1">
      <c r="A849" s="1113"/>
      <c r="B849" s="1119"/>
      <c r="C849" s="1120"/>
      <c r="D849" s="1113"/>
      <c r="E849" s="1113"/>
      <c r="F849" s="1113"/>
      <c r="G849" s="1113"/>
      <c r="H849" s="1113"/>
      <c r="I849" s="1113"/>
      <c r="J849" s="1113"/>
      <c r="K849" s="1113"/>
      <c r="L849" s="150">
        <f t="shared" si="54"/>
        <v>0</v>
      </c>
      <c r="M849" s="151">
        <f t="shared" si="55"/>
        <v>0</v>
      </c>
      <c r="N849" s="152">
        <f>+IF(OR($Q849=Parametres!$G$2,$Q849=Parametres!$G$3),I849,C849)</f>
        <v>0</v>
      </c>
      <c r="O849" s="152">
        <f>+IF(OR($Q849=Parametres!$G$2,$Q849=Parametres!$G$3),J849,D849)</f>
        <v>0</v>
      </c>
      <c r="P849" s="152">
        <f>+IF(OR($Q849=Parametres!$G$2,$Q849=Parametres!$G$3),K849,E849)</f>
        <v>0</v>
      </c>
      <c r="Q849" s="151">
        <f t="shared" si="60"/>
        <v>0</v>
      </c>
      <c r="R849" s="150">
        <f t="shared" si="60"/>
        <v>0</v>
      </c>
      <c r="S849" s="151">
        <f t="shared" si="60"/>
        <v>0</v>
      </c>
      <c r="T849" s="153" t="e">
        <f>+VLOOKUP($L849,Data_Validation!$A:$D,1,0)</f>
        <v>#N/A</v>
      </c>
      <c r="U849" s="153" t="e">
        <f>+VLOOKUP($L849,Data_Validation!$A:$D,3,0)</f>
        <v>#N/A</v>
      </c>
      <c r="V849" s="153" t="e">
        <f>+VLOOKUP($L849,Data_Validation!$A:$D,4,0)</f>
        <v>#N/A</v>
      </c>
      <c r="W849" s="153" t="e">
        <f>+VLOOKUP($L849,Data_Validation!$A:$E,5,0)</f>
        <v>#N/A</v>
      </c>
    </row>
    <row r="850" spans="1:23" ht="15.75" customHeight="1">
      <c r="A850" s="1113"/>
      <c r="B850" s="1119"/>
      <c r="C850" s="1120"/>
      <c r="D850" s="1113"/>
      <c r="E850" s="1113"/>
      <c r="F850" s="1113"/>
      <c r="G850" s="1113"/>
      <c r="H850" s="1113"/>
      <c r="I850" s="1113"/>
      <c r="J850" s="1113"/>
      <c r="K850" s="1113"/>
      <c r="L850" s="150">
        <f t="shared" si="54"/>
        <v>0</v>
      </c>
      <c r="M850" s="151">
        <f t="shared" si="55"/>
        <v>0</v>
      </c>
      <c r="N850" s="152">
        <f>+IF(OR($Q850=Parametres!$G$2,$Q850=Parametres!$G$3),I850,C850)</f>
        <v>0</v>
      </c>
      <c r="O850" s="152">
        <f>+IF(OR($Q850=Parametres!$G$2,$Q850=Parametres!$G$3),J850,D850)</f>
        <v>0</v>
      </c>
      <c r="P850" s="152">
        <f>+IF(OR($Q850=Parametres!$G$2,$Q850=Parametres!$G$3),K850,E850)</f>
        <v>0</v>
      </c>
      <c r="Q850" s="151">
        <f t="shared" ref="Q850:S865" si="61">+F850</f>
        <v>0</v>
      </c>
      <c r="R850" s="150">
        <f t="shared" si="61"/>
        <v>0</v>
      </c>
      <c r="S850" s="151">
        <f t="shared" si="61"/>
        <v>0</v>
      </c>
      <c r="T850" s="153" t="e">
        <f>+VLOOKUP($L850,Data_Validation!$A:$D,1,0)</f>
        <v>#N/A</v>
      </c>
      <c r="U850" s="153" t="e">
        <f>+VLOOKUP($L850,Data_Validation!$A:$D,3,0)</f>
        <v>#N/A</v>
      </c>
      <c r="V850" s="153" t="e">
        <f>+VLOOKUP($L850,Data_Validation!$A:$D,4,0)</f>
        <v>#N/A</v>
      </c>
      <c r="W850" s="153" t="e">
        <f>+VLOOKUP($L850,Data_Validation!$A:$E,5,0)</f>
        <v>#N/A</v>
      </c>
    </row>
    <row r="851" spans="1:23" ht="15.75" customHeight="1">
      <c r="A851" s="1113"/>
      <c r="B851" s="1119"/>
      <c r="C851" s="1120"/>
      <c r="D851" s="1113"/>
      <c r="E851" s="1113"/>
      <c r="F851" s="1113"/>
      <c r="G851" s="1113"/>
      <c r="H851" s="1113"/>
      <c r="I851" s="1113"/>
      <c r="J851" s="1113"/>
      <c r="K851" s="1113"/>
      <c r="L851" s="150">
        <f t="shared" si="54"/>
        <v>0</v>
      </c>
      <c r="M851" s="151">
        <f t="shared" si="55"/>
        <v>0</v>
      </c>
      <c r="N851" s="152">
        <f>+IF(OR($Q851=Parametres!$G$2,$Q851=Parametres!$G$3),I851,C851)</f>
        <v>0</v>
      </c>
      <c r="O851" s="152">
        <f>+IF(OR($Q851=Parametres!$G$2,$Q851=Parametres!$G$3),J851,D851)</f>
        <v>0</v>
      </c>
      <c r="P851" s="152">
        <f>+IF(OR($Q851=Parametres!$G$2,$Q851=Parametres!$G$3),K851,E851)</f>
        <v>0</v>
      </c>
      <c r="Q851" s="151">
        <f t="shared" si="61"/>
        <v>0</v>
      </c>
      <c r="R851" s="150">
        <f t="shared" si="61"/>
        <v>0</v>
      </c>
      <c r="S851" s="151">
        <f t="shared" si="61"/>
        <v>0</v>
      </c>
      <c r="T851" s="153" t="e">
        <f>+VLOOKUP($L851,Data_Validation!$A:$D,1,0)</f>
        <v>#N/A</v>
      </c>
      <c r="U851" s="153" t="e">
        <f>+VLOOKUP($L851,Data_Validation!$A:$D,3,0)</f>
        <v>#N/A</v>
      </c>
      <c r="V851" s="153" t="e">
        <f>+VLOOKUP($L851,Data_Validation!$A:$D,4,0)</f>
        <v>#N/A</v>
      </c>
      <c r="W851" s="153" t="e">
        <f>+VLOOKUP($L851,Data_Validation!$A:$E,5,0)</f>
        <v>#N/A</v>
      </c>
    </row>
    <row r="852" spans="1:23" ht="15.75" customHeight="1">
      <c r="A852" s="1113"/>
      <c r="B852" s="1119"/>
      <c r="C852" s="1120"/>
      <c r="D852" s="1113"/>
      <c r="E852" s="1113"/>
      <c r="F852" s="1113"/>
      <c r="G852" s="1113"/>
      <c r="H852" s="1113"/>
      <c r="I852" s="1113"/>
      <c r="J852" s="1113"/>
      <c r="K852" s="1113"/>
      <c r="L852" s="150">
        <f t="shared" si="54"/>
        <v>0</v>
      </c>
      <c r="M852" s="151">
        <f t="shared" si="55"/>
        <v>0</v>
      </c>
      <c r="N852" s="152">
        <f>+IF(OR($Q852=Parametres!$G$2,$Q852=Parametres!$G$3),I852,C852)</f>
        <v>0</v>
      </c>
      <c r="O852" s="152">
        <f>+IF(OR($Q852=Parametres!$G$2,$Q852=Parametres!$G$3),J852,D852)</f>
        <v>0</v>
      </c>
      <c r="P852" s="152">
        <f>+IF(OR($Q852=Parametres!$G$2,$Q852=Parametres!$G$3),K852,E852)</f>
        <v>0</v>
      </c>
      <c r="Q852" s="151">
        <f t="shared" si="61"/>
        <v>0</v>
      </c>
      <c r="R852" s="150">
        <f t="shared" si="61"/>
        <v>0</v>
      </c>
      <c r="S852" s="151">
        <f t="shared" si="61"/>
        <v>0</v>
      </c>
      <c r="T852" s="153" t="e">
        <f>+VLOOKUP($L852,Data_Validation!$A:$D,1,0)</f>
        <v>#N/A</v>
      </c>
      <c r="U852" s="153" t="e">
        <f>+VLOOKUP($L852,Data_Validation!$A:$D,3,0)</f>
        <v>#N/A</v>
      </c>
      <c r="V852" s="153" t="e">
        <f>+VLOOKUP($L852,Data_Validation!$A:$D,4,0)</f>
        <v>#N/A</v>
      </c>
      <c r="W852" s="153" t="e">
        <f>+VLOOKUP($L852,Data_Validation!$A:$E,5,0)</f>
        <v>#N/A</v>
      </c>
    </row>
    <row r="853" spans="1:23" ht="15.75" customHeight="1">
      <c r="A853" s="1113"/>
      <c r="B853" s="1119"/>
      <c r="C853" s="1120"/>
      <c r="D853" s="1113"/>
      <c r="E853" s="1113"/>
      <c r="F853" s="1113"/>
      <c r="G853" s="1113"/>
      <c r="H853" s="1113"/>
      <c r="I853" s="1113"/>
      <c r="J853" s="1113"/>
      <c r="K853" s="1113"/>
      <c r="L853" s="150">
        <f t="shared" si="54"/>
        <v>0</v>
      </c>
      <c r="M853" s="151">
        <f t="shared" si="55"/>
        <v>0</v>
      </c>
      <c r="N853" s="152">
        <f>+IF(OR($Q853=Parametres!$G$2,$Q853=Parametres!$G$3),I853,C853)</f>
        <v>0</v>
      </c>
      <c r="O853" s="152">
        <f>+IF(OR($Q853=Parametres!$G$2,$Q853=Parametres!$G$3),J853,D853)</f>
        <v>0</v>
      </c>
      <c r="P853" s="152">
        <f>+IF(OR($Q853=Parametres!$G$2,$Q853=Parametres!$G$3),K853,E853)</f>
        <v>0</v>
      </c>
      <c r="Q853" s="151">
        <f t="shared" si="61"/>
        <v>0</v>
      </c>
      <c r="R853" s="150">
        <f t="shared" si="61"/>
        <v>0</v>
      </c>
      <c r="S853" s="151">
        <f t="shared" si="61"/>
        <v>0</v>
      </c>
      <c r="T853" s="153" t="e">
        <f>+VLOOKUP($L853,Data_Validation!$A:$D,1,0)</f>
        <v>#N/A</v>
      </c>
      <c r="U853" s="153" t="e">
        <f>+VLOOKUP($L853,Data_Validation!$A:$D,3,0)</f>
        <v>#N/A</v>
      </c>
      <c r="V853" s="153" t="e">
        <f>+VLOOKUP($L853,Data_Validation!$A:$D,4,0)</f>
        <v>#N/A</v>
      </c>
      <c r="W853" s="153" t="e">
        <f>+VLOOKUP($L853,Data_Validation!$A:$E,5,0)</f>
        <v>#N/A</v>
      </c>
    </row>
    <row r="854" spans="1:23" ht="15.75" customHeight="1">
      <c r="A854" s="1113"/>
      <c r="B854" s="1119"/>
      <c r="C854" s="1120"/>
      <c r="D854" s="1113"/>
      <c r="E854" s="1113"/>
      <c r="F854" s="1113"/>
      <c r="G854" s="1113"/>
      <c r="H854" s="1113"/>
      <c r="I854" s="1113"/>
      <c r="J854" s="1113"/>
      <c r="K854" s="1113"/>
      <c r="L854" s="150">
        <f t="shared" si="54"/>
        <v>0</v>
      </c>
      <c r="M854" s="151">
        <f t="shared" si="55"/>
        <v>0</v>
      </c>
      <c r="N854" s="152">
        <f>+IF(OR($Q854=Parametres!$G$2,$Q854=Parametres!$G$3),I854,C854)</f>
        <v>0</v>
      </c>
      <c r="O854" s="152">
        <f>+IF(OR($Q854=Parametres!$G$2,$Q854=Parametres!$G$3),J854,D854)</f>
        <v>0</v>
      </c>
      <c r="P854" s="152">
        <f>+IF(OR($Q854=Parametres!$G$2,$Q854=Parametres!$G$3),K854,E854)</f>
        <v>0</v>
      </c>
      <c r="Q854" s="151">
        <f t="shared" si="61"/>
        <v>0</v>
      </c>
      <c r="R854" s="150">
        <f t="shared" si="61"/>
        <v>0</v>
      </c>
      <c r="S854" s="151">
        <f t="shared" si="61"/>
        <v>0</v>
      </c>
      <c r="T854" s="153" t="e">
        <f>+VLOOKUP($L854,Data_Validation!$A:$D,1,0)</f>
        <v>#N/A</v>
      </c>
      <c r="U854" s="153" t="e">
        <f>+VLOOKUP($L854,Data_Validation!$A:$D,3,0)</f>
        <v>#N/A</v>
      </c>
      <c r="V854" s="153" t="e">
        <f>+VLOOKUP($L854,Data_Validation!$A:$D,4,0)</f>
        <v>#N/A</v>
      </c>
      <c r="W854" s="153" t="e">
        <f>+VLOOKUP($L854,Data_Validation!$A:$E,5,0)</f>
        <v>#N/A</v>
      </c>
    </row>
    <row r="855" spans="1:23" ht="15.75" customHeight="1">
      <c r="A855" s="1113"/>
      <c r="B855" s="1119"/>
      <c r="C855" s="1120"/>
      <c r="D855" s="1113"/>
      <c r="E855" s="1113"/>
      <c r="F855" s="1113"/>
      <c r="G855" s="1113"/>
      <c r="H855" s="1113"/>
      <c r="I855" s="1113"/>
      <c r="J855" s="1113"/>
      <c r="K855" s="1113"/>
      <c r="L855" s="150">
        <f t="shared" si="54"/>
        <v>0</v>
      </c>
      <c r="M855" s="151">
        <f t="shared" si="55"/>
        <v>0</v>
      </c>
      <c r="N855" s="152">
        <f>+IF(OR($Q855=Parametres!$G$2,$Q855=Parametres!$G$3),I855,C855)</f>
        <v>0</v>
      </c>
      <c r="O855" s="152">
        <f>+IF(OR($Q855=Parametres!$G$2,$Q855=Parametres!$G$3),J855,D855)</f>
        <v>0</v>
      </c>
      <c r="P855" s="152">
        <f>+IF(OR($Q855=Parametres!$G$2,$Q855=Parametres!$G$3),K855,E855)</f>
        <v>0</v>
      </c>
      <c r="Q855" s="151">
        <f t="shared" si="61"/>
        <v>0</v>
      </c>
      <c r="R855" s="150">
        <f t="shared" si="61"/>
        <v>0</v>
      </c>
      <c r="S855" s="151">
        <f t="shared" si="61"/>
        <v>0</v>
      </c>
      <c r="T855" s="153" t="e">
        <f>+VLOOKUP($L855,Data_Validation!$A:$D,1,0)</f>
        <v>#N/A</v>
      </c>
      <c r="U855" s="153" t="e">
        <f>+VLOOKUP($L855,Data_Validation!$A:$D,3,0)</f>
        <v>#N/A</v>
      </c>
      <c r="V855" s="153" t="e">
        <f>+VLOOKUP($L855,Data_Validation!$A:$D,4,0)</f>
        <v>#N/A</v>
      </c>
      <c r="W855" s="153" t="e">
        <f>+VLOOKUP($L855,Data_Validation!$A:$E,5,0)</f>
        <v>#N/A</v>
      </c>
    </row>
    <row r="856" spans="1:23" ht="15.75" customHeight="1">
      <c r="A856" s="1113"/>
      <c r="B856" s="1119"/>
      <c r="C856" s="1120"/>
      <c r="D856" s="1113"/>
      <c r="E856" s="1113"/>
      <c r="F856" s="1113"/>
      <c r="G856" s="1113"/>
      <c r="H856" s="1113"/>
      <c r="I856" s="1113"/>
      <c r="J856" s="1113"/>
      <c r="K856" s="1113"/>
      <c r="L856" s="150">
        <f t="shared" si="54"/>
        <v>0</v>
      </c>
      <c r="M856" s="151">
        <f t="shared" si="55"/>
        <v>0</v>
      </c>
      <c r="N856" s="152">
        <f>+IF(OR($Q856=Parametres!$G$2,$Q856=Parametres!$G$3),I856,C856)</f>
        <v>0</v>
      </c>
      <c r="O856" s="152">
        <f>+IF(OR($Q856=Parametres!$G$2,$Q856=Parametres!$G$3),J856,D856)</f>
        <v>0</v>
      </c>
      <c r="P856" s="152">
        <f>+IF(OR($Q856=Parametres!$G$2,$Q856=Parametres!$G$3),K856,E856)</f>
        <v>0</v>
      </c>
      <c r="Q856" s="151">
        <f t="shared" si="61"/>
        <v>0</v>
      </c>
      <c r="R856" s="150">
        <f t="shared" si="61"/>
        <v>0</v>
      </c>
      <c r="S856" s="151">
        <f t="shared" si="61"/>
        <v>0</v>
      </c>
      <c r="T856" s="153" t="e">
        <f>+VLOOKUP($L856,Data_Validation!$A:$D,1,0)</f>
        <v>#N/A</v>
      </c>
      <c r="U856" s="153" t="e">
        <f>+VLOOKUP($L856,Data_Validation!$A:$D,3,0)</f>
        <v>#N/A</v>
      </c>
      <c r="V856" s="153" t="e">
        <f>+VLOOKUP($L856,Data_Validation!$A:$D,4,0)</f>
        <v>#N/A</v>
      </c>
      <c r="W856" s="153" t="e">
        <f>+VLOOKUP($L856,Data_Validation!$A:$E,5,0)</f>
        <v>#N/A</v>
      </c>
    </row>
    <row r="857" spans="1:23" ht="15.75" customHeight="1">
      <c r="A857" s="1113"/>
      <c r="B857" s="1119"/>
      <c r="C857" s="1120"/>
      <c r="D857" s="1113"/>
      <c r="E857" s="1113"/>
      <c r="F857" s="1113"/>
      <c r="G857" s="1113"/>
      <c r="H857" s="1113"/>
      <c r="I857" s="1113"/>
      <c r="J857" s="1113"/>
      <c r="K857" s="1113"/>
      <c r="L857" s="150">
        <f t="shared" si="54"/>
        <v>0</v>
      </c>
      <c r="M857" s="151">
        <f t="shared" si="55"/>
        <v>0</v>
      </c>
      <c r="N857" s="152">
        <f>+IF(OR($Q857=Parametres!$G$2,$Q857=Parametres!$G$3),I857,C857)</f>
        <v>0</v>
      </c>
      <c r="O857" s="152">
        <f>+IF(OR($Q857=Parametres!$G$2,$Q857=Parametres!$G$3),J857,D857)</f>
        <v>0</v>
      </c>
      <c r="P857" s="152">
        <f>+IF(OR($Q857=Parametres!$G$2,$Q857=Parametres!$G$3),K857,E857)</f>
        <v>0</v>
      </c>
      <c r="Q857" s="151">
        <f t="shared" si="61"/>
        <v>0</v>
      </c>
      <c r="R857" s="150">
        <f t="shared" si="61"/>
        <v>0</v>
      </c>
      <c r="S857" s="151">
        <f t="shared" si="61"/>
        <v>0</v>
      </c>
      <c r="T857" s="153" t="e">
        <f>+VLOOKUP($L857,Data_Validation!$A:$D,1,0)</f>
        <v>#N/A</v>
      </c>
      <c r="U857" s="153" t="e">
        <f>+VLOOKUP($L857,Data_Validation!$A:$D,3,0)</f>
        <v>#N/A</v>
      </c>
      <c r="V857" s="153" t="e">
        <f>+VLOOKUP($L857,Data_Validation!$A:$D,4,0)</f>
        <v>#N/A</v>
      </c>
      <c r="W857" s="153" t="e">
        <f>+VLOOKUP($L857,Data_Validation!$A:$E,5,0)</f>
        <v>#N/A</v>
      </c>
    </row>
    <row r="858" spans="1:23" ht="15.75" customHeight="1">
      <c r="A858" s="1113"/>
      <c r="B858" s="1119"/>
      <c r="C858" s="1120"/>
      <c r="D858" s="1113"/>
      <c r="E858" s="1113"/>
      <c r="F858" s="1113"/>
      <c r="G858" s="1113"/>
      <c r="H858" s="1113"/>
      <c r="I858" s="1113"/>
      <c r="J858" s="1113"/>
      <c r="K858" s="1113"/>
      <c r="L858" s="150">
        <f t="shared" si="54"/>
        <v>0</v>
      </c>
      <c r="M858" s="151">
        <f t="shared" si="55"/>
        <v>0</v>
      </c>
      <c r="N858" s="152">
        <f>+IF(OR($Q858=Parametres!$G$2,$Q858=Parametres!$G$3),I858,C858)</f>
        <v>0</v>
      </c>
      <c r="O858" s="152">
        <f>+IF(OR($Q858=Parametres!$G$2,$Q858=Parametres!$G$3),J858,D858)</f>
        <v>0</v>
      </c>
      <c r="P858" s="152">
        <f>+IF(OR($Q858=Parametres!$G$2,$Q858=Parametres!$G$3),K858,E858)</f>
        <v>0</v>
      </c>
      <c r="Q858" s="151">
        <f t="shared" si="61"/>
        <v>0</v>
      </c>
      <c r="R858" s="150">
        <f t="shared" si="61"/>
        <v>0</v>
      </c>
      <c r="S858" s="151">
        <f t="shared" si="61"/>
        <v>0</v>
      </c>
      <c r="T858" s="153" t="e">
        <f>+VLOOKUP($L858,Data_Validation!$A:$D,1,0)</f>
        <v>#N/A</v>
      </c>
      <c r="U858" s="153" t="e">
        <f>+VLOOKUP($L858,Data_Validation!$A:$D,3,0)</f>
        <v>#N/A</v>
      </c>
      <c r="V858" s="153" t="e">
        <f>+VLOOKUP($L858,Data_Validation!$A:$D,4,0)</f>
        <v>#N/A</v>
      </c>
      <c r="W858" s="153" t="e">
        <f>+VLOOKUP($L858,Data_Validation!$A:$E,5,0)</f>
        <v>#N/A</v>
      </c>
    </row>
    <row r="859" spans="1:23" ht="15.75" customHeight="1">
      <c r="A859" s="1113"/>
      <c r="B859" s="1119"/>
      <c r="C859" s="1120"/>
      <c r="D859" s="1113"/>
      <c r="E859" s="1113"/>
      <c r="F859" s="1113"/>
      <c r="G859" s="1113"/>
      <c r="H859" s="1113"/>
      <c r="I859" s="1113"/>
      <c r="J859" s="1113"/>
      <c r="K859" s="1113"/>
      <c r="L859" s="150">
        <f t="shared" si="54"/>
        <v>0</v>
      </c>
      <c r="M859" s="151">
        <f t="shared" si="55"/>
        <v>0</v>
      </c>
      <c r="N859" s="152">
        <f>+IF(OR($Q859=Parametres!$G$2,$Q859=Parametres!$G$3),I859,C859)</f>
        <v>0</v>
      </c>
      <c r="O859" s="152">
        <f>+IF(OR($Q859=Parametres!$G$2,$Q859=Parametres!$G$3),J859,D859)</f>
        <v>0</v>
      </c>
      <c r="P859" s="152">
        <f>+IF(OR($Q859=Parametres!$G$2,$Q859=Parametres!$G$3),K859,E859)</f>
        <v>0</v>
      </c>
      <c r="Q859" s="151">
        <f t="shared" si="61"/>
        <v>0</v>
      </c>
      <c r="R859" s="150">
        <f t="shared" si="61"/>
        <v>0</v>
      </c>
      <c r="S859" s="151">
        <f t="shared" si="61"/>
        <v>0</v>
      </c>
      <c r="T859" s="153" t="e">
        <f>+VLOOKUP($L859,Data_Validation!$A:$D,1,0)</f>
        <v>#N/A</v>
      </c>
      <c r="U859" s="153" t="e">
        <f>+VLOOKUP($L859,Data_Validation!$A:$D,3,0)</f>
        <v>#N/A</v>
      </c>
      <c r="V859" s="153" t="e">
        <f>+VLOOKUP($L859,Data_Validation!$A:$D,4,0)</f>
        <v>#N/A</v>
      </c>
      <c r="W859" s="153" t="e">
        <f>+VLOOKUP($L859,Data_Validation!$A:$E,5,0)</f>
        <v>#N/A</v>
      </c>
    </row>
    <row r="860" spans="1:23" ht="15.75" customHeight="1">
      <c r="A860" s="1113"/>
      <c r="B860" s="1119"/>
      <c r="C860" s="1120"/>
      <c r="D860" s="1113"/>
      <c r="E860" s="1113"/>
      <c r="F860" s="1113"/>
      <c r="G860" s="1113"/>
      <c r="H860" s="1113"/>
      <c r="I860" s="1113"/>
      <c r="J860" s="1113"/>
      <c r="K860" s="1113"/>
      <c r="L860" s="150">
        <f t="shared" si="54"/>
        <v>0</v>
      </c>
      <c r="M860" s="151">
        <f t="shared" si="55"/>
        <v>0</v>
      </c>
      <c r="N860" s="152">
        <f>+IF(OR($Q860=Parametres!$G$2,$Q860=Parametres!$G$3),I860,C860)</f>
        <v>0</v>
      </c>
      <c r="O860" s="152">
        <f>+IF(OR($Q860=Parametres!$G$2,$Q860=Parametres!$G$3),J860,D860)</f>
        <v>0</v>
      </c>
      <c r="P860" s="152">
        <f>+IF(OR($Q860=Parametres!$G$2,$Q860=Parametres!$G$3),K860,E860)</f>
        <v>0</v>
      </c>
      <c r="Q860" s="151">
        <f t="shared" si="61"/>
        <v>0</v>
      </c>
      <c r="R860" s="150">
        <f t="shared" si="61"/>
        <v>0</v>
      </c>
      <c r="S860" s="151">
        <f t="shared" si="61"/>
        <v>0</v>
      </c>
      <c r="T860" s="153" t="e">
        <f>+VLOOKUP($L860,Data_Validation!$A:$D,1,0)</f>
        <v>#N/A</v>
      </c>
      <c r="U860" s="153" t="e">
        <f>+VLOOKUP($L860,Data_Validation!$A:$D,3,0)</f>
        <v>#N/A</v>
      </c>
      <c r="V860" s="153" t="e">
        <f>+VLOOKUP($L860,Data_Validation!$A:$D,4,0)</f>
        <v>#N/A</v>
      </c>
      <c r="W860" s="153" t="e">
        <f>+VLOOKUP($L860,Data_Validation!$A:$E,5,0)</f>
        <v>#N/A</v>
      </c>
    </row>
    <row r="861" spans="1:23" ht="15.75" customHeight="1">
      <c r="A861" s="1113"/>
      <c r="B861" s="1119"/>
      <c r="C861" s="1120"/>
      <c r="D861" s="1113"/>
      <c r="E861" s="1113"/>
      <c r="F861" s="1113"/>
      <c r="G861" s="1113"/>
      <c r="H861" s="1113"/>
      <c r="I861" s="1113"/>
      <c r="J861" s="1113"/>
      <c r="K861" s="1113"/>
      <c r="L861" s="150">
        <f t="shared" si="54"/>
        <v>0</v>
      </c>
      <c r="M861" s="151">
        <f t="shared" si="55"/>
        <v>0</v>
      </c>
      <c r="N861" s="152">
        <f>+IF(OR($Q861=Parametres!$G$2,$Q861=Parametres!$G$3),I861,C861)</f>
        <v>0</v>
      </c>
      <c r="O861" s="152">
        <f>+IF(OR($Q861=Parametres!$G$2,$Q861=Parametres!$G$3),J861,D861)</f>
        <v>0</v>
      </c>
      <c r="P861" s="152">
        <f>+IF(OR($Q861=Parametres!$G$2,$Q861=Parametres!$G$3),K861,E861)</f>
        <v>0</v>
      </c>
      <c r="Q861" s="151">
        <f t="shared" si="61"/>
        <v>0</v>
      </c>
      <c r="R861" s="150">
        <f t="shared" si="61"/>
        <v>0</v>
      </c>
      <c r="S861" s="151">
        <f t="shared" si="61"/>
        <v>0</v>
      </c>
      <c r="T861" s="153" t="e">
        <f>+VLOOKUP($L861,Data_Validation!$A:$D,1,0)</f>
        <v>#N/A</v>
      </c>
      <c r="U861" s="153" t="e">
        <f>+VLOOKUP($L861,Data_Validation!$A:$D,3,0)</f>
        <v>#N/A</v>
      </c>
      <c r="V861" s="153" t="e">
        <f>+VLOOKUP($L861,Data_Validation!$A:$D,4,0)</f>
        <v>#N/A</v>
      </c>
      <c r="W861" s="153" t="e">
        <f>+VLOOKUP($L861,Data_Validation!$A:$E,5,0)</f>
        <v>#N/A</v>
      </c>
    </row>
    <row r="862" spans="1:23" ht="15.75" customHeight="1">
      <c r="A862" s="1113"/>
      <c r="B862" s="1119"/>
      <c r="C862" s="1120"/>
      <c r="D862" s="1113"/>
      <c r="E862" s="1113"/>
      <c r="F862" s="1113"/>
      <c r="G862" s="1113"/>
      <c r="H862" s="1113"/>
      <c r="I862" s="1113"/>
      <c r="J862" s="1113"/>
      <c r="K862" s="1113"/>
      <c r="L862" s="150">
        <f t="shared" si="54"/>
        <v>0</v>
      </c>
      <c r="M862" s="151">
        <f t="shared" si="55"/>
        <v>0</v>
      </c>
      <c r="N862" s="152">
        <f>+IF(OR($Q862=Parametres!$G$2,$Q862=Parametres!$G$3),I862,C862)</f>
        <v>0</v>
      </c>
      <c r="O862" s="152">
        <f>+IF(OR($Q862=Parametres!$G$2,$Q862=Parametres!$G$3),J862,D862)</f>
        <v>0</v>
      </c>
      <c r="P862" s="152">
        <f>+IF(OR($Q862=Parametres!$G$2,$Q862=Parametres!$G$3),K862,E862)</f>
        <v>0</v>
      </c>
      <c r="Q862" s="151">
        <f t="shared" si="61"/>
        <v>0</v>
      </c>
      <c r="R862" s="150">
        <f t="shared" si="61"/>
        <v>0</v>
      </c>
      <c r="S862" s="151">
        <f t="shared" si="61"/>
        <v>0</v>
      </c>
      <c r="T862" s="153" t="e">
        <f>+VLOOKUP($L862,Data_Validation!$A:$D,1,0)</f>
        <v>#N/A</v>
      </c>
      <c r="U862" s="153" t="e">
        <f>+VLOOKUP($L862,Data_Validation!$A:$D,3,0)</f>
        <v>#N/A</v>
      </c>
      <c r="V862" s="153" t="e">
        <f>+VLOOKUP($L862,Data_Validation!$A:$D,4,0)</f>
        <v>#N/A</v>
      </c>
      <c r="W862" s="153" t="e">
        <f>+VLOOKUP($L862,Data_Validation!$A:$E,5,0)</f>
        <v>#N/A</v>
      </c>
    </row>
    <row r="863" spans="1:23" ht="15.75" customHeight="1">
      <c r="A863" s="1113"/>
      <c r="B863" s="1119"/>
      <c r="C863" s="1120"/>
      <c r="D863" s="1113"/>
      <c r="E863" s="1113"/>
      <c r="F863" s="1113"/>
      <c r="G863" s="1113"/>
      <c r="H863" s="1113"/>
      <c r="I863" s="1113"/>
      <c r="J863" s="1113"/>
      <c r="K863" s="1113"/>
      <c r="L863" s="150">
        <f t="shared" si="54"/>
        <v>0</v>
      </c>
      <c r="M863" s="151">
        <f t="shared" si="55"/>
        <v>0</v>
      </c>
      <c r="N863" s="152">
        <f>+IF(OR($Q863=Parametres!$G$2,$Q863=Parametres!$G$3),I863,C863)</f>
        <v>0</v>
      </c>
      <c r="O863" s="152">
        <f>+IF(OR($Q863=Parametres!$G$2,$Q863=Parametres!$G$3),J863,D863)</f>
        <v>0</v>
      </c>
      <c r="P863" s="152">
        <f>+IF(OR($Q863=Parametres!$G$2,$Q863=Parametres!$G$3),K863,E863)</f>
        <v>0</v>
      </c>
      <c r="Q863" s="151">
        <f t="shared" si="61"/>
        <v>0</v>
      </c>
      <c r="R863" s="150">
        <f t="shared" si="61"/>
        <v>0</v>
      </c>
      <c r="S863" s="151">
        <f t="shared" si="61"/>
        <v>0</v>
      </c>
      <c r="T863" s="153" t="e">
        <f>+VLOOKUP($L863,Data_Validation!$A:$D,1,0)</f>
        <v>#N/A</v>
      </c>
      <c r="U863" s="153" t="e">
        <f>+VLOOKUP($L863,Data_Validation!$A:$D,3,0)</f>
        <v>#N/A</v>
      </c>
      <c r="V863" s="153" t="e">
        <f>+VLOOKUP($L863,Data_Validation!$A:$D,4,0)</f>
        <v>#N/A</v>
      </c>
      <c r="W863" s="153" t="e">
        <f>+VLOOKUP($L863,Data_Validation!$A:$E,5,0)</f>
        <v>#N/A</v>
      </c>
    </row>
    <row r="864" spans="1:23" ht="15.75" customHeight="1">
      <c r="A864" s="1113"/>
      <c r="B864" s="1119"/>
      <c r="C864" s="1120"/>
      <c r="D864" s="1113"/>
      <c r="E864" s="1113"/>
      <c r="F864" s="1113"/>
      <c r="G864" s="1113"/>
      <c r="H864" s="1113"/>
      <c r="I864" s="1113"/>
      <c r="J864" s="1113"/>
      <c r="K864" s="1113"/>
      <c r="L864" s="150">
        <f t="shared" si="54"/>
        <v>0</v>
      </c>
      <c r="M864" s="151">
        <f t="shared" si="55"/>
        <v>0</v>
      </c>
      <c r="N864" s="152">
        <f>+IF(OR($Q864=Parametres!$G$2,$Q864=Parametres!$G$3),I864,C864)</f>
        <v>0</v>
      </c>
      <c r="O864" s="152">
        <f>+IF(OR($Q864=Parametres!$G$2,$Q864=Parametres!$G$3),J864,D864)</f>
        <v>0</v>
      </c>
      <c r="P864" s="152">
        <f>+IF(OR($Q864=Parametres!$G$2,$Q864=Parametres!$G$3),K864,E864)</f>
        <v>0</v>
      </c>
      <c r="Q864" s="151">
        <f t="shared" si="61"/>
        <v>0</v>
      </c>
      <c r="R864" s="150">
        <f t="shared" si="61"/>
        <v>0</v>
      </c>
      <c r="S864" s="151">
        <f t="shared" si="61"/>
        <v>0</v>
      </c>
      <c r="T864" s="153" t="e">
        <f>+VLOOKUP($L864,Data_Validation!$A:$D,1,0)</f>
        <v>#N/A</v>
      </c>
      <c r="U864" s="153" t="e">
        <f>+VLOOKUP($L864,Data_Validation!$A:$D,3,0)</f>
        <v>#N/A</v>
      </c>
      <c r="V864" s="153" t="e">
        <f>+VLOOKUP($L864,Data_Validation!$A:$D,4,0)</f>
        <v>#N/A</v>
      </c>
      <c r="W864" s="153" t="e">
        <f>+VLOOKUP($L864,Data_Validation!$A:$E,5,0)</f>
        <v>#N/A</v>
      </c>
    </row>
    <row r="865" spans="1:23" ht="15.75" customHeight="1">
      <c r="A865" s="1113"/>
      <c r="B865" s="1119"/>
      <c r="C865" s="1120"/>
      <c r="D865" s="1113"/>
      <c r="E865" s="1113"/>
      <c r="F865" s="1113"/>
      <c r="G865" s="1113"/>
      <c r="H865" s="1113"/>
      <c r="I865" s="1113"/>
      <c r="J865" s="1113"/>
      <c r="K865" s="1113"/>
      <c r="L865" s="150">
        <f t="shared" si="54"/>
        <v>0</v>
      </c>
      <c r="M865" s="151">
        <f t="shared" si="55"/>
        <v>0</v>
      </c>
      <c r="N865" s="152">
        <f>+IF(OR($Q865=Parametres!$G$2,$Q865=Parametres!$G$3),I865,C865)</f>
        <v>0</v>
      </c>
      <c r="O865" s="152">
        <f>+IF(OR($Q865=Parametres!$G$2,$Q865=Parametres!$G$3),J865,D865)</f>
        <v>0</v>
      </c>
      <c r="P865" s="152">
        <f>+IF(OR($Q865=Parametres!$G$2,$Q865=Parametres!$G$3),K865,E865)</f>
        <v>0</v>
      </c>
      <c r="Q865" s="151">
        <f t="shared" si="61"/>
        <v>0</v>
      </c>
      <c r="R865" s="150">
        <f t="shared" si="61"/>
        <v>0</v>
      </c>
      <c r="S865" s="151">
        <f t="shared" si="61"/>
        <v>0</v>
      </c>
      <c r="T865" s="153" t="e">
        <f>+VLOOKUP($L865,Data_Validation!$A:$D,1,0)</f>
        <v>#N/A</v>
      </c>
      <c r="U865" s="153" t="e">
        <f>+VLOOKUP($L865,Data_Validation!$A:$D,3,0)</f>
        <v>#N/A</v>
      </c>
      <c r="V865" s="153" t="e">
        <f>+VLOOKUP($L865,Data_Validation!$A:$D,4,0)</f>
        <v>#N/A</v>
      </c>
      <c r="W865" s="153" t="e">
        <f>+VLOOKUP($L865,Data_Validation!$A:$E,5,0)</f>
        <v>#N/A</v>
      </c>
    </row>
    <row r="866" spans="1:23" ht="15.75" customHeight="1">
      <c r="A866" s="1113"/>
      <c r="B866" s="1119"/>
      <c r="C866" s="1120"/>
      <c r="D866" s="1113"/>
      <c r="E866" s="1113"/>
      <c r="F866" s="1113"/>
      <c r="G866" s="1113"/>
      <c r="H866" s="1113"/>
      <c r="I866" s="1113"/>
      <c r="J866" s="1113"/>
      <c r="K866" s="1113"/>
      <c r="L866" s="150">
        <f t="shared" si="54"/>
        <v>0</v>
      </c>
      <c r="M866" s="151">
        <f t="shared" si="55"/>
        <v>0</v>
      </c>
      <c r="N866" s="152">
        <f>+IF(OR($Q866=Parametres!$G$2,$Q866=Parametres!$G$3),I866,C866)</f>
        <v>0</v>
      </c>
      <c r="O866" s="152">
        <f>+IF(OR($Q866=Parametres!$G$2,$Q866=Parametres!$G$3),J866,D866)</f>
        <v>0</v>
      </c>
      <c r="P866" s="152">
        <f>+IF(OR($Q866=Parametres!$G$2,$Q866=Parametres!$G$3),K866,E866)</f>
        <v>0</v>
      </c>
      <c r="Q866" s="151">
        <f t="shared" ref="Q866:S881" si="62">+F866</f>
        <v>0</v>
      </c>
      <c r="R866" s="150">
        <f t="shared" si="62"/>
        <v>0</v>
      </c>
      <c r="S866" s="151">
        <f t="shared" si="62"/>
        <v>0</v>
      </c>
      <c r="T866" s="153" t="e">
        <f>+VLOOKUP($L866,Data_Validation!$A:$D,1,0)</f>
        <v>#N/A</v>
      </c>
      <c r="U866" s="153" t="e">
        <f>+VLOOKUP($L866,Data_Validation!$A:$D,3,0)</f>
        <v>#N/A</v>
      </c>
      <c r="V866" s="153" t="e">
        <f>+VLOOKUP($L866,Data_Validation!$A:$D,4,0)</f>
        <v>#N/A</v>
      </c>
      <c r="W866" s="153" t="e">
        <f>+VLOOKUP($L866,Data_Validation!$A:$E,5,0)</f>
        <v>#N/A</v>
      </c>
    </row>
    <row r="867" spans="1:23" ht="15.75" customHeight="1">
      <c r="A867" s="1113"/>
      <c r="B867" s="1119"/>
      <c r="C867" s="1120"/>
      <c r="D867" s="1113"/>
      <c r="E867" s="1113"/>
      <c r="F867" s="1113"/>
      <c r="G867" s="1113"/>
      <c r="H867" s="1113"/>
      <c r="I867" s="1113"/>
      <c r="J867" s="1113"/>
      <c r="K867" s="1113"/>
      <c r="L867" s="150">
        <f t="shared" si="54"/>
        <v>0</v>
      </c>
      <c r="M867" s="151">
        <f t="shared" si="55"/>
        <v>0</v>
      </c>
      <c r="N867" s="152">
        <f>+IF(OR($Q867=Parametres!$G$2,$Q867=Parametres!$G$3),I867,C867)</f>
        <v>0</v>
      </c>
      <c r="O867" s="152">
        <f>+IF(OR($Q867=Parametres!$G$2,$Q867=Parametres!$G$3),J867,D867)</f>
        <v>0</v>
      </c>
      <c r="P867" s="152">
        <f>+IF(OR($Q867=Parametres!$G$2,$Q867=Parametres!$G$3),K867,E867)</f>
        <v>0</v>
      </c>
      <c r="Q867" s="151">
        <f t="shared" si="62"/>
        <v>0</v>
      </c>
      <c r="R867" s="150">
        <f t="shared" si="62"/>
        <v>0</v>
      </c>
      <c r="S867" s="151">
        <f t="shared" si="62"/>
        <v>0</v>
      </c>
      <c r="T867" s="153" t="e">
        <f>+VLOOKUP($L867,Data_Validation!$A:$D,1,0)</f>
        <v>#N/A</v>
      </c>
      <c r="U867" s="153" t="e">
        <f>+VLOOKUP($L867,Data_Validation!$A:$D,3,0)</f>
        <v>#N/A</v>
      </c>
      <c r="V867" s="153" t="e">
        <f>+VLOOKUP($L867,Data_Validation!$A:$D,4,0)</f>
        <v>#N/A</v>
      </c>
      <c r="W867" s="153" t="e">
        <f>+VLOOKUP($L867,Data_Validation!$A:$E,5,0)</f>
        <v>#N/A</v>
      </c>
    </row>
    <row r="868" spans="1:23" ht="15.75" customHeight="1">
      <c r="A868" s="1113"/>
      <c r="B868" s="1119"/>
      <c r="C868" s="1120"/>
      <c r="D868" s="1113"/>
      <c r="E868" s="1113"/>
      <c r="F868" s="1113"/>
      <c r="G868" s="1113"/>
      <c r="H868" s="1113"/>
      <c r="I868" s="1113"/>
      <c r="J868" s="1113"/>
      <c r="K868" s="1113"/>
      <c r="L868" s="150">
        <f t="shared" si="54"/>
        <v>0</v>
      </c>
      <c r="M868" s="151">
        <f t="shared" si="55"/>
        <v>0</v>
      </c>
      <c r="N868" s="152">
        <f>+IF(OR($Q868=Parametres!$G$2,$Q868=Parametres!$G$3),I868,C868)</f>
        <v>0</v>
      </c>
      <c r="O868" s="152">
        <f>+IF(OR($Q868=Parametres!$G$2,$Q868=Parametres!$G$3),J868,D868)</f>
        <v>0</v>
      </c>
      <c r="P868" s="152">
        <f>+IF(OR($Q868=Parametres!$G$2,$Q868=Parametres!$G$3),K868,E868)</f>
        <v>0</v>
      </c>
      <c r="Q868" s="151">
        <f t="shared" si="62"/>
        <v>0</v>
      </c>
      <c r="R868" s="150">
        <f t="shared" si="62"/>
        <v>0</v>
      </c>
      <c r="S868" s="151">
        <f t="shared" si="62"/>
        <v>0</v>
      </c>
      <c r="T868" s="153" t="e">
        <f>+VLOOKUP($L868,Data_Validation!$A:$D,1,0)</f>
        <v>#N/A</v>
      </c>
      <c r="U868" s="153" t="e">
        <f>+VLOOKUP($L868,Data_Validation!$A:$D,3,0)</f>
        <v>#N/A</v>
      </c>
      <c r="V868" s="153" t="e">
        <f>+VLOOKUP($L868,Data_Validation!$A:$D,4,0)</f>
        <v>#N/A</v>
      </c>
      <c r="W868" s="153" t="e">
        <f>+VLOOKUP($L868,Data_Validation!$A:$E,5,0)</f>
        <v>#N/A</v>
      </c>
    </row>
    <row r="869" spans="1:23" ht="15.75" customHeight="1">
      <c r="A869" s="1113"/>
      <c r="B869" s="1119"/>
      <c r="C869" s="1120"/>
      <c r="D869" s="1113"/>
      <c r="E869" s="1113"/>
      <c r="F869" s="1113"/>
      <c r="G869" s="1113"/>
      <c r="H869" s="1113"/>
      <c r="I869" s="1113"/>
      <c r="J869" s="1113"/>
      <c r="K869" s="1113"/>
      <c r="L869" s="150">
        <f t="shared" si="54"/>
        <v>0</v>
      </c>
      <c r="M869" s="151">
        <f t="shared" si="55"/>
        <v>0</v>
      </c>
      <c r="N869" s="152">
        <f>+IF(OR($Q869=Parametres!$G$2,$Q869=Parametres!$G$3),I869,C869)</f>
        <v>0</v>
      </c>
      <c r="O869" s="152">
        <f>+IF(OR($Q869=Parametres!$G$2,$Q869=Parametres!$G$3),J869,D869)</f>
        <v>0</v>
      </c>
      <c r="P869" s="152">
        <f>+IF(OR($Q869=Parametres!$G$2,$Q869=Parametres!$G$3),K869,E869)</f>
        <v>0</v>
      </c>
      <c r="Q869" s="151">
        <f t="shared" si="62"/>
        <v>0</v>
      </c>
      <c r="R869" s="150">
        <f t="shared" si="62"/>
        <v>0</v>
      </c>
      <c r="S869" s="151">
        <f t="shared" si="62"/>
        <v>0</v>
      </c>
      <c r="T869" s="153" t="e">
        <f>+VLOOKUP($L869,Data_Validation!$A:$D,1,0)</f>
        <v>#N/A</v>
      </c>
      <c r="U869" s="153" t="e">
        <f>+VLOOKUP($L869,Data_Validation!$A:$D,3,0)</f>
        <v>#N/A</v>
      </c>
      <c r="V869" s="153" t="e">
        <f>+VLOOKUP($L869,Data_Validation!$A:$D,4,0)</f>
        <v>#N/A</v>
      </c>
      <c r="W869" s="153" t="e">
        <f>+VLOOKUP($L869,Data_Validation!$A:$E,5,0)</f>
        <v>#N/A</v>
      </c>
    </row>
    <row r="870" spans="1:23" ht="15.75" customHeight="1">
      <c r="A870" s="1113"/>
      <c r="B870" s="1119"/>
      <c r="C870" s="1120"/>
      <c r="D870" s="1113"/>
      <c r="E870" s="1113"/>
      <c r="F870" s="1113"/>
      <c r="G870" s="1113"/>
      <c r="H870" s="1113"/>
      <c r="I870" s="1113"/>
      <c r="J870" s="1113"/>
      <c r="K870" s="1113"/>
      <c r="L870" s="150">
        <f t="shared" si="54"/>
        <v>0</v>
      </c>
      <c r="M870" s="151">
        <f t="shared" si="55"/>
        <v>0</v>
      </c>
      <c r="N870" s="152">
        <f>+IF(OR($Q870=Parametres!$G$2,$Q870=Parametres!$G$3),I870,C870)</f>
        <v>0</v>
      </c>
      <c r="O870" s="152">
        <f>+IF(OR($Q870=Parametres!$G$2,$Q870=Parametres!$G$3),J870,D870)</f>
        <v>0</v>
      </c>
      <c r="P870" s="152">
        <f>+IF(OR($Q870=Parametres!$G$2,$Q870=Parametres!$G$3),K870,E870)</f>
        <v>0</v>
      </c>
      <c r="Q870" s="151">
        <f t="shared" si="62"/>
        <v>0</v>
      </c>
      <c r="R870" s="150">
        <f t="shared" si="62"/>
        <v>0</v>
      </c>
      <c r="S870" s="151">
        <f t="shared" si="62"/>
        <v>0</v>
      </c>
      <c r="T870" s="153" t="e">
        <f>+VLOOKUP($L870,Data_Validation!$A:$D,1,0)</f>
        <v>#N/A</v>
      </c>
      <c r="U870" s="153" t="e">
        <f>+VLOOKUP($L870,Data_Validation!$A:$D,3,0)</f>
        <v>#N/A</v>
      </c>
      <c r="V870" s="153" t="e">
        <f>+VLOOKUP($L870,Data_Validation!$A:$D,4,0)</f>
        <v>#N/A</v>
      </c>
      <c r="W870" s="153" t="e">
        <f>+VLOOKUP($L870,Data_Validation!$A:$E,5,0)</f>
        <v>#N/A</v>
      </c>
    </row>
    <row r="871" spans="1:23" ht="15.75" customHeight="1">
      <c r="A871" s="1113"/>
      <c r="B871" s="1119"/>
      <c r="C871" s="1120"/>
      <c r="D871" s="1113"/>
      <c r="E871" s="1113"/>
      <c r="F871" s="1113"/>
      <c r="G871" s="1113"/>
      <c r="H871" s="1113"/>
      <c r="I871" s="1113"/>
      <c r="J871" s="1113"/>
      <c r="K871" s="1113"/>
      <c r="L871" s="150">
        <f t="shared" si="54"/>
        <v>0</v>
      </c>
      <c r="M871" s="151">
        <f t="shared" si="55"/>
        <v>0</v>
      </c>
      <c r="N871" s="152">
        <f>+IF(OR($Q871=Parametres!$G$2,$Q871=Parametres!$G$3),I871,C871)</f>
        <v>0</v>
      </c>
      <c r="O871" s="152">
        <f>+IF(OR($Q871=Parametres!$G$2,$Q871=Parametres!$G$3),J871,D871)</f>
        <v>0</v>
      </c>
      <c r="P871" s="152">
        <f>+IF(OR($Q871=Parametres!$G$2,$Q871=Parametres!$G$3),K871,E871)</f>
        <v>0</v>
      </c>
      <c r="Q871" s="151">
        <f t="shared" si="62"/>
        <v>0</v>
      </c>
      <c r="R871" s="150">
        <f t="shared" si="62"/>
        <v>0</v>
      </c>
      <c r="S871" s="151">
        <f t="shared" si="62"/>
        <v>0</v>
      </c>
      <c r="T871" s="153" t="e">
        <f>+VLOOKUP($L871,Data_Validation!$A:$D,1,0)</f>
        <v>#N/A</v>
      </c>
      <c r="U871" s="153" t="e">
        <f>+VLOOKUP($L871,Data_Validation!$A:$D,3,0)</f>
        <v>#N/A</v>
      </c>
      <c r="V871" s="153" t="e">
        <f>+VLOOKUP($L871,Data_Validation!$A:$D,4,0)</f>
        <v>#N/A</v>
      </c>
      <c r="W871" s="153" t="e">
        <f>+VLOOKUP($L871,Data_Validation!$A:$E,5,0)</f>
        <v>#N/A</v>
      </c>
    </row>
    <row r="872" spans="1:23" ht="15.75" customHeight="1">
      <c r="A872" s="1113"/>
      <c r="B872" s="1119"/>
      <c r="C872" s="1120"/>
      <c r="D872" s="1113"/>
      <c r="E872" s="1113"/>
      <c r="F872" s="1113"/>
      <c r="G872" s="1113"/>
      <c r="H872" s="1113"/>
      <c r="I872" s="1113"/>
      <c r="J872" s="1113"/>
      <c r="K872" s="1113"/>
      <c r="L872" s="150">
        <f t="shared" si="54"/>
        <v>0</v>
      </c>
      <c r="M872" s="151">
        <f t="shared" si="55"/>
        <v>0</v>
      </c>
      <c r="N872" s="152">
        <f>+IF(OR($Q872=Parametres!$G$2,$Q872=Parametres!$G$3),I872,C872)</f>
        <v>0</v>
      </c>
      <c r="O872" s="152">
        <f>+IF(OR($Q872=Parametres!$G$2,$Q872=Parametres!$G$3),J872,D872)</f>
        <v>0</v>
      </c>
      <c r="P872" s="152">
        <f>+IF(OR($Q872=Parametres!$G$2,$Q872=Parametres!$G$3),K872,E872)</f>
        <v>0</v>
      </c>
      <c r="Q872" s="151">
        <f t="shared" si="62"/>
        <v>0</v>
      </c>
      <c r="R872" s="150">
        <f t="shared" si="62"/>
        <v>0</v>
      </c>
      <c r="S872" s="151">
        <f t="shared" si="62"/>
        <v>0</v>
      </c>
      <c r="T872" s="153" t="e">
        <f>+VLOOKUP($L872,Data_Validation!$A:$D,1,0)</f>
        <v>#N/A</v>
      </c>
      <c r="U872" s="153" t="e">
        <f>+VLOOKUP($L872,Data_Validation!$A:$D,3,0)</f>
        <v>#N/A</v>
      </c>
      <c r="V872" s="153" t="e">
        <f>+VLOOKUP($L872,Data_Validation!$A:$D,4,0)</f>
        <v>#N/A</v>
      </c>
      <c r="W872" s="153" t="e">
        <f>+VLOOKUP($L872,Data_Validation!$A:$E,5,0)</f>
        <v>#N/A</v>
      </c>
    </row>
    <row r="873" spans="1:23" ht="15.75" customHeight="1">
      <c r="A873" s="1113"/>
      <c r="B873" s="1119"/>
      <c r="C873" s="1120"/>
      <c r="D873" s="1113"/>
      <c r="E873" s="1113"/>
      <c r="F873" s="1113"/>
      <c r="G873" s="1113"/>
      <c r="H873" s="1113"/>
      <c r="I873" s="1113"/>
      <c r="J873" s="1113"/>
      <c r="K873" s="1113"/>
      <c r="L873" s="150">
        <f t="shared" si="54"/>
        <v>0</v>
      </c>
      <c r="M873" s="151">
        <f t="shared" si="55"/>
        <v>0</v>
      </c>
      <c r="N873" s="152">
        <f>+IF(OR($Q873=Parametres!$G$2,$Q873=Parametres!$G$3),I873,C873)</f>
        <v>0</v>
      </c>
      <c r="O873" s="152">
        <f>+IF(OR($Q873=Parametres!$G$2,$Q873=Parametres!$G$3),J873,D873)</f>
        <v>0</v>
      </c>
      <c r="P873" s="152">
        <f>+IF(OR($Q873=Parametres!$G$2,$Q873=Parametres!$G$3),K873,E873)</f>
        <v>0</v>
      </c>
      <c r="Q873" s="151">
        <f t="shared" si="62"/>
        <v>0</v>
      </c>
      <c r="R873" s="150">
        <f t="shared" si="62"/>
        <v>0</v>
      </c>
      <c r="S873" s="151">
        <f t="shared" si="62"/>
        <v>0</v>
      </c>
      <c r="T873" s="153" t="e">
        <f>+VLOOKUP($L873,Data_Validation!$A:$D,1,0)</f>
        <v>#N/A</v>
      </c>
      <c r="U873" s="153" t="e">
        <f>+VLOOKUP($L873,Data_Validation!$A:$D,3,0)</f>
        <v>#N/A</v>
      </c>
      <c r="V873" s="153" t="e">
        <f>+VLOOKUP($L873,Data_Validation!$A:$D,4,0)</f>
        <v>#N/A</v>
      </c>
      <c r="W873" s="153" t="e">
        <f>+VLOOKUP($L873,Data_Validation!$A:$E,5,0)</f>
        <v>#N/A</v>
      </c>
    </row>
    <row r="874" spans="1:23" ht="15.75" customHeight="1">
      <c r="A874" s="1113"/>
      <c r="B874" s="1119"/>
      <c r="C874" s="1120"/>
      <c r="D874" s="1113"/>
      <c r="E874" s="1113"/>
      <c r="F874" s="1113"/>
      <c r="G874" s="1113"/>
      <c r="H874" s="1113"/>
      <c r="I874" s="1113"/>
      <c r="J874" s="1113"/>
      <c r="K874" s="1113"/>
      <c r="L874" s="150">
        <f t="shared" si="54"/>
        <v>0</v>
      </c>
      <c r="M874" s="151">
        <f t="shared" si="55"/>
        <v>0</v>
      </c>
      <c r="N874" s="152">
        <f>+IF(OR($Q874=Parametres!$G$2,$Q874=Parametres!$G$3),I874,C874)</f>
        <v>0</v>
      </c>
      <c r="O874" s="152">
        <f>+IF(OR($Q874=Parametres!$G$2,$Q874=Parametres!$G$3),J874,D874)</f>
        <v>0</v>
      </c>
      <c r="P874" s="152">
        <f>+IF(OR($Q874=Parametres!$G$2,$Q874=Parametres!$G$3),K874,E874)</f>
        <v>0</v>
      </c>
      <c r="Q874" s="151">
        <f t="shared" si="62"/>
        <v>0</v>
      </c>
      <c r="R874" s="150">
        <f t="shared" si="62"/>
        <v>0</v>
      </c>
      <c r="S874" s="151">
        <f t="shared" si="62"/>
        <v>0</v>
      </c>
      <c r="T874" s="153" t="e">
        <f>+VLOOKUP($L874,Data_Validation!$A:$D,1,0)</f>
        <v>#N/A</v>
      </c>
      <c r="U874" s="153" t="e">
        <f>+VLOOKUP($L874,Data_Validation!$A:$D,3,0)</f>
        <v>#N/A</v>
      </c>
      <c r="V874" s="153" t="e">
        <f>+VLOOKUP($L874,Data_Validation!$A:$D,4,0)</f>
        <v>#N/A</v>
      </c>
      <c r="W874" s="153" t="e">
        <f>+VLOOKUP($L874,Data_Validation!$A:$E,5,0)</f>
        <v>#N/A</v>
      </c>
    </row>
    <row r="875" spans="1:23" ht="15.75" customHeight="1">
      <c r="A875" s="1113"/>
      <c r="B875" s="1119"/>
      <c r="C875" s="1120"/>
      <c r="D875" s="1113"/>
      <c r="E875" s="1113"/>
      <c r="F875" s="1113"/>
      <c r="G875" s="1113"/>
      <c r="H875" s="1113"/>
      <c r="I875" s="1113"/>
      <c r="J875" s="1113"/>
      <c r="K875" s="1113"/>
      <c r="L875" s="150">
        <f t="shared" si="54"/>
        <v>0</v>
      </c>
      <c r="M875" s="151">
        <f t="shared" si="55"/>
        <v>0</v>
      </c>
      <c r="N875" s="152">
        <f>+IF(OR($Q875=Parametres!$G$2,$Q875=Parametres!$G$3),I875,C875)</f>
        <v>0</v>
      </c>
      <c r="O875" s="152">
        <f>+IF(OR($Q875=Parametres!$G$2,$Q875=Parametres!$G$3),J875,D875)</f>
        <v>0</v>
      </c>
      <c r="P875" s="152">
        <f>+IF(OR($Q875=Parametres!$G$2,$Q875=Parametres!$G$3),K875,E875)</f>
        <v>0</v>
      </c>
      <c r="Q875" s="151">
        <f t="shared" si="62"/>
        <v>0</v>
      </c>
      <c r="R875" s="150">
        <f t="shared" si="62"/>
        <v>0</v>
      </c>
      <c r="S875" s="151">
        <f t="shared" si="62"/>
        <v>0</v>
      </c>
      <c r="T875" s="153" t="e">
        <f>+VLOOKUP($L875,Data_Validation!$A:$D,1,0)</f>
        <v>#N/A</v>
      </c>
      <c r="U875" s="153" t="e">
        <f>+VLOOKUP($L875,Data_Validation!$A:$D,3,0)</f>
        <v>#N/A</v>
      </c>
      <c r="V875" s="153" t="e">
        <f>+VLOOKUP($L875,Data_Validation!$A:$D,4,0)</f>
        <v>#N/A</v>
      </c>
      <c r="W875" s="153" t="e">
        <f>+VLOOKUP($L875,Data_Validation!$A:$E,5,0)</f>
        <v>#N/A</v>
      </c>
    </row>
    <row r="876" spans="1:23" ht="15.75" customHeight="1">
      <c r="A876" s="1113"/>
      <c r="B876" s="1119"/>
      <c r="C876" s="1120"/>
      <c r="D876" s="1113"/>
      <c r="E876" s="1113"/>
      <c r="F876" s="1113"/>
      <c r="G876" s="1113"/>
      <c r="H876" s="1113"/>
      <c r="I876" s="1113"/>
      <c r="J876" s="1113"/>
      <c r="K876" s="1113"/>
      <c r="L876" s="150">
        <f t="shared" si="54"/>
        <v>0</v>
      </c>
      <c r="M876" s="151">
        <f t="shared" si="55"/>
        <v>0</v>
      </c>
      <c r="N876" s="152">
        <f>+IF(OR($Q876=Parametres!$G$2,$Q876=Parametres!$G$3),I876,C876)</f>
        <v>0</v>
      </c>
      <c r="O876" s="152">
        <f>+IF(OR($Q876=Parametres!$G$2,$Q876=Parametres!$G$3),J876,D876)</f>
        <v>0</v>
      </c>
      <c r="P876" s="152">
        <f>+IF(OR($Q876=Parametres!$G$2,$Q876=Parametres!$G$3),K876,E876)</f>
        <v>0</v>
      </c>
      <c r="Q876" s="151">
        <f t="shared" si="62"/>
        <v>0</v>
      </c>
      <c r="R876" s="150">
        <f t="shared" si="62"/>
        <v>0</v>
      </c>
      <c r="S876" s="151">
        <f t="shared" si="62"/>
        <v>0</v>
      </c>
      <c r="T876" s="153" t="e">
        <f>+VLOOKUP($L876,Data_Validation!$A:$D,1,0)</f>
        <v>#N/A</v>
      </c>
      <c r="U876" s="153" t="e">
        <f>+VLOOKUP($L876,Data_Validation!$A:$D,3,0)</f>
        <v>#N/A</v>
      </c>
      <c r="V876" s="153" t="e">
        <f>+VLOOKUP($L876,Data_Validation!$A:$D,4,0)</f>
        <v>#N/A</v>
      </c>
      <c r="W876" s="153" t="e">
        <f>+VLOOKUP($L876,Data_Validation!$A:$E,5,0)</f>
        <v>#N/A</v>
      </c>
    </row>
    <row r="877" spans="1:23" ht="15.75" customHeight="1">
      <c r="A877" s="1113"/>
      <c r="B877" s="1119"/>
      <c r="C877" s="1120"/>
      <c r="D877" s="1113"/>
      <c r="E877" s="1113"/>
      <c r="F877" s="1113"/>
      <c r="G877" s="1113"/>
      <c r="H877" s="1113"/>
      <c r="I877" s="1113"/>
      <c r="J877" s="1113"/>
      <c r="K877" s="1113"/>
      <c r="L877" s="150">
        <f t="shared" si="54"/>
        <v>0</v>
      </c>
      <c r="M877" s="151">
        <f t="shared" si="55"/>
        <v>0</v>
      </c>
      <c r="N877" s="152">
        <f>+IF(OR($Q877=Parametres!$G$2,$Q877=Parametres!$G$3),I877,C877)</f>
        <v>0</v>
      </c>
      <c r="O877" s="152">
        <f>+IF(OR($Q877=Parametres!$G$2,$Q877=Parametres!$G$3),J877,D877)</f>
        <v>0</v>
      </c>
      <c r="P877" s="152">
        <f>+IF(OR($Q877=Parametres!$G$2,$Q877=Parametres!$G$3),K877,E877)</f>
        <v>0</v>
      </c>
      <c r="Q877" s="151">
        <f t="shared" si="62"/>
        <v>0</v>
      </c>
      <c r="R877" s="150">
        <f t="shared" si="62"/>
        <v>0</v>
      </c>
      <c r="S877" s="151">
        <f t="shared" si="62"/>
        <v>0</v>
      </c>
      <c r="T877" s="153" t="e">
        <f>+VLOOKUP($L877,Data_Validation!$A:$D,1,0)</f>
        <v>#N/A</v>
      </c>
      <c r="U877" s="153" t="e">
        <f>+VLOOKUP($L877,Data_Validation!$A:$D,3,0)</f>
        <v>#N/A</v>
      </c>
      <c r="V877" s="153" t="e">
        <f>+VLOOKUP($L877,Data_Validation!$A:$D,4,0)</f>
        <v>#N/A</v>
      </c>
      <c r="W877" s="153" t="e">
        <f>+VLOOKUP($L877,Data_Validation!$A:$E,5,0)</f>
        <v>#N/A</v>
      </c>
    </row>
    <row r="878" spans="1:23" ht="15.75" customHeight="1">
      <c r="A878" s="1113"/>
      <c r="B878" s="1119"/>
      <c r="C878" s="1120"/>
      <c r="D878" s="1113"/>
      <c r="E878" s="1113"/>
      <c r="F878" s="1113"/>
      <c r="G878" s="1113"/>
      <c r="H878" s="1113"/>
      <c r="I878" s="1113"/>
      <c r="J878" s="1113"/>
      <c r="K878" s="1113"/>
      <c r="L878" s="150">
        <f t="shared" si="54"/>
        <v>0</v>
      </c>
      <c r="M878" s="151">
        <f t="shared" si="55"/>
        <v>0</v>
      </c>
      <c r="N878" s="152">
        <f>+IF(OR($Q878=Parametres!$G$2,$Q878=Parametres!$G$3),I878,C878)</f>
        <v>0</v>
      </c>
      <c r="O878" s="152">
        <f>+IF(OR($Q878=Parametres!$G$2,$Q878=Parametres!$G$3),J878,D878)</f>
        <v>0</v>
      </c>
      <c r="P878" s="152">
        <f>+IF(OR($Q878=Parametres!$G$2,$Q878=Parametres!$G$3),K878,E878)</f>
        <v>0</v>
      </c>
      <c r="Q878" s="151">
        <f t="shared" si="62"/>
        <v>0</v>
      </c>
      <c r="R878" s="150">
        <f t="shared" si="62"/>
        <v>0</v>
      </c>
      <c r="S878" s="151">
        <f t="shared" si="62"/>
        <v>0</v>
      </c>
      <c r="T878" s="153" t="e">
        <f>+VLOOKUP($L878,Data_Validation!$A:$D,1,0)</f>
        <v>#N/A</v>
      </c>
      <c r="U878" s="153" t="e">
        <f>+VLOOKUP($L878,Data_Validation!$A:$D,3,0)</f>
        <v>#N/A</v>
      </c>
      <c r="V878" s="153" t="e">
        <f>+VLOOKUP($L878,Data_Validation!$A:$D,4,0)</f>
        <v>#N/A</v>
      </c>
      <c r="W878" s="153" t="e">
        <f>+VLOOKUP($L878,Data_Validation!$A:$E,5,0)</f>
        <v>#N/A</v>
      </c>
    </row>
    <row r="879" spans="1:23" ht="15.75" customHeight="1">
      <c r="A879" s="1113"/>
      <c r="B879" s="1119"/>
      <c r="C879" s="1120"/>
      <c r="D879" s="1113"/>
      <c r="E879" s="1113"/>
      <c r="F879" s="1113"/>
      <c r="G879" s="1113"/>
      <c r="H879" s="1113"/>
      <c r="I879" s="1113"/>
      <c r="J879" s="1113"/>
      <c r="K879" s="1113"/>
      <c r="L879" s="150">
        <f t="shared" si="54"/>
        <v>0</v>
      </c>
      <c r="M879" s="151">
        <f t="shared" si="55"/>
        <v>0</v>
      </c>
      <c r="N879" s="152">
        <f>+IF(OR($Q879=Parametres!$G$2,$Q879=Parametres!$G$3),I879,C879)</f>
        <v>0</v>
      </c>
      <c r="O879" s="152">
        <f>+IF(OR($Q879=Parametres!$G$2,$Q879=Parametres!$G$3),J879,D879)</f>
        <v>0</v>
      </c>
      <c r="P879" s="152">
        <f>+IF(OR($Q879=Parametres!$G$2,$Q879=Parametres!$G$3),K879,E879)</f>
        <v>0</v>
      </c>
      <c r="Q879" s="151">
        <f t="shared" si="62"/>
        <v>0</v>
      </c>
      <c r="R879" s="150">
        <f t="shared" si="62"/>
        <v>0</v>
      </c>
      <c r="S879" s="151">
        <f t="shared" si="62"/>
        <v>0</v>
      </c>
      <c r="T879" s="153" t="e">
        <f>+VLOOKUP($L879,Data_Validation!$A:$D,1,0)</f>
        <v>#N/A</v>
      </c>
      <c r="U879" s="153" t="e">
        <f>+VLOOKUP($L879,Data_Validation!$A:$D,3,0)</f>
        <v>#N/A</v>
      </c>
      <c r="V879" s="153" t="e">
        <f>+VLOOKUP($L879,Data_Validation!$A:$D,4,0)</f>
        <v>#N/A</v>
      </c>
      <c r="W879" s="153" t="e">
        <f>+VLOOKUP($L879,Data_Validation!$A:$E,5,0)</f>
        <v>#N/A</v>
      </c>
    </row>
    <row r="880" spans="1:23" ht="15.75" customHeight="1">
      <c r="A880" s="1113"/>
      <c r="B880" s="1119"/>
      <c r="C880" s="1120"/>
      <c r="D880" s="1113"/>
      <c r="E880" s="1113"/>
      <c r="F880" s="1113"/>
      <c r="G880" s="1113"/>
      <c r="H880" s="1113"/>
      <c r="I880" s="1113"/>
      <c r="J880" s="1113"/>
      <c r="K880" s="1113"/>
      <c r="L880" s="150">
        <f t="shared" si="54"/>
        <v>0</v>
      </c>
      <c r="M880" s="151">
        <f t="shared" si="55"/>
        <v>0</v>
      </c>
      <c r="N880" s="152">
        <f>+IF(OR($Q880=Parametres!$G$2,$Q880=Parametres!$G$3),I880,C880)</f>
        <v>0</v>
      </c>
      <c r="O880" s="152">
        <f>+IF(OR($Q880=Parametres!$G$2,$Q880=Parametres!$G$3),J880,D880)</f>
        <v>0</v>
      </c>
      <c r="P880" s="152">
        <f>+IF(OR($Q880=Parametres!$G$2,$Q880=Parametres!$G$3),K880,E880)</f>
        <v>0</v>
      </c>
      <c r="Q880" s="151">
        <f t="shared" si="62"/>
        <v>0</v>
      </c>
      <c r="R880" s="150">
        <f t="shared" si="62"/>
        <v>0</v>
      </c>
      <c r="S880" s="151">
        <f t="shared" si="62"/>
        <v>0</v>
      </c>
      <c r="T880" s="153" t="e">
        <f>+VLOOKUP($L880,Data_Validation!$A:$D,1,0)</f>
        <v>#N/A</v>
      </c>
      <c r="U880" s="153" t="e">
        <f>+VLOOKUP($L880,Data_Validation!$A:$D,3,0)</f>
        <v>#N/A</v>
      </c>
      <c r="V880" s="153" t="e">
        <f>+VLOOKUP($L880,Data_Validation!$A:$D,4,0)</f>
        <v>#N/A</v>
      </c>
      <c r="W880" s="153" t="e">
        <f>+VLOOKUP($L880,Data_Validation!$A:$E,5,0)</f>
        <v>#N/A</v>
      </c>
    </row>
    <row r="881" spans="1:23" ht="15.75" customHeight="1">
      <c r="A881" s="1113"/>
      <c r="B881" s="1119"/>
      <c r="C881" s="1120"/>
      <c r="D881" s="1113"/>
      <c r="E881" s="1113"/>
      <c r="F881" s="1113"/>
      <c r="G881" s="1113"/>
      <c r="H881" s="1113"/>
      <c r="I881" s="1113"/>
      <c r="J881" s="1113"/>
      <c r="K881" s="1113"/>
      <c r="L881" s="150">
        <f t="shared" si="54"/>
        <v>0</v>
      </c>
      <c r="M881" s="151">
        <f t="shared" si="55"/>
        <v>0</v>
      </c>
      <c r="N881" s="152">
        <f>+IF(OR($Q881=Parametres!$G$2,$Q881=Parametres!$G$3),I881,C881)</f>
        <v>0</v>
      </c>
      <c r="O881" s="152">
        <f>+IF(OR($Q881=Parametres!$G$2,$Q881=Parametres!$G$3),J881,D881)</f>
        <v>0</v>
      </c>
      <c r="P881" s="152">
        <f>+IF(OR($Q881=Parametres!$G$2,$Q881=Parametres!$G$3),K881,E881)</f>
        <v>0</v>
      </c>
      <c r="Q881" s="151">
        <f t="shared" si="62"/>
        <v>0</v>
      </c>
      <c r="R881" s="150">
        <f t="shared" si="62"/>
        <v>0</v>
      </c>
      <c r="S881" s="151">
        <f t="shared" si="62"/>
        <v>0</v>
      </c>
      <c r="T881" s="153" t="e">
        <f>+VLOOKUP($L881,Data_Validation!$A:$D,1,0)</f>
        <v>#N/A</v>
      </c>
      <c r="U881" s="153" t="e">
        <f>+VLOOKUP($L881,Data_Validation!$A:$D,3,0)</f>
        <v>#N/A</v>
      </c>
      <c r="V881" s="153" t="e">
        <f>+VLOOKUP($L881,Data_Validation!$A:$D,4,0)</f>
        <v>#N/A</v>
      </c>
      <c r="W881" s="153" t="e">
        <f>+VLOOKUP($L881,Data_Validation!$A:$E,5,0)</f>
        <v>#N/A</v>
      </c>
    </row>
    <row r="882" spans="1:23" ht="15.75" customHeight="1">
      <c r="A882" s="1113"/>
      <c r="B882" s="1119"/>
      <c r="C882" s="1120"/>
      <c r="D882" s="1113"/>
      <c r="E882" s="1113"/>
      <c r="F882" s="1113"/>
      <c r="G882" s="1113"/>
      <c r="H882" s="1113"/>
      <c r="I882" s="1113"/>
      <c r="J882" s="1113"/>
      <c r="K882" s="1113"/>
      <c r="L882" s="150">
        <f t="shared" si="54"/>
        <v>0</v>
      </c>
      <c r="M882" s="151">
        <f t="shared" si="55"/>
        <v>0</v>
      </c>
      <c r="N882" s="152">
        <f>+IF(OR($Q882=Parametres!$G$2,$Q882=Parametres!$G$3),I882,C882)</f>
        <v>0</v>
      </c>
      <c r="O882" s="152">
        <f>+IF(OR($Q882=Parametres!$G$2,$Q882=Parametres!$G$3),J882,D882)</f>
        <v>0</v>
      </c>
      <c r="P882" s="152">
        <f>+IF(OR($Q882=Parametres!$G$2,$Q882=Parametres!$G$3),K882,E882)</f>
        <v>0</v>
      </c>
      <c r="Q882" s="151">
        <f t="shared" ref="Q882:S897" si="63">+F882</f>
        <v>0</v>
      </c>
      <c r="R882" s="150">
        <f t="shared" si="63"/>
        <v>0</v>
      </c>
      <c r="S882" s="151">
        <f t="shared" si="63"/>
        <v>0</v>
      </c>
      <c r="T882" s="153" t="e">
        <f>+VLOOKUP($L882,Data_Validation!$A:$D,1,0)</f>
        <v>#N/A</v>
      </c>
      <c r="U882" s="153" t="e">
        <f>+VLOOKUP($L882,Data_Validation!$A:$D,3,0)</f>
        <v>#N/A</v>
      </c>
      <c r="V882" s="153" t="e">
        <f>+VLOOKUP($L882,Data_Validation!$A:$D,4,0)</f>
        <v>#N/A</v>
      </c>
      <c r="W882" s="153" t="e">
        <f>+VLOOKUP($L882,Data_Validation!$A:$E,5,0)</f>
        <v>#N/A</v>
      </c>
    </row>
    <row r="883" spans="1:23" ht="15.75" customHeight="1">
      <c r="A883" s="1113"/>
      <c r="B883" s="1119"/>
      <c r="C883" s="1120"/>
      <c r="D883" s="1113"/>
      <c r="E883" s="1113"/>
      <c r="F883" s="1113"/>
      <c r="G883" s="1113"/>
      <c r="H883" s="1113"/>
      <c r="I883" s="1113"/>
      <c r="J883" s="1113"/>
      <c r="K883" s="1113"/>
      <c r="L883" s="150">
        <f t="shared" si="54"/>
        <v>0</v>
      </c>
      <c r="M883" s="151">
        <f t="shared" si="55"/>
        <v>0</v>
      </c>
      <c r="N883" s="152">
        <f>+IF(OR($Q883=Parametres!$G$2,$Q883=Parametres!$G$3),I883,C883)</f>
        <v>0</v>
      </c>
      <c r="O883" s="152">
        <f>+IF(OR($Q883=Parametres!$G$2,$Q883=Parametres!$G$3),J883,D883)</f>
        <v>0</v>
      </c>
      <c r="P883" s="152">
        <f>+IF(OR($Q883=Parametres!$G$2,$Q883=Parametres!$G$3),K883,E883)</f>
        <v>0</v>
      </c>
      <c r="Q883" s="151">
        <f t="shared" si="63"/>
        <v>0</v>
      </c>
      <c r="R883" s="150">
        <f t="shared" si="63"/>
        <v>0</v>
      </c>
      <c r="S883" s="151">
        <f t="shared" si="63"/>
        <v>0</v>
      </c>
      <c r="T883" s="153" t="e">
        <f>+VLOOKUP($L883,Data_Validation!$A:$D,1,0)</f>
        <v>#N/A</v>
      </c>
      <c r="U883" s="153" t="e">
        <f>+VLOOKUP($L883,Data_Validation!$A:$D,3,0)</f>
        <v>#N/A</v>
      </c>
      <c r="V883" s="153" t="e">
        <f>+VLOOKUP($L883,Data_Validation!$A:$D,4,0)</f>
        <v>#N/A</v>
      </c>
      <c r="W883" s="153" t="e">
        <f>+VLOOKUP($L883,Data_Validation!$A:$E,5,0)</f>
        <v>#N/A</v>
      </c>
    </row>
    <row r="884" spans="1:23" ht="15.75" customHeight="1">
      <c r="A884" s="1113"/>
      <c r="B884" s="1119"/>
      <c r="C884" s="1120"/>
      <c r="D884" s="1113"/>
      <c r="E884" s="1113"/>
      <c r="F884" s="1113"/>
      <c r="G884" s="1113"/>
      <c r="H884" s="1113"/>
      <c r="I884" s="1113"/>
      <c r="J884" s="1113"/>
      <c r="K884" s="1113"/>
      <c r="L884" s="150">
        <f t="shared" si="54"/>
        <v>0</v>
      </c>
      <c r="M884" s="151">
        <f t="shared" si="55"/>
        <v>0</v>
      </c>
      <c r="N884" s="152">
        <f>+IF(OR($Q884=Parametres!$G$2,$Q884=Parametres!$G$3),I884,C884)</f>
        <v>0</v>
      </c>
      <c r="O884" s="152">
        <f>+IF(OR($Q884=Parametres!$G$2,$Q884=Parametres!$G$3),J884,D884)</f>
        <v>0</v>
      </c>
      <c r="P884" s="152">
        <f>+IF(OR($Q884=Parametres!$G$2,$Q884=Parametres!$G$3),K884,E884)</f>
        <v>0</v>
      </c>
      <c r="Q884" s="151">
        <f t="shared" si="63"/>
        <v>0</v>
      </c>
      <c r="R884" s="150">
        <f t="shared" si="63"/>
        <v>0</v>
      </c>
      <c r="S884" s="151">
        <f t="shared" si="63"/>
        <v>0</v>
      </c>
      <c r="T884" s="153" t="e">
        <f>+VLOOKUP($L884,Data_Validation!$A:$D,1,0)</f>
        <v>#N/A</v>
      </c>
      <c r="U884" s="153" t="e">
        <f>+VLOOKUP($L884,Data_Validation!$A:$D,3,0)</f>
        <v>#N/A</v>
      </c>
      <c r="V884" s="153" t="e">
        <f>+VLOOKUP($L884,Data_Validation!$A:$D,4,0)</f>
        <v>#N/A</v>
      </c>
      <c r="W884" s="153" t="e">
        <f>+VLOOKUP($L884,Data_Validation!$A:$E,5,0)</f>
        <v>#N/A</v>
      </c>
    </row>
    <row r="885" spans="1:23" ht="15.75" customHeight="1">
      <c r="A885" s="1113"/>
      <c r="B885" s="1119"/>
      <c r="C885" s="1120"/>
      <c r="D885" s="1113"/>
      <c r="E885" s="1113"/>
      <c r="F885" s="1113"/>
      <c r="G885" s="1113"/>
      <c r="H885" s="1113"/>
      <c r="I885" s="1113"/>
      <c r="J885" s="1113"/>
      <c r="K885" s="1113"/>
      <c r="L885" s="150">
        <f t="shared" si="54"/>
        <v>0</v>
      </c>
      <c r="M885" s="151">
        <f t="shared" si="55"/>
        <v>0</v>
      </c>
      <c r="N885" s="152">
        <f>+IF(OR($Q885=Parametres!$G$2,$Q885=Parametres!$G$3),I885,C885)</f>
        <v>0</v>
      </c>
      <c r="O885" s="152">
        <f>+IF(OR($Q885=Parametres!$G$2,$Q885=Parametres!$G$3),J885,D885)</f>
        <v>0</v>
      </c>
      <c r="P885" s="152">
        <f>+IF(OR($Q885=Parametres!$G$2,$Q885=Parametres!$G$3),K885,E885)</f>
        <v>0</v>
      </c>
      <c r="Q885" s="151">
        <f t="shared" si="63"/>
        <v>0</v>
      </c>
      <c r="R885" s="150">
        <f t="shared" si="63"/>
        <v>0</v>
      </c>
      <c r="S885" s="151">
        <f t="shared" si="63"/>
        <v>0</v>
      </c>
      <c r="T885" s="153" t="e">
        <f>+VLOOKUP($L885,Data_Validation!$A:$D,1,0)</f>
        <v>#N/A</v>
      </c>
      <c r="U885" s="153" t="e">
        <f>+VLOOKUP($L885,Data_Validation!$A:$D,3,0)</f>
        <v>#N/A</v>
      </c>
      <c r="V885" s="153" t="e">
        <f>+VLOOKUP($L885,Data_Validation!$A:$D,4,0)</f>
        <v>#N/A</v>
      </c>
      <c r="W885" s="153" t="e">
        <f>+VLOOKUP($L885,Data_Validation!$A:$E,5,0)</f>
        <v>#N/A</v>
      </c>
    </row>
    <row r="886" spans="1:23" ht="15.75" customHeight="1">
      <c r="A886" s="1113"/>
      <c r="B886" s="1119"/>
      <c r="C886" s="1120"/>
      <c r="D886" s="1113"/>
      <c r="E886" s="1113"/>
      <c r="F886" s="1113"/>
      <c r="G886" s="1113"/>
      <c r="H886" s="1113"/>
      <c r="I886" s="1113"/>
      <c r="J886" s="1113"/>
      <c r="K886" s="1113"/>
      <c r="L886" s="150">
        <f t="shared" si="54"/>
        <v>0</v>
      </c>
      <c r="M886" s="151">
        <f t="shared" si="55"/>
        <v>0</v>
      </c>
      <c r="N886" s="152">
        <f>+IF(OR($Q886=Parametres!$G$2,$Q886=Parametres!$G$3),I886,C886)</f>
        <v>0</v>
      </c>
      <c r="O886" s="152">
        <f>+IF(OR($Q886=Parametres!$G$2,$Q886=Parametres!$G$3),J886,D886)</f>
        <v>0</v>
      </c>
      <c r="P886" s="152">
        <f>+IF(OR($Q886=Parametres!$G$2,$Q886=Parametres!$G$3),K886,E886)</f>
        <v>0</v>
      </c>
      <c r="Q886" s="151">
        <f t="shared" si="63"/>
        <v>0</v>
      </c>
      <c r="R886" s="150">
        <f t="shared" si="63"/>
        <v>0</v>
      </c>
      <c r="S886" s="151">
        <f t="shared" si="63"/>
        <v>0</v>
      </c>
      <c r="T886" s="153" t="e">
        <f>+VLOOKUP($L886,Data_Validation!$A:$D,1,0)</f>
        <v>#N/A</v>
      </c>
      <c r="U886" s="153" t="e">
        <f>+VLOOKUP($L886,Data_Validation!$A:$D,3,0)</f>
        <v>#N/A</v>
      </c>
      <c r="V886" s="153" t="e">
        <f>+VLOOKUP($L886,Data_Validation!$A:$D,4,0)</f>
        <v>#N/A</v>
      </c>
      <c r="W886" s="153" t="e">
        <f>+VLOOKUP($L886,Data_Validation!$A:$E,5,0)</f>
        <v>#N/A</v>
      </c>
    </row>
    <row r="887" spans="1:23" ht="15.75" customHeight="1">
      <c r="A887" s="1113"/>
      <c r="B887" s="1119"/>
      <c r="C887" s="1120"/>
      <c r="D887" s="1113"/>
      <c r="E887" s="1113"/>
      <c r="F887" s="1113"/>
      <c r="G887" s="1113"/>
      <c r="H887" s="1113"/>
      <c r="I887" s="1113"/>
      <c r="J887" s="1113"/>
      <c r="K887" s="1113"/>
      <c r="L887" s="150">
        <f t="shared" si="54"/>
        <v>0</v>
      </c>
      <c r="M887" s="151">
        <f t="shared" si="55"/>
        <v>0</v>
      </c>
      <c r="N887" s="152">
        <f>+IF(OR($Q887=Parametres!$G$2,$Q887=Parametres!$G$3),I887,C887)</f>
        <v>0</v>
      </c>
      <c r="O887" s="152">
        <f>+IF(OR($Q887=Parametres!$G$2,$Q887=Parametres!$G$3),J887,D887)</f>
        <v>0</v>
      </c>
      <c r="P887" s="152">
        <f>+IF(OR($Q887=Parametres!$G$2,$Q887=Parametres!$G$3),K887,E887)</f>
        <v>0</v>
      </c>
      <c r="Q887" s="151">
        <f t="shared" si="63"/>
        <v>0</v>
      </c>
      <c r="R887" s="150">
        <f t="shared" si="63"/>
        <v>0</v>
      </c>
      <c r="S887" s="151">
        <f t="shared" si="63"/>
        <v>0</v>
      </c>
      <c r="T887" s="153" t="e">
        <f>+VLOOKUP($L887,Data_Validation!$A:$D,1,0)</f>
        <v>#N/A</v>
      </c>
      <c r="U887" s="153" t="e">
        <f>+VLOOKUP($L887,Data_Validation!$A:$D,3,0)</f>
        <v>#N/A</v>
      </c>
      <c r="V887" s="153" t="e">
        <f>+VLOOKUP($L887,Data_Validation!$A:$D,4,0)</f>
        <v>#N/A</v>
      </c>
      <c r="W887" s="153" t="e">
        <f>+VLOOKUP($L887,Data_Validation!$A:$E,5,0)</f>
        <v>#N/A</v>
      </c>
    </row>
    <row r="888" spans="1:23" ht="15.75" customHeight="1">
      <c r="A888" s="1113"/>
      <c r="B888" s="1119"/>
      <c r="C888" s="1120"/>
      <c r="D888" s="1113"/>
      <c r="E888" s="1113"/>
      <c r="F888" s="1113"/>
      <c r="G888" s="1113"/>
      <c r="H888" s="1113"/>
      <c r="I888" s="1113"/>
      <c r="J888" s="1113"/>
      <c r="K888" s="1113"/>
      <c r="L888" s="150">
        <f t="shared" si="54"/>
        <v>0</v>
      </c>
      <c r="M888" s="151">
        <f t="shared" si="55"/>
        <v>0</v>
      </c>
      <c r="N888" s="152">
        <f>+IF(OR($Q888=Parametres!$G$2,$Q888=Parametres!$G$3),I888,C888)</f>
        <v>0</v>
      </c>
      <c r="O888" s="152">
        <f>+IF(OR($Q888=Parametres!$G$2,$Q888=Parametres!$G$3),J888,D888)</f>
        <v>0</v>
      </c>
      <c r="P888" s="152">
        <f>+IF(OR($Q888=Parametres!$G$2,$Q888=Parametres!$G$3),K888,E888)</f>
        <v>0</v>
      </c>
      <c r="Q888" s="151">
        <f t="shared" si="63"/>
        <v>0</v>
      </c>
      <c r="R888" s="150">
        <f t="shared" si="63"/>
        <v>0</v>
      </c>
      <c r="S888" s="151">
        <f t="shared" si="63"/>
        <v>0</v>
      </c>
      <c r="T888" s="153" t="e">
        <f>+VLOOKUP($L888,Data_Validation!$A:$D,1,0)</f>
        <v>#N/A</v>
      </c>
      <c r="U888" s="153" t="e">
        <f>+VLOOKUP($L888,Data_Validation!$A:$D,3,0)</f>
        <v>#N/A</v>
      </c>
      <c r="V888" s="153" t="e">
        <f>+VLOOKUP($L888,Data_Validation!$A:$D,4,0)</f>
        <v>#N/A</v>
      </c>
      <c r="W888" s="153" t="e">
        <f>+VLOOKUP($L888,Data_Validation!$A:$E,5,0)</f>
        <v>#N/A</v>
      </c>
    </row>
    <row r="889" spans="1:23" ht="15.75" customHeight="1">
      <c r="A889" s="1113"/>
      <c r="B889" s="1119"/>
      <c r="C889" s="1120"/>
      <c r="D889" s="1113"/>
      <c r="E889" s="1113"/>
      <c r="F889" s="1113"/>
      <c r="G889" s="1113"/>
      <c r="H889" s="1113"/>
      <c r="I889" s="1113"/>
      <c r="J889" s="1113"/>
      <c r="K889" s="1113"/>
      <c r="L889" s="150">
        <f t="shared" si="54"/>
        <v>0</v>
      </c>
      <c r="M889" s="151">
        <f t="shared" si="55"/>
        <v>0</v>
      </c>
      <c r="N889" s="152">
        <f>+IF(OR($Q889=Parametres!$G$2,$Q889=Parametres!$G$3),I889,C889)</f>
        <v>0</v>
      </c>
      <c r="O889" s="152">
        <f>+IF(OR($Q889=Parametres!$G$2,$Q889=Parametres!$G$3),J889,D889)</f>
        <v>0</v>
      </c>
      <c r="P889" s="152">
        <f>+IF(OR($Q889=Parametres!$G$2,$Q889=Parametres!$G$3),K889,E889)</f>
        <v>0</v>
      </c>
      <c r="Q889" s="151">
        <f t="shared" si="63"/>
        <v>0</v>
      </c>
      <c r="R889" s="150">
        <f t="shared" si="63"/>
        <v>0</v>
      </c>
      <c r="S889" s="151">
        <f t="shared" si="63"/>
        <v>0</v>
      </c>
      <c r="T889" s="153" t="e">
        <f>+VLOOKUP($L889,Data_Validation!$A:$D,1,0)</f>
        <v>#N/A</v>
      </c>
      <c r="U889" s="153" t="e">
        <f>+VLOOKUP($L889,Data_Validation!$A:$D,3,0)</f>
        <v>#N/A</v>
      </c>
      <c r="V889" s="153" t="e">
        <f>+VLOOKUP($L889,Data_Validation!$A:$D,4,0)</f>
        <v>#N/A</v>
      </c>
      <c r="W889" s="153" t="e">
        <f>+VLOOKUP($L889,Data_Validation!$A:$E,5,0)</f>
        <v>#N/A</v>
      </c>
    </row>
    <row r="890" spans="1:23" ht="15.75" customHeight="1">
      <c r="A890" s="1113"/>
      <c r="B890" s="1119"/>
      <c r="C890" s="1120"/>
      <c r="D890" s="1113"/>
      <c r="E890" s="1113"/>
      <c r="F890" s="1113"/>
      <c r="G890" s="1113"/>
      <c r="H890" s="1113"/>
      <c r="I890" s="1113"/>
      <c r="J890" s="1113"/>
      <c r="K890" s="1113"/>
      <c r="L890" s="150">
        <f t="shared" si="54"/>
        <v>0</v>
      </c>
      <c r="M890" s="151">
        <f t="shared" si="55"/>
        <v>0</v>
      </c>
      <c r="N890" s="152">
        <f>+IF(OR($Q890=Parametres!$G$2,$Q890=Parametres!$G$3),I890,C890)</f>
        <v>0</v>
      </c>
      <c r="O890" s="152">
        <f>+IF(OR($Q890=Parametres!$G$2,$Q890=Parametres!$G$3),J890,D890)</f>
        <v>0</v>
      </c>
      <c r="P890" s="152">
        <f>+IF(OR($Q890=Parametres!$G$2,$Q890=Parametres!$G$3),K890,E890)</f>
        <v>0</v>
      </c>
      <c r="Q890" s="151">
        <f t="shared" si="63"/>
        <v>0</v>
      </c>
      <c r="R890" s="150">
        <f t="shared" si="63"/>
        <v>0</v>
      </c>
      <c r="S890" s="151">
        <f t="shared" si="63"/>
        <v>0</v>
      </c>
      <c r="T890" s="153" t="e">
        <f>+VLOOKUP($L890,Data_Validation!$A:$D,1,0)</f>
        <v>#N/A</v>
      </c>
      <c r="U890" s="153" t="e">
        <f>+VLOOKUP($L890,Data_Validation!$A:$D,3,0)</f>
        <v>#N/A</v>
      </c>
      <c r="V890" s="153" t="e">
        <f>+VLOOKUP($L890,Data_Validation!$A:$D,4,0)</f>
        <v>#N/A</v>
      </c>
      <c r="W890" s="153" t="e">
        <f>+VLOOKUP($L890,Data_Validation!$A:$E,5,0)</f>
        <v>#N/A</v>
      </c>
    </row>
    <row r="891" spans="1:23" ht="15.75" customHeight="1">
      <c r="A891" s="1113"/>
      <c r="B891" s="1119"/>
      <c r="C891" s="1120"/>
      <c r="D891" s="1113"/>
      <c r="E891" s="1113"/>
      <c r="F891" s="1113"/>
      <c r="G891" s="1113"/>
      <c r="H891" s="1113"/>
      <c r="I891" s="1113"/>
      <c r="J891" s="1113"/>
      <c r="K891" s="1113"/>
      <c r="L891" s="150">
        <f t="shared" si="54"/>
        <v>0</v>
      </c>
      <c r="M891" s="151">
        <f t="shared" si="55"/>
        <v>0</v>
      </c>
      <c r="N891" s="152">
        <f>+IF(OR($Q891=Parametres!$G$2,$Q891=Parametres!$G$3),I891,C891)</f>
        <v>0</v>
      </c>
      <c r="O891" s="152">
        <f>+IF(OR($Q891=Parametres!$G$2,$Q891=Parametres!$G$3),J891,D891)</f>
        <v>0</v>
      </c>
      <c r="P891" s="152">
        <f>+IF(OR($Q891=Parametres!$G$2,$Q891=Parametres!$G$3),K891,E891)</f>
        <v>0</v>
      </c>
      <c r="Q891" s="151">
        <f t="shared" si="63"/>
        <v>0</v>
      </c>
      <c r="R891" s="150">
        <f t="shared" si="63"/>
        <v>0</v>
      </c>
      <c r="S891" s="151">
        <f t="shared" si="63"/>
        <v>0</v>
      </c>
      <c r="T891" s="153" t="e">
        <f>+VLOOKUP($L891,Data_Validation!$A:$D,1,0)</f>
        <v>#N/A</v>
      </c>
      <c r="U891" s="153" t="e">
        <f>+VLOOKUP($L891,Data_Validation!$A:$D,3,0)</f>
        <v>#N/A</v>
      </c>
      <c r="V891" s="153" t="e">
        <f>+VLOOKUP($L891,Data_Validation!$A:$D,4,0)</f>
        <v>#N/A</v>
      </c>
      <c r="W891" s="153" t="e">
        <f>+VLOOKUP($L891,Data_Validation!$A:$E,5,0)</f>
        <v>#N/A</v>
      </c>
    </row>
    <row r="892" spans="1:23" ht="15.75" customHeight="1">
      <c r="A892" s="1113"/>
      <c r="B892" s="1119"/>
      <c r="C892" s="1120"/>
      <c r="D892" s="1113"/>
      <c r="E892" s="1113"/>
      <c r="F892" s="1113"/>
      <c r="G892" s="1113"/>
      <c r="H892" s="1113"/>
      <c r="I892" s="1113"/>
      <c r="J892" s="1113"/>
      <c r="K892" s="1113"/>
      <c r="L892" s="150">
        <f t="shared" si="54"/>
        <v>0</v>
      </c>
      <c r="M892" s="151">
        <f t="shared" si="55"/>
        <v>0</v>
      </c>
      <c r="N892" s="152">
        <f>+IF(OR($Q892=Parametres!$G$2,$Q892=Parametres!$G$3),I892,C892)</f>
        <v>0</v>
      </c>
      <c r="O892" s="152">
        <f>+IF(OR($Q892=Parametres!$G$2,$Q892=Parametres!$G$3),J892,D892)</f>
        <v>0</v>
      </c>
      <c r="P892" s="152">
        <f>+IF(OR($Q892=Parametres!$G$2,$Q892=Parametres!$G$3),K892,E892)</f>
        <v>0</v>
      </c>
      <c r="Q892" s="151">
        <f t="shared" si="63"/>
        <v>0</v>
      </c>
      <c r="R892" s="150">
        <f t="shared" si="63"/>
        <v>0</v>
      </c>
      <c r="S892" s="151">
        <f t="shared" si="63"/>
        <v>0</v>
      </c>
      <c r="T892" s="153" t="e">
        <f>+VLOOKUP($L892,Data_Validation!$A:$D,1,0)</f>
        <v>#N/A</v>
      </c>
      <c r="U892" s="153" t="e">
        <f>+VLOOKUP($L892,Data_Validation!$A:$D,3,0)</f>
        <v>#N/A</v>
      </c>
      <c r="V892" s="153" t="e">
        <f>+VLOOKUP($L892,Data_Validation!$A:$D,4,0)</f>
        <v>#N/A</v>
      </c>
      <c r="W892" s="153" t="e">
        <f>+VLOOKUP($L892,Data_Validation!$A:$E,5,0)</f>
        <v>#N/A</v>
      </c>
    </row>
    <row r="893" spans="1:23" ht="15.75" customHeight="1">
      <c r="A893" s="1113"/>
      <c r="B893" s="1119"/>
      <c r="C893" s="1120"/>
      <c r="D893" s="1113"/>
      <c r="E893" s="1113"/>
      <c r="F893" s="1113"/>
      <c r="G893" s="1113"/>
      <c r="H893" s="1113"/>
      <c r="I893" s="1113"/>
      <c r="J893" s="1113"/>
      <c r="K893" s="1113"/>
      <c r="L893" s="150">
        <f t="shared" si="54"/>
        <v>0</v>
      </c>
      <c r="M893" s="151">
        <f t="shared" si="55"/>
        <v>0</v>
      </c>
      <c r="N893" s="152">
        <f>+IF(OR($Q893=Parametres!$G$2,$Q893=Parametres!$G$3),I893,C893)</f>
        <v>0</v>
      </c>
      <c r="O893" s="152">
        <f>+IF(OR($Q893=Parametres!$G$2,$Q893=Parametres!$G$3),J893,D893)</f>
        <v>0</v>
      </c>
      <c r="P893" s="152">
        <f>+IF(OR($Q893=Parametres!$G$2,$Q893=Parametres!$G$3),K893,E893)</f>
        <v>0</v>
      </c>
      <c r="Q893" s="151">
        <f t="shared" si="63"/>
        <v>0</v>
      </c>
      <c r="R893" s="150">
        <f t="shared" si="63"/>
        <v>0</v>
      </c>
      <c r="S893" s="151">
        <f t="shared" si="63"/>
        <v>0</v>
      </c>
      <c r="T893" s="153" t="e">
        <f>+VLOOKUP($L893,Data_Validation!$A:$D,1,0)</f>
        <v>#N/A</v>
      </c>
      <c r="U893" s="153" t="e">
        <f>+VLOOKUP($L893,Data_Validation!$A:$D,3,0)</f>
        <v>#N/A</v>
      </c>
      <c r="V893" s="153" t="e">
        <f>+VLOOKUP($L893,Data_Validation!$A:$D,4,0)</f>
        <v>#N/A</v>
      </c>
      <c r="W893" s="153" t="e">
        <f>+VLOOKUP($L893,Data_Validation!$A:$E,5,0)</f>
        <v>#N/A</v>
      </c>
    </row>
    <row r="894" spans="1:23" ht="15.75" customHeight="1">
      <c r="A894" s="1113"/>
      <c r="B894" s="1119"/>
      <c r="C894" s="1120"/>
      <c r="D894" s="1113"/>
      <c r="E894" s="1113"/>
      <c r="F894" s="1113"/>
      <c r="G894" s="1113"/>
      <c r="H894" s="1113"/>
      <c r="I894" s="1113"/>
      <c r="J894" s="1113"/>
      <c r="K894" s="1113"/>
      <c r="L894" s="150">
        <f t="shared" si="54"/>
        <v>0</v>
      </c>
      <c r="M894" s="151">
        <f t="shared" si="55"/>
        <v>0</v>
      </c>
      <c r="N894" s="152">
        <f>+IF(OR($Q894=Parametres!$G$2,$Q894=Parametres!$G$3),I894,C894)</f>
        <v>0</v>
      </c>
      <c r="O894" s="152">
        <f>+IF(OR($Q894=Parametres!$G$2,$Q894=Parametres!$G$3),J894,D894)</f>
        <v>0</v>
      </c>
      <c r="P894" s="152">
        <f>+IF(OR($Q894=Parametres!$G$2,$Q894=Parametres!$G$3),K894,E894)</f>
        <v>0</v>
      </c>
      <c r="Q894" s="151">
        <f t="shared" si="63"/>
        <v>0</v>
      </c>
      <c r="R894" s="150">
        <f t="shared" si="63"/>
        <v>0</v>
      </c>
      <c r="S894" s="151">
        <f t="shared" si="63"/>
        <v>0</v>
      </c>
      <c r="T894" s="153" t="e">
        <f>+VLOOKUP($L894,Data_Validation!$A:$D,1,0)</f>
        <v>#N/A</v>
      </c>
      <c r="U894" s="153" t="e">
        <f>+VLOOKUP($L894,Data_Validation!$A:$D,3,0)</f>
        <v>#N/A</v>
      </c>
      <c r="V894" s="153" t="e">
        <f>+VLOOKUP($L894,Data_Validation!$A:$D,4,0)</f>
        <v>#N/A</v>
      </c>
      <c r="W894" s="153" t="e">
        <f>+VLOOKUP($L894,Data_Validation!$A:$E,5,0)</f>
        <v>#N/A</v>
      </c>
    </row>
    <row r="895" spans="1:23" ht="15.75" customHeight="1">
      <c r="A895" s="1113"/>
      <c r="B895" s="1119"/>
      <c r="C895" s="1120"/>
      <c r="D895" s="1113"/>
      <c r="E895" s="1113"/>
      <c r="F895" s="1113"/>
      <c r="G895" s="1113"/>
      <c r="H895" s="1113"/>
      <c r="I895" s="1113"/>
      <c r="J895" s="1113"/>
      <c r="K895" s="1113"/>
      <c r="L895" s="150">
        <f t="shared" si="54"/>
        <v>0</v>
      </c>
      <c r="M895" s="151">
        <f t="shared" si="55"/>
        <v>0</v>
      </c>
      <c r="N895" s="152">
        <f>+IF(OR($Q895=Parametres!$G$2,$Q895=Parametres!$G$3),I895,C895)</f>
        <v>0</v>
      </c>
      <c r="O895" s="152">
        <f>+IF(OR($Q895=Parametres!$G$2,$Q895=Parametres!$G$3),J895,D895)</f>
        <v>0</v>
      </c>
      <c r="P895" s="152">
        <f>+IF(OR($Q895=Parametres!$G$2,$Q895=Parametres!$G$3),K895,E895)</f>
        <v>0</v>
      </c>
      <c r="Q895" s="151">
        <f t="shared" si="63"/>
        <v>0</v>
      </c>
      <c r="R895" s="150">
        <f t="shared" si="63"/>
        <v>0</v>
      </c>
      <c r="S895" s="151">
        <f t="shared" si="63"/>
        <v>0</v>
      </c>
      <c r="T895" s="153" t="e">
        <f>+VLOOKUP($L895,Data_Validation!$A:$D,1,0)</f>
        <v>#N/A</v>
      </c>
      <c r="U895" s="153" t="e">
        <f>+VLOOKUP($L895,Data_Validation!$A:$D,3,0)</f>
        <v>#N/A</v>
      </c>
      <c r="V895" s="153" t="e">
        <f>+VLOOKUP($L895,Data_Validation!$A:$D,4,0)</f>
        <v>#N/A</v>
      </c>
      <c r="W895" s="153" t="e">
        <f>+VLOOKUP($L895,Data_Validation!$A:$E,5,0)</f>
        <v>#N/A</v>
      </c>
    </row>
    <row r="896" spans="1:23" ht="15.75" customHeight="1">
      <c r="A896" s="1113"/>
      <c r="B896" s="1119"/>
      <c r="C896" s="1120"/>
      <c r="D896" s="1113"/>
      <c r="E896" s="1113"/>
      <c r="F896" s="1113"/>
      <c r="G896" s="1113"/>
      <c r="H896" s="1113"/>
      <c r="I896" s="1113"/>
      <c r="J896" s="1113"/>
      <c r="K896" s="1113"/>
      <c r="L896" s="150">
        <f t="shared" si="54"/>
        <v>0</v>
      </c>
      <c r="M896" s="151">
        <f t="shared" si="55"/>
        <v>0</v>
      </c>
      <c r="N896" s="152">
        <f>+IF(OR($Q896=Parametres!$G$2,$Q896=Parametres!$G$3),I896,C896)</f>
        <v>0</v>
      </c>
      <c r="O896" s="152">
        <f>+IF(OR($Q896=Parametres!$G$2,$Q896=Parametres!$G$3),J896,D896)</f>
        <v>0</v>
      </c>
      <c r="P896" s="152">
        <f>+IF(OR($Q896=Parametres!$G$2,$Q896=Parametres!$G$3),K896,E896)</f>
        <v>0</v>
      </c>
      <c r="Q896" s="151">
        <f t="shared" si="63"/>
        <v>0</v>
      </c>
      <c r="R896" s="150">
        <f t="shared" si="63"/>
        <v>0</v>
      </c>
      <c r="S896" s="151">
        <f t="shared" si="63"/>
        <v>0</v>
      </c>
      <c r="T896" s="153" t="e">
        <f>+VLOOKUP($L896,Data_Validation!$A:$D,1,0)</f>
        <v>#N/A</v>
      </c>
      <c r="U896" s="153" t="e">
        <f>+VLOOKUP($L896,Data_Validation!$A:$D,3,0)</f>
        <v>#N/A</v>
      </c>
      <c r="V896" s="153" t="e">
        <f>+VLOOKUP($L896,Data_Validation!$A:$D,4,0)</f>
        <v>#N/A</v>
      </c>
      <c r="W896" s="153" t="e">
        <f>+VLOOKUP($L896,Data_Validation!$A:$E,5,0)</f>
        <v>#N/A</v>
      </c>
    </row>
    <row r="897" spans="1:23" ht="15.75" customHeight="1">
      <c r="A897" s="1113"/>
      <c r="B897" s="1119"/>
      <c r="C897" s="1120"/>
      <c r="D897" s="1113"/>
      <c r="E897" s="1113"/>
      <c r="F897" s="1113"/>
      <c r="G897" s="1113"/>
      <c r="H897" s="1113"/>
      <c r="I897" s="1113"/>
      <c r="J897" s="1113"/>
      <c r="K897" s="1113"/>
      <c r="L897" s="150">
        <f t="shared" si="54"/>
        <v>0</v>
      </c>
      <c r="M897" s="151">
        <f t="shared" si="55"/>
        <v>0</v>
      </c>
      <c r="N897" s="152">
        <f>+IF(OR($Q897=Parametres!$G$2,$Q897=Parametres!$G$3),I897,C897)</f>
        <v>0</v>
      </c>
      <c r="O897" s="152">
        <f>+IF(OR($Q897=Parametres!$G$2,$Q897=Parametres!$G$3),J897,D897)</f>
        <v>0</v>
      </c>
      <c r="P897" s="152">
        <f>+IF(OR($Q897=Parametres!$G$2,$Q897=Parametres!$G$3),K897,E897)</f>
        <v>0</v>
      </c>
      <c r="Q897" s="151">
        <f t="shared" si="63"/>
        <v>0</v>
      </c>
      <c r="R897" s="150">
        <f t="shared" si="63"/>
        <v>0</v>
      </c>
      <c r="S897" s="151">
        <f t="shared" si="63"/>
        <v>0</v>
      </c>
      <c r="T897" s="153" t="e">
        <f>+VLOOKUP($L897,Data_Validation!$A:$D,1,0)</f>
        <v>#N/A</v>
      </c>
      <c r="U897" s="153" t="e">
        <f>+VLOOKUP($L897,Data_Validation!$A:$D,3,0)</f>
        <v>#N/A</v>
      </c>
      <c r="V897" s="153" t="e">
        <f>+VLOOKUP($L897,Data_Validation!$A:$D,4,0)</f>
        <v>#N/A</v>
      </c>
      <c r="W897" s="153" t="e">
        <f>+VLOOKUP($L897,Data_Validation!$A:$E,5,0)</f>
        <v>#N/A</v>
      </c>
    </row>
    <row r="898" spans="1:23" ht="15.75" customHeight="1">
      <c r="A898" s="1113"/>
      <c r="B898" s="1119"/>
      <c r="C898" s="1120"/>
      <c r="D898" s="1113"/>
      <c r="E898" s="1113"/>
      <c r="F898" s="1113"/>
      <c r="G898" s="1113"/>
      <c r="H898" s="1113"/>
      <c r="I898" s="1113"/>
      <c r="J898" s="1113"/>
      <c r="K898" s="1113"/>
      <c r="L898" s="150">
        <f t="shared" si="54"/>
        <v>0</v>
      </c>
      <c r="M898" s="151">
        <f t="shared" si="55"/>
        <v>0</v>
      </c>
      <c r="N898" s="152">
        <f>+IF(OR($Q898=Parametres!$G$2,$Q898=Parametres!$G$3),I898,C898)</f>
        <v>0</v>
      </c>
      <c r="O898" s="152">
        <f>+IF(OR($Q898=Parametres!$G$2,$Q898=Parametres!$G$3),J898,D898)</f>
        <v>0</v>
      </c>
      <c r="P898" s="152">
        <f>+IF(OR($Q898=Parametres!$G$2,$Q898=Parametres!$G$3),K898,E898)</f>
        <v>0</v>
      </c>
      <c r="Q898" s="151">
        <f t="shared" ref="Q898:S913" si="64">+F898</f>
        <v>0</v>
      </c>
      <c r="R898" s="150">
        <f t="shared" si="64"/>
        <v>0</v>
      </c>
      <c r="S898" s="151">
        <f t="shared" si="64"/>
        <v>0</v>
      </c>
      <c r="T898" s="153" t="e">
        <f>+VLOOKUP($L898,Data_Validation!$A:$D,1,0)</f>
        <v>#N/A</v>
      </c>
      <c r="U898" s="153" t="e">
        <f>+VLOOKUP($L898,Data_Validation!$A:$D,3,0)</f>
        <v>#N/A</v>
      </c>
      <c r="V898" s="153" t="e">
        <f>+VLOOKUP($L898,Data_Validation!$A:$D,4,0)</f>
        <v>#N/A</v>
      </c>
      <c r="W898" s="153" t="e">
        <f>+VLOOKUP($L898,Data_Validation!$A:$E,5,0)</f>
        <v>#N/A</v>
      </c>
    </row>
    <row r="899" spans="1:23" ht="15.75" customHeight="1">
      <c r="A899" s="1113"/>
      <c r="B899" s="1119"/>
      <c r="C899" s="1120"/>
      <c r="D899" s="1113"/>
      <c r="E899" s="1113"/>
      <c r="F899" s="1113"/>
      <c r="G899" s="1113"/>
      <c r="H899" s="1113"/>
      <c r="I899" s="1113"/>
      <c r="J899" s="1113"/>
      <c r="K899" s="1113"/>
      <c r="L899" s="150">
        <f t="shared" si="54"/>
        <v>0</v>
      </c>
      <c r="M899" s="151">
        <f t="shared" si="55"/>
        <v>0</v>
      </c>
      <c r="N899" s="152">
        <f>+IF(OR($Q899=Parametres!$G$2,$Q899=Parametres!$G$3),I899,C899)</f>
        <v>0</v>
      </c>
      <c r="O899" s="152">
        <f>+IF(OR($Q899=Parametres!$G$2,$Q899=Parametres!$G$3),J899,D899)</f>
        <v>0</v>
      </c>
      <c r="P899" s="152">
        <f>+IF(OR($Q899=Parametres!$G$2,$Q899=Parametres!$G$3),K899,E899)</f>
        <v>0</v>
      </c>
      <c r="Q899" s="151">
        <f t="shared" si="64"/>
        <v>0</v>
      </c>
      <c r="R899" s="150">
        <f t="shared" si="64"/>
        <v>0</v>
      </c>
      <c r="S899" s="151">
        <f t="shared" si="64"/>
        <v>0</v>
      </c>
      <c r="T899" s="153" t="e">
        <f>+VLOOKUP($L899,Data_Validation!$A:$D,1,0)</f>
        <v>#N/A</v>
      </c>
      <c r="U899" s="153" t="e">
        <f>+VLOOKUP($L899,Data_Validation!$A:$D,3,0)</f>
        <v>#N/A</v>
      </c>
      <c r="V899" s="153" t="e">
        <f>+VLOOKUP($L899,Data_Validation!$A:$D,4,0)</f>
        <v>#N/A</v>
      </c>
      <c r="W899" s="153" t="e">
        <f>+VLOOKUP($L899,Data_Validation!$A:$E,5,0)</f>
        <v>#N/A</v>
      </c>
    </row>
    <row r="900" spans="1:23" ht="15.75" customHeight="1">
      <c r="A900" s="1113"/>
      <c r="B900" s="1119"/>
      <c r="C900" s="1120"/>
      <c r="D900" s="1113"/>
      <c r="E900" s="1113"/>
      <c r="F900" s="1113"/>
      <c r="G900" s="1113"/>
      <c r="H900" s="1113"/>
      <c r="I900" s="1113"/>
      <c r="J900" s="1113"/>
      <c r="K900" s="1113"/>
      <c r="L900" s="150">
        <f t="shared" si="54"/>
        <v>0</v>
      </c>
      <c r="M900" s="151">
        <f t="shared" si="55"/>
        <v>0</v>
      </c>
      <c r="N900" s="152">
        <f>+IF(OR($Q900=Parametres!$G$2,$Q900=Parametres!$G$3),I900,C900)</f>
        <v>0</v>
      </c>
      <c r="O900" s="152">
        <f>+IF(OR($Q900=Parametres!$G$2,$Q900=Parametres!$G$3),J900,D900)</f>
        <v>0</v>
      </c>
      <c r="P900" s="152">
        <f>+IF(OR($Q900=Parametres!$G$2,$Q900=Parametres!$G$3),K900,E900)</f>
        <v>0</v>
      </c>
      <c r="Q900" s="151">
        <f t="shared" si="64"/>
        <v>0</v>
      </c>
      <c r="R900" s="150">
        <f t="shared" si="64"/>
        <v>0</v>
      </c>
      <c r="S900" s="151">
        <f t="shared" si="64"/>
        <v>0</v>
      </c>
      <c r="T900" s="153" t="e">
        <f>+VLOOKUP($L900,Data_Validation!$A:$D,1,0)</f>
        <v>#N/A</v>
      </c>
      <c r="U900" s="153" t="e">
        <f>+VLOOKUP($L900,Data_Validation!$A:$D,3,0)</f>
        <v>#N/A</v>
      </c>
      <c r="V900" s="153" t="e">
        <f>+VLOOKUP($L900,Data_Validation!$A:$D,4,0)</f>
        <v>#N/A</v>
      </c>
      <c r="W900" s="153" t="e">
        <f>+VLOOKUP($L900,Data_Validation!$A:$E,5,0)</f>
        <v>#N/A</v>
      </c>
    </row>
    <row r="901" spans="1:23" ht="15.75" customHeight="1">
      <c r="A901" s="1113"/>
      <c r="B901" s="1119"/>
      <c r="C901" s="1120"/>
      <c r="D901" s="1113"/>
      <c r="E901" s="1113"/>
      <c r="F901" s="1113"/>
      <c r="G901" s="1113"/>
      <c r="H901" s="1113"/>
      <c r="I901" s="1113"/>
      <c r="J901" s="1113"/>
      <c r="K901" s="1113"/>
      <c r="L901" s="150">
        <f t="shared" si="54"/>
        <v>0</v>
      </c>
      <c r="M901" s="151">
        <f t="shared" si="55"/>
        <v>0</v>
      </c>
      <c r="N901" s="152">
        <f>+IF(OR($Q901=Parametres!$G$2,$Q901=Parametres!$G$3),I901,C901)</f>
        <v>0</v>
      </c>
      <c r="O901" s="152">
        <f>+IF(OR($Q901=Parametres!$G$2,$Q901=Parametres!$G$3),J901,D901)</f>
        <v>0</v>
      </c>
      <c r="P901" s="152">
        <f>+IF(OR($Q901=Parametres!$G$2,$Q901=Parametres!$G$3),K901,E901)</f>
        <v>0</v>
      </c>
      <c r="Q901" s="151">
        <f t="shared" si="64"/>
        <v>0</v>
      </c>
      <c r="R901" s="150">
        <f t="shared" si="64"/>
        <v>0</v>
      </c>
      <c r="S901" s="151">
        <f t="shared" si="64"/>
        <v>0</v>
      </c>
      <c r="T901" s="153" t="e">
        <f>+VLOOKUP($L901,Data_Validation!$A:$D,1,0)</f>
        <v>#N/A</v>
      </c>
      <c r="U901" s="153" t="e">
        <f>+VLOOKUP($L901,Data_Validation!$A:$D,3,0)</f>
        <v>#N/A</v>
      </c>
      <c r="V901" s="153" t="e">
        <f>+VLOOKUP($L901,Data_Validation!$A:$D,4,0)</f>
        <v>#N/A</v>
      </c>
      <c r="W901" s="153" t="e">
        <f>+VLOOKUP($L901,Data_Validation!$A:$E,5,0)</f>
        <v>#N/A</v>
      </c>
    </row>
    <row r="902" spans="1:23" ht="15.75" customHeight="1">
      <c r="A902" s="1113"/>
      <c r="B902" s="1119"/>
      <c r="C902" s="1120"/>
      <c r="D902" s="1113"/>
      <c r="E902" s="1113"/>
      <c r="F902" s="1113"/>
      <c r="G902" s="1113"/>
      <c r="H902" s="1113"/>
      <c r="I902" s="1113"/>
      <c r="J902" s="1113"/>
      <c r="K902" s="1113"/>
      <c r="L902" s="150">
        <f t="shared" si="54"/>
        <v>0</v>
      </c>
      <c r="M902" s="151">
        <f t="shared" si="55"/>
        <v>0</v>
      </c>
      <c r="N902" s="152">
        <f>+IF(OR($Q902=Parametres!$G$2,$Q902=Parametres!$G$3),I902,C902)</f>
        <v>0</v>
      </c>
      <c r="O902" s="152">
        <f>+IF(OR($Q902=Parametres!$G$2,$Q902=Parametres!$G$3),J902,D902)</f>
        <v>0</v>
      </c>
      <c r="P902" s="152">
        <f>+IF(OR($Q902=Parametres!$G$2,$Q902=Parametres!$G$3),K902,E902)</f>
        <v>0</v>
      </c>
      <c r="Q902" s="151">
        <f t="shared" si="64"/>
        <v>0</v>
      </c>
      <c r="R902" s="150">
        <f t="shared" si="64"/>
        <v>0</v>
      </c>
      <c r="S902" s="151">
        <f t="shared" si="64"/>
        <v>0</v>
      </c>
      <c r="T902" s="153" t="e">
        <f>+VLOOKUP($L902,Data_Validation!$A:$D,1,0)</f>
        <v>#N/A</v>
      </c>
      <c r="U902" s="153" t="e">
        <f>+VLOOKUP($L902,Data_Validation!$A:$D,3,0)</f>
        <v>#N/A</v>
      </c>
      <c r="V902" s="153" t="e">
        <f>+VLOOKUP($L902,Data_Validation!$A:$D,4,0)</f>
        <v>#N/A</v>
      </c>
      <c r="W902" s="153" t="e">
        <f>+VLOOKUP($L902,Data_Validation!$A:$E,5,0)</f>
        <v>#N/A</v>
      </c>
    </row>
    <row r="903" spans="1:23" ht="15.75" customHeight="1">
      <c r="A903" s="1113"/>
      <c r="B903" s="1119"/>
      <c r="C903" s="1120"/>
      <c r="D903" s="1113"/>
      <c r="E903" s="1113"/>
      <c r="F903" s="1113"/>
      <c r="G903" s="1113"/>
      <c r="H903" s="1113"/>
      <c r="I903" s="1113"/>
      <c r="J903" s="1113"/>
      <c r="K903" s="1113"/>
      <c r="L903" s="150">
        <f t="shared" si="54"/>
        <v>0</v>
      </c>
      <c r="M903" s="151">
        <f t="shared" si="55"/>
        <v>0</v>
      </c>
      <c r="N903" s="152">
        <f>+IF(OR($Q903=Parametres!$G$2,$Q903=Parametres!$G$3),I903,C903)</f>
        <v>0</v>
      </c>
      <c r="O903" s="152">
        <f>+IF(OR($Q903=Parametres!$G$2,$Q903=Parametres!$G$3),J903,D903)</f>
        <v>0</v>
      </c>
      <c r="P903" s="152">
        <f>+IF(OR($Q903=Parametres!$G$2,$Q903=Parametres!$G$3),K903,E903)</f>
        <v>0</v>
      </c>
      <c r="Q903" s="151">
        <f t="shared" si="64"/>
        <v>0</v>
      </c>
      <c r="R903" s="150">
        <f t="shared" si="64"/>
        <v>0</v>
      </c>
      <c r="S903" s="151">
        <f t="shared" si="64"/>
        <v>0</v>
      </c>
      <c r="T903" s="153" t="e">
        <f>+VLOOKUP($L903,Data_Validation!$A:$D,1,0)</f>
        <v>#N/A</v>
      </c>
      <c r="U903" s="153" t="e">
        <f>+VLOOKUP($L903,Data_Validation!$A:$D,3,0)</f>
        <v>#N/A</v>
      </c>
      <c r="V903" s="153" t="e">
        <f>+VLOOKUP($L903,Data_Validation!$A:$D,4,0)</f>
        <v>#N/A</v>
      </c>
      <c r="W903" s="153" t="e">
        <f>+VLOOKUP($L903,Data_Validation!$A:$E,5,0)</f>
        <v>#N/A</v>
      </c>
    </row>
    <row r="904" spans="1:23" ht="15.75" customHeight="1">
      <c r="A904" s="1113"/>
      <c r="B904" s="1119"/>
      <c r="C904" s="1120"/>
      <c r="D904" s="1113"/>
      <c r="E904" s="1113"/>
      <c r="F904" s="1113"/>
      <c r="G904" s="1113"/>
      <c r="H904" s="1113"/>
      <c r="I904" s="1113"/>
      <c r="J904" s="1113"/>
      <c r="K904" s="1113"/>
      <c r="L904" s="150">
        <f t="shared" si="54"/>
        <v>0</v>
      </c>
      <c r="M904" s="151">
        <f t="shared" si="55"/>
        <v>0</v>
      </c>
      <c r="N904" s="152">
        <f>+IF(OR($Q904=Parametres!$G$2,$Q904=Parametres!$G$3),I904,C904)</f>
        <v>0</v>
      </c>
      <c r="O904" s="152">
        <f>+IF(OR($Q904=Parametres!$G$2,$Q904=Parametres!$G$3),J904,D904)</f>
        <v>0</v>
      </c>
      <c r="P904" s="152">
        <f>+IF(OR($Q904=Parametres!$G$2,$Q904=Parametres!$G$3),K904,E904)</f>
        <v>0</v>
      </c>
      <c r="Q904" s="151">
        <f t="shared" si="64"/>
        <v>0</v>
      </c>
      <c r="R904" s="150">
        <f t="shared" si="64"/>
        <v>0</v>
      </c>
      <c r="S904" s="151">
        <f t="shared" si="64"/>
        <v>0</v>
      </c>
      <c r="T904" s="153" t="e">
        <f>+VLOOKUP($L904,Data_Validation!$A:$D,1,0)</f>
        <v>#N/A</v>
      </c>
      <c r="U904" s="153" t="e">
        <f>+VLOOKUP($L904,Data_Validation!$A:$D,3,0)</f>
        <v>#N/A</v>
      </c>
      <c r="V904" s="153" t="e">
        <f>+VLOOKUP($L904,Data_Validation!$A:$D,4,0)</f>
        <v>#N/A</v>
      </c>
      <c r="W904" s="153" t="e">
        <f>+VLOOKUP($L904,Data_Validation!$A:$E,5,0)</f>
        <v>#N/A</v>
      </c>
    </row>
    <row r="905" spans="1:23" ht="15.75" customHeight="1">
      <c r="A905" s="1113"/>
      <c r="B905" s="1119"/>
      <c r="C905" s="1120"/>
      <c r="D905" s="1113"/>
      <c r="E905" s="1113"/>
      <c r="F905" s="1113"/>
      <c r="G905" s="1113"/>
      <c r="H905" s="1113"/>
      <c r="I905" s="1113"/>
      <c r="J905" s="1113"/>
      <c r="K905" s="1113"/>
      <c r="L905" s="150">
        <f t="shared" si="54"/>
        <v>0</v>
      </c>
      <c r="M905" s="151">
        <f t="shared" si="55"/>
        <v>0</v>
      </c>
      <c r="N905" s="152">
        <f>+IF(OR($Q905=Parametres!$G$2,$Q905=Parametres!$G$3),I905,C905)</f>
        <v>0</v>
      </c>
      <c r="O905" s="152">
        <f>+IF(OR($Q905=Parametres!$G$2,$Q905=Parametres!$G$3),J905,D905)</f>
        <v>0</v>
      </c>
      <c r="P905" s="152">
        <f>+IF(OR($Q905=Parametres!$G$2,$Q905=Parametres!$G$3),K905,E905)</f>
        <v>0</v>
      </c>
      <c r="Q905" s="151">
        <f t="shared" si="64"/>
        <v>0</v>
      </c>
      <c r="R905" s="150">
        <f t="shared" si="64"/>
        <v>0</v>
      </c>
      <c r="S905" s="151">
        <f t="shared" si="64"/>
        <v>0</v>
      </c>
      <c r="T905" s="153" t="e">
        <f>+VLOOKUP($L905,Data_Validation!$A:$D,1,0)</f>
        <v>#N/A</v>
      </c>
      <c r="U905" s="153" t="e">
        <f>+VLOOKUP($L905,Data_Validation!$A:$D,3,0)</f>
        <v>#N/A</v>
      </c>
      <c r="V905" s="153" t="e">
        <f>+VLOOKUP($L905,Data_Validation!$A:$D,4,0)</f>
        <v>#N/A</v>
      </c>
      <c r="W905" s="153" t="e">
        <f>+VLOOKUP($L905,Data_Validation!$A:$E,5,0)</f>
        <v>#N/A</v>
      </c>
    </row>
    <row r="906" spans="1:23" ht="15.75" customHeight="1">
      <c r="A906" s="1113"/>
      <c r="B906" s="1119"/>
      <c r="C906" s="1120"/>
      <c r="D906" s="1113"/>
      <c r="E906" s="1113"/>
      <c r="F906" s="1113"/>
      <c r="G906" s="1113"/>
      <c r="H906" s="1113"/>
      <c r="I906" s="1113"/>
      <c r="J906" s="1113"/>
      <c r="K906" s="1113"/>
      <c r="L906" s="150">
        <f t="shared" si="54"/>
        <v>0</v>
      </c>
      <c r="M906" s="151">
        <f t="shared" si="55"/>
        <v>0</v>
      </c>
      <c r="N906" s="152">
        <f>+IF(OR($Q906=Parametres!$G$2,$Q906=Parametres!$G$3),I906,C906)</f>
        <v>0</v>
      </c>
      <c r="O906" s="152">
        <f>+IF(OR($Q906=Parametres!$G$2,$Q906=Parametres!$G$3),J906,D906)</f>
        <v>0</v>
      </c>
      <c r="P906" s="152">
        <f>+IF(OR($Q906=Parametres!$G$2,$Q906=Parametres!$G$3),K906,E906)</f>
        <v>0</v>
      </c>
      <c r="Q906" s="151">
        <f t="shared" si="64"/>
        <v>0</v>
      </c>
      <c r="R906" s="150">
        <f t="shared" si="64"/>
        <v>0</v>
      </c>
      <c r="S906" s="151">
        <f t="shared" si="64"/>
        <v>0</v>
      </c>
      <c r="T906" s="153" t="e">
        <f>+VLOOKUP($L906,Data_Validation!$A:$D,1,0)</f>
        <v>#N/A</v>
      </c>
      <c r="U906" s="153" t="e">
        <f>+VLOOKUP($L906,Data_Validation!$A:$D,3,0)</f>
        <v>#N/A</v>
      </c>
      <c r="V906" s="153" t="e">
        <f>+VLOOKUP($L906,Data_Validation!$A:$D,4,0)</f>
        <v>#N/A</v>
      </c>
      <c r="W906" s="153" t="e">
        <f>+VLOOKUP($L906,Data_Validation!$A:$E,5,0)</f>
        <v>#N/A</v>
      </c>
    </row>
    <row r="907" spans="1:23" ht="15.75" customHeight="1">
      <c r="A907" s="1113"/>
      <c r="B907" s="1119"/>
      <c r="C907" s="1120"/>
      <c r="D907" s="1113"/>
      <c r="E907" s="1113"/>
      <c r="F907" s="1113"/>
      <c r="G907" s="1113"/>
      <c r="H907" s="1113"/>
      <c r="I907" s="1113"/>
      <c r="J907" s="1113"/>
      <c r="K907" s="1113"/>
      <c r="L907" s="150">
        <f t="shared" si="54"/>
        <v>0</v>
      </c>
      <c r="M907" s="151">
        <f t="shared" si="55"/>
        <v>0</v>
      </c>
      <c r="N907" s="152">
        <f>+IF(OR($Q907=Parametres!$G$2,$Q907=Parametres!$G$3),I907,C907)</f>
        <v>0</v>
      </c>
      <c r="O907" s="152">
        <f>+IF(OR($Q907=Parametres!$G$2,$Q907=Parametres!$G$3),J907,D907)</f>
        <v>0</v>
      </c>
      <c r="P907" s="152">
        <f>+IF(OR($Q907=Parametres!$G$2,$Q907=Parametres!$G$3),K907,E907)</f>
        <v>0</v>
      </c>
      <c r="Q907" s="151">
        <f t="shared" si="64"/>
        <v>0</v>
      </c>
      <c r="R907" s="150">
        <f t="shared" si="64"/>
        <v>0</v>
      </c>
      <c r="S907" s="151">
        <f t="shared" si="64"/>
        <v>0</v>
      </c>
      <c r="T907" s="153" t="e">
        <f>+VLOOKUP($L907,Data_Validation!$A:$D,1,0)</f>
        <v>#N/A</v>
      </c>
      <c r="U907" s="153" t="e">
        <f>+VLOOKUP($L907,Data_Validation!$A:$D,3,0)</f>
        <v>#N/A</v>
      </c>
      <c r="V907" s="153" t="e">
        <f>+VLOOKUP($L907,Data_Validation!$A:$D,4,0)</f>
        <v>#N/A</v>
      </c>
      <c r="W907" s="153" t="e">
        <f>+VLOOKUP($L907,Data_Validation!$A:$E,5,0)</f>
        <v>#N/A</v>
      </c>
    </row>
    <row r="908" spans="1:23" ht="15.75" customHeight="1">
      <c r="A908" s="1113"/>
      <c r="B908" s="1119"/>
      <c r="C908" s="1120"/>
      <c r="D908" s="1113"/>
      <c r="E908" s="1113"/>
      <c r="F908" s="1113"/>
      <c r="G908" s="1113"/>
      <c r="H908" s="1113"/>
      <c r="I908" s="1113"/>
      <c r="J908" s="1113"/>
      <c r="K908" s="1113"/>
      <c r="L908" s="150">
        <f t="shared" si="54"/>
        <v>0</v>
      </c>
      <c r="M908" s="151">
        <f t="shared" si="55"/>
        <v>0</v>
      </c>
      <c r="N908" s="152">
        <f>+IF(OR($Q908=Parametres!$G$2,$Q908=Parametres!$G$3),I908,C908)</f>
        <v>0</v>
      </c>
      <c r="O908" s="152">
        <f>+IF(OR($Q908=Parametres!$G$2,$Q908=Parametres!$G$3),J908,D908)</f>
        <v>0</v>
      </c>
      <c r="P908" s="152">
        <f>+IF(OR($Q908=Parametres!$G$2,$Q908=Parametres!$G$3),K908,E908)</f>
        <v>0</v>
      </c>
      <c r="Q908" s="151">
        <f t="shared" si="64"/>
        <v>0</v>
      </c>
      <c r="R908" s="150">
        <f t="shared" si="64"/>
        <v>0</v>
      </c>
      <c r="S908" s="151">
        <f t="shared" si="64"/>
        <v>0</v>
      </c>
      <c r="T908" s="153" t="e">
        <f>+VLOOKUP($L908,Data_Validation!$A:$D,1,0)</f>
        <v>#N/A</v>
      </c>
      <c r="U908" s="153" t="e">
        <f>+VLOOKUP($L908,Data_Validation!$A:$D,3,0)</f>
        <v>#N/A</v>
      </c>
      <c r="V908" s="153" t="e">
        <f>+VLOOKUP($L908,Data_Validation!$A:$D,4,0)</f>
        <v>#N/A</v>
      </c>
      <c r="W908" s="153" t="e">
        <f>+VLOOKUP($L908,Data_Validation!$A:$E,5,0)</f>
        <v>#N/A</v>
      </c>
    </row>
    <row r="909" spans="1:23" ht="15.75" customHeight="1">
      <c r="A909" s="1113"/>
      <c r="B909" s="1119"/>
      <c r="C909" s="1120"/>
      <c r="D909" s="1113"/>
      <c r="E909" s="1113"/>
      <c r="F909" s="1113"/>
      <c r="G909" s="1113"/>
      <c r="H909" s="1113"/>
      <c r="I909" s="1113"/>
      <c r="J909" s="1113"/>
      <c r="K909" s="1113"/>
      <c r="L909" s="150">
        <f t="shared" si="54"/>
        <v>0</v>
      </c>
      <c r="M909" s="151">
        <f t="shared" si="55"/>
        <v>0</v>
      </c>
      <c r="N909" s="152">
        <f>+IF(OR($Q909=Parametres!$G$2,$Q909=Parametres!$G$3),I909,C909)</f>
        <v>0</v>
      </c>
      <c r="O909" s="152">
        <f>+IF(OR($Q909=Parametres!$G$2,$Q909=Parametres!$G$3),J909,D909)</f>
        <v>0</v>
      </c>
      <c r="P909" s="152">
        <f>+IF(OR($Q909=Parametres!$G$2,$Q909=Parametres!$G$3),K909,E909)</f>
        <v>0</v>
      </c>
      <c r="Q909" s="151">
        <f t="shared" si="64"/>
        <v>0</v>
      </c>
      <c r="R909" s="150">
        <f t="shared" si="64"/>
        <v>0</v>
      </c>
      <c r="S909" s="151">
        <f t="shared" si="64"/>
        <v>0</v>
      </c>
      <c r="T909" s="153" t="e">
        <f>+VLOOKUP($L909,Data_Validation!$A:$D,1,0)</f>
        <v>#N/A</v>
      </c>
      <c r="U909" s="153" t="e">
        <f>+VLOOKUP($L909,Data_Validation!$A:$D,3,0)</f>
        <v>#N/A</v>
      </c>
      <c r="V909" s="153" t="e">
        <f>+VLOOKUP($L909,Data_Validation!$A:$D,4,0)</f>
        <v>#N/A</v>
      </c>
      <c r="W909" s="153" t="e">
        <f>+VLOOKUP($L909,Data_Validation!$A:$E,5,0)</f>
        <v>#N/A</v>
      </c>
    </row>
    <row r="910" spans="1:23" ht="15.75" customHeight="1">
      <c r="A910" s="1113"/>
      <c r="B910" s="1119"/>
      <c r="C910" s="1120"/>
      <c r="D910" s="1113"/>
      <c r="E910" s="1113"/>
      <c r="F910" s="1113"/>
      <c r="G910" s="1113"/>
      <c r="H910" s="1113"/>
      <c r="I910" s="1113"/>
      <c r="J910" s="1113"/>
      <c r="K910" s="1113"/>
      <c r="L910" s="150">
        <f t="shared" si="54"/>
        <v>0</v>
      </c>
      <c r="M910" s="151">
        <f t="shared" si="55"/>
        <v>0</v>
      </c>
      <c r="N910" s="152">
        <f>+IF(OR($Q910=Parametres!$G$2,$Q910=Parametres!$G$3),I910,C910)</f>
        <v>0</v>
      </c>
      <c r="O910" s="152">
        <f>+IF(OR($Q910=Parametres!$G$2,$Q910=Parametres!$G$3),J910,D910)</f>
        <v>0</v>
      </c>
      <c r="P910" s="152">
        <f>+IF(OR($Q910=Parametres!$G$2,$Q910=Parametres!$G$3),K910,E910)</f>
        <v>0</v>
      </c>
      <c r="Q910" s="151">
        <f t="shared" si="64"/>
        <v>0</v>
      </c>
      <c r="R910" s="150">
        <f t="shared" si="64"/>
        <v>0</v>
      </c>
      <c r="S910" s="151">
        <f t="shared" si="64"/>
        <v>0</v>
      </c>
      <c r="T910" s="153" t="e">
        <f>+VLOOKUP($L910,Data_Validation!$A:$D,1,0)</f>
        <v>#N/A</v>
      </c>
      <c r="U910" s="153" t="e">
        <f>+VLOOKUP($L910,Data_Validation!$A:$D,3,0)</f>
        <v>#N/A</v>
      </c>
      <c r="V910" s="153" t="e">
        <f>+VLOOKUP($L910,Data_Validation!$A:$D,4,0)</f>
        <v>#N/A</v>
      </c>
      <c r="W910" s="153" t="e">
        <f>+VLOOKUP($L910,Data_Validation!$A:$E,5,0)</f>
        <v>#N/A</v>
      </c>
    </row>
    <row r="911" spans="1:23" ht="15.75" customHeight="1">
      <c r="A911" s="1113"/>
      <c r="B911" s="1119"/>
      <c r="C911" s="1120"/>
      <c r="D911" s="1113"/>
      <c r="E911" s="1113"/>
      <c r="F911" s="1113"/>
      <c r="G911" s="1113"/>
      <c r="H911" s="1113"/>
      <c r="I911" s="1113"/>
      <c r="J911" s="1113"/>
      <c r="K911" s="1113"/>
      <c r="L911" s="150">
        <f t="shared" si="54"/>
        <v>0</v>
      </c>
      <c r="M911" s="151">
        <f t="shared" si="55"/>
        <v>0</v>
      </c>
      <c r="N911" s="152">
        <f>+IF(OR($Q911=Parametres!$G$2,$Q911=Parametres!$G$3),I911,C911)</f>
        <v>0</v>
      </c>
      <c r="O911" s="152">
        <f>+IF(OR($Q911=Parametres!$G$2,$Q911=Parametres!$G$3),J911,D911)</f>
        <v>0</v>
      </c>
      <c r="P911" s="152">
        <f>+IF(OR($Q911=Parametres!$G$2,$Q911=Parametres!$G$3),K911,E911)</f>
        <v>0</v>
      </c>
      <c r="Q911" s="151">
        <f t="shared" si="64"/>
        <v>0</v>
      </c>
      <c r="R911" s="150">
        <f t="shared" si="64"/>
        <v>0</v>
      </c>
      <c r="S911" s="151">
        <f t="shared" si="64"/>
        <v>0</v>
      </c>
      <c r="T911" s="153" t="e">
        <f>+VLOOKUP($L911,Data_Validation!$A:$D,1,0)</f>
        <v>#N/A</v>
      </c>
      <c r="U911" s="153" t="e">
        <f>+VLOOKUP($L911,Data_Validation!$A:$D,3,0)</f>
        <v>#N/A</v>
      </c>
      <c r="V911" s="153" t="e">
        <f>+VLOOKUP($L911,Data_Validation!$A:$D,4,0)</f>
        <v>#N/A</v>
      </c>
      <c r="W911" s="153" t="e">
        <f>+VLOOKUP($L911,Data_Validation!$A:$E,5,0)</f>
        <v>#N/A</v>
      </c>
    </row>
    <row r="912" spans="1:23" ht="15.75" customHeight="1">
      <c r="A912" s="1113"/>
      <c r="B912" s="1119"/>
      <c r="C912" s="1120"/>
      <c r="D912" s="1113"/>
      <c r="E912" s="1113"/>
      <c r="F912" s="1113"/>
      <c r="G912" s="1113"/>
      <c r="H912" s="1113"/>
      <c r="I912" s="1113"/>
      <c r="J912" s="1113"/>
      <c r="K912" s="1113"/>
      <c r="L912" s="150">
        <f t="shared" si="54"/>
        <v>0</v>
      </c>
      <c r="M912" s="151">
        <f t="shared" si="55"/>
        <v>0</v>
      </c>
      <c r="N912" s="152">
        <f>+IF(OR($Q912=Parametres!$G$2,$Q912=Parametres!$G$3),I912,C912)</f>
        <v>0</v>
      </c>
      <c r="O912" s="152">
        <f>+IF(OR($Q912=Parametres!$G$2,$Q912=Parametres!$G$3),J912,D912)</f>
        <v>0</v>
      </c>
      <c r="P912" s="152">
        <f>+IF(OR($Q912=Parametres!$G$2,$Q912=Parametres!$G$3),K912,E912)</f>
        <v>0</v>
      </c>
      <c r="Q912" s="151">
        <f t="shared" si="64"/>
        <v>0</v>
      </c>
      <c r="R912" s="150">
        <f t="shared" si="64"/>
        <v>0</v>
      </c>
      <c r="S912" s="151">
        <f t="shared" si="64"/>
        <v>0</v>
      </c>
      <c r="T912" s="153" t="e">
        <f>+VLOOKUP($L912,Data_Validation!$A:$D,1,0)</f>
        <v>#N/A</v>
      </c>
      <c r="U912" s="153" t="e">
        <f>+VLOOKUP($L912,Data_Validation!$A:$D,3,0)</f>
        <v>#N/A</v>
      </c>
      <c r="V912" s="153" t="e">
        <f>+VLOOKUP($L912,Data_Validation!$A:$D,4,0)</f>
        <v>#N/A</v>
      </c>
      <c r="W912" s="153" t="e">
        <f>+VLOOKUP($L912,Data_Validation!$A:$E,5,0)</f>
        <v>#N/A</v>
      </c>
    </row>
    <row r="913" spans="1:23" ht="15.75" customHeight="1">
      <c r="A913" s="1113"/>
      <c r="B913" s="1119"/>
      <c r="C913" s="1120"/>
      <c r="D913" s="1113"/>
      <c r="E913" s="1113"/>
      <c r="F913" s="1113"/>
      <c r="G913" s="1113"/>
      <c r="H913" s="1113"/>
      <c r="I913" s="1113"/>
      <c r="J913" s="1113"/>
      <c r="K913" s="1113"/>
      <c r="L913" s="150">
        <f t="shared" si="54"/>
        <v>0</v>
      </c>
      <c r="M913" s="151">
        <f t="shared" si="55"/>
        <v>0</v>
      </c>
      <c r="N913" s="152">
        <f>+IF(OR($Q913=Parametres!$G$2,$Q913=Parametres!$G$3),I913,C913)</f>
        <v>0</v>
      </c>
      <c r="O913" s="152">
        <f>+IF(OR($Q913=Parametres!$G$2,$Q913=Parametres!$G$3),J913,D913)</f>
        <v>0</v>
      </c>
      <c r="P913" s="152">
        <f>+IF(OR($Q913=Parametres!$G$2,$Q913=Parametres!$G$3),K913,E913)</f>
        <v>0</v>
      </c>
      <c r="Q913" s="151">
        <f t="shared" si="64"/>
        <v>0</v>
      </c>
      <c r="R913" s="150">
        <f t="shared" si="64"/>
        <v>0</v>
      </c>
      <c r="S913" s="151">
        <f t="shared" si="64"/>
        <v>0</v>
      </c>
      <c r="T913" s="153" t="e">
        <f>+VLOOKUP($L913,Data_Validation!$A:$D,1,0)</f>
        <v>#N/A</v>
      </c>
      <c r="U913" s="153" t="e">
        <f>+VLOOKUP($L913,Data_Validation!$A:$D,3,0)</f>
        <v>#N/A</v>
      </c>
      <c r="V913" s="153" t="e">
        <f>+VLOOKUP($L913,Data_Validation!$A:$D,4,0)</f>
        <v>#N/A</v>
      </c>
      <c r="W913" s="153" t="e">
        <f>+VLOOKUP($L913,Data_Validation!$A:$E,5,0)</f>
        <v>#N/A</v>
      </c>
    </row>
    <row r="914" spans="1:23" ht="15.75" customHeight="1">
      <c r="A914" s="1113"/>
      <c r="B914" s="1119"/>
      <c r="C914" s="1120"/>
      <c r="D914" s="1113"/>
      <c r="E914" s="1113"/>
      <c r="F914" s="1113"/>
      <c r="G914" s="1113"/>
      <c r="H914" s="1113"/>
      <c r="I914" s="1113"/>
      <c r="J914" s="1113"/>
      <c r="K914" s="1113"/>
      <c r="L914" s="150">
        <f t="shared" si="54"/>
        <v>0</v>
      </c>
      <c r="M914" s="151">
        <f t="shared" si="55"/>
        <v>0</v>
      </c>
      <c r="N914" s="152">
        <f>+IF(OR($Q914=Parametres!$G$2,$Q914=Parametres!$G$3),I914,C914)</f>
        <v>0</v>
      </c>
      <c r="O914" s="152">
        <f>+IF(OR($Q914=Parametres!$G$2,$Q914=Parametres!$G$3),J914,D914)</f>
        <v>0</v>
      </c>
      <c r="P914" s="152">
        <f>+IF(OR($Q914=Parametres!$G$2,$Q914=Parametres!$G$3),K914,E914)</f>
        <v>0</v>
      </c>
      <c r="Q914" s="151">
        <f t="shared" ref="Q914:S929" si="65">+F914</f>
        <v>0</v>
      </c>
      <c r="R914" s="150">
        <f t="shared" si="65"/>
        <v>0</v>
      </c>
      <c r="S914" s="151">
        <f t="shared" si="65"/>
        <v>0</v>
      </c>
      <c r="T914" s="153" t="e">
        <f>+VLOOKUP($L914,Data_Validation!$A:$D,1,0)</f>
        <v>#N/A</v>
      </c>
      <c r="U914" s="153" t="e">
        <f>+VLOOKUP($L914,Data_Validation!$A:$D,3,0)</f>
        <v>#N/A</v>
      </c>
      <c r="V914" s="153" t="e">
        <f>+VLOOKUP($L914,Data_Validation!$A:$D,4,0)</f>
        <v>#N/A</v>
      </c>
      <c r="W914" s="153" t="e">
        <f>+VLOOKUP($L914,Data_Validation!$A:$E,5,0)</f>
        <v>#N/A</v>
      </c>
    </row>
    <row r="915" spans="1:23" ht="15.75" customHeight="1">
      <c r="A915" s="1113"/>
      <c r="B915" s="1119"/>
      <c r="C915" s="1120"/>
      <c r="D915" s="1113"/>
      <c r="E915" s="1113"/>
      <c r="F915" s="1113"/>
      <c r="G915" s="1113"/>
      <c r="H915" s="1113"/>
      <c r="I915" s="1113"/>
      <c r="J915" s="1113"/>
      <c r="K915" s="1113"/>
      <c r="L915" s="150">
        <f t="shared" si="54"/>
        <v>0</v>
      </c>
      <c r="M915" s="151">
        <f t="shared" si="55"/>
        <v>0</v>
      </c>
      <c r="N915" s="152">
        <f>+IF(OR($Q915=Parametres!$G$2,$Q915=Parametres!$G$3),I915,C915)</f>
        <v>0</v>
      </c>
      <c r="O915" s="152">
        <f>+IF(OR($Q915=Parametres!$G$2,$Q915=Parametres!$G$3),J915,D915)</f>
        <v>0</v>
      </c>
      <c r="P915" s="152">
        <f>+IF(OR($Q915=Parametres!$G$2,$Q915=Parametres!$G$3),K915,E915)</f>
        <v>0</v>
      </c>
      <c r="Q915" s="151">
        <f t="shared" si="65"/>
        <v>0</v>
      </c>
      <c r="R915" s="150">
        <f t="shared" si="65"/>
        <v>0</v>
      </c>
      <c r="S915" s="151">
        <f t="shared" si="65"/>
        <v>0</v>
      </c>
      <c r="T915" s="153" t="e">
        <f>+VLOOKUP($L915,Data_Validation!$A:$D,1,0)</f>
        <v>#N/A</v>
      </c>
      <c r="U915" s="153" t="e">
        <f>+VLOOKUP($L915,Data_Validation!$A:$D,3,0)</f>
        <v>#N/A</v>
      </c>
      <c r="V915" s="153" t="e">
        <f>+VLOOKUP($L915,Data_Validation!$A:$D,4,0)</f>
        <v>#N/A</v>
      </c>
      <c r="W915" s="153" t="e">
        <f>+VLOOKUP($L915,Data_Validation!$A:$E,5,0)</f>
        <v>#N/A</v>
      </c>
    </row>
    <row r="916" spans="1:23" ht="15.75" customHeight="1">
      <c r="A916" s="1113"/>
      <c r="B916" s="1119"/>
      <c r="C916" s="1120"/>
      <c r="D916" s="1113"/>
      <c r="E916" s="1113"/>
      <c r="F916" s="1113"/>
      <c r="G916" s="1113"/>
      <c r="H916" s="1113"/>
      <c r="I916" s="1113"/>
      <c r="J916" s="1113"/>
      <c r="K916" s="1113"/>
      <c r="L916" s="150">
        <f t="shared" si="54"/>
        <v>0</v>
      </c>
      <c r="M916" s="151">
        <f t="shared" si="55"/>
        <v>0</v>
      </c>
      <c r="N916" s="152">
        <f>+IF(OR($Q916=Parametres!$G$2,$Q916=Parametres!$G$3),I916,C916)</f>
        <v>0</v>
      </c>
      <c r="O916" s="152">
        <f>+IF(OR($Q916=Parametres!$G$2,$Q916=Parametres!$G$3),J916,D916)</f>
        <v>0</v>
      </c>
      <c r="P916" s="152">
        <f>+IF(OR($Q916=Parametres!$G$2,$Q916=Parametres!$G$3),K916,E916)</f>
        <v>0</v>
      </c>
      <c r="Q916" s="151">
        <f t="shared" si="65"/>
        <v>0</v>
      </c>
      <c r="R916" s="150">
        <f t="shared" si="65"/>
        <v>0</v>
      </c>
      <c r="S916" s="151">
        <f t="shared" si="65"/>
        <v>0</v>
      </c>
      <c r="T916" s="153" t="e">
        <f>+VLOOKUP($L916,Data_Validation!$A:$D,1,0)</f>
        <v>#N/A</v>
      </c>
      <c r="U916" s="153" t="e">
        <f>+VLOOKUP($L916,Data_Validation!$A:$D,3,0)</f>
        <v>#N/A</v>
      </c>
      <c r="V916" s="153" t="e">
        <f>+VLOOKUP($L916,Data_Validation!$A:$D,4,0)</f>
        <v>#N/A</v>
      </c>
      <c r="W916" s="153" t="e">
        <f>+VLOOKUP($L916,Data_Validation!$A:$E,5,0)</f>
        <v>#N/A</v>
      </c>
    </row>
    <row r="917" spans="1:23" ht="15.75" customHeight="1">
      <c r="A917" s="1113"/>
      <c r="B917" s="1119"/>
      <c r="C917" s="1120"/>
      <c r="D917" s="1113"/>
      <c r="E917" s="1113"/>
      <c r="F917" s="1113"/>
      <c r="G917" s="1113"/>
      <c r="H917" s="1113"/>
      <c r="I917" s="1113"/>
      <c r="J917" s="1113"/>
      <c r="K917" s="1113"/>
      <c r="L917" s="150">
        <f t="shared" si="54"/>
        <v>0</v>
      </c>
      <c r="M917" s="151">
        <f t="shared" si="55"/>
        <v>0</v>
      </c>
      <c r="N917" s="152">
        <f>+IF(OR($Q917=Parametres!$G$2,$Q917=Parametres!$G$3),I917,C917)</f>
        <v>0</v>
      </c>
      <c r="O917" s="152">
        <f>+IF(OR($Q917=Parametres!$G$2,$Q917=Parametres!$G$3),J917,D917)</f>
        <v>0</v>
      </c>
      <c r="P917" s="152">
        <f>+IF(OR($Q917=Parametres!$G$2,$Q917=Parametres!$G$3),K917,E917)</f>
        <v>0</v>
      </c>
      <c r="Q917" s="151">
        <f t="shared" si="65"/>
        <v>0</v>
      </c>
      <c r="R917" s="150">
        <f t="shared" si="65"/>
        <v>0</v>
      </c>
      <c r="S917" s="151">
        <f t="shared" si="65"/>
        <v>0</v>
      </c>
      <c r="T917" s="153" t="e">
        <f>+VLOOKUP($L917,Data_Validation!$A:$D,1,0)</f>
        <v>#N/A</v>
      </c>
      <c r="U917" s="153" t="e">
        <f>+VLOOKUP($L917,Data_Validation!$A:$D,3,0)</f>
        <v>#N/A</v>
      </c>
      <c r="V917" s="153" t="e">
        <f>+VLOOKUP($L917,Data_Validation!$A:$D,4,0)</f>
        <v>#N/A</v>
      </c>
      <c r="W917" s="153" t="e">
        <f>+VLOOKUP($L917,Data_Validation!$A:$E,5,0)</f>
        <v>#N/A</v>
      </c>
    </row>
    <row r="918" spans="1:23" ht="15.75" customHeight="1">
      <c r="A918" s="1113"/>
      <c r="B918" s="1119"/>
      <c r="C918" s="1120"/>
      <c r="D918" s="1113"/>
      <c r="E918" s="1113"/>
      <c r="F918" s="1113"/>
      <c r="G918" s="1113"/>
      <c r="H918" s="1113"/>
      <c r="I918" s="1113"/>
      <c r="J918" s="1113"/>
      <c r="K918" s="1113"/>
      <c r="L918" s="150">
        <f t="shared" si="54"/>
        <v>0</v>
      </c>
      <c r="M918" s="151">
        <f t="shared" si="55"/>
        <v>0</v>
      </c>
      <c r="N918" s="152">
        <f>+IF(OR($Q918=Parametres!$G$2,$Q918=Parametres!$G$3),I918,C918)</f>
        <v>0</v>
      </c>
      <c r="O918" s="152">
        <f>+IF(OR($Q918=Parametres!$G$2,$Q918=Parametres!$G$3),J918,D918)</f>
        <v>0</v>
      </c>
      <c r="P918" s="152">
        <f>+IF(OR($Q918=Parametres!$G$2,$Q918=Parametres!$G$3),K918,E918)</f>
        <v>0</v>
      </c>
      <c r="Q918" s="151">
        <f t="shared" si="65"/>
        <v>0</v>
      </c>
      <c r="R918" s="150">
        <f t="shared" si="65"/>
        <v>0</v>
      </c>
      <c r="S918" s="151">
        <f t="shared" si="65"/>
        <v>0</v>
      </c>
      <c r="T918" s="153" t="e">
        <f>+VLOOKUP($L918,Data_Validation!$A:$D,1,0)</f>
        <v>#N/A</v>
      </c>
      <c r="U918" s="153" t="e">
        <f>+VLOOKUP($L918,Data_Validation!$A:$D,3,0)</f>
        <v>#N/A</v>
      </c>
      <c r="V918" s="153" t="e">
        <f>+VLOOKUP($L918,Data_Validation!$A:$D,4,0)</f>
        <v>#N/A</v>
      </c>
      <c r="W918" s="153" t="e">
        <f>+VLOOKUP($L918,Data_Validation!$A:$E,5,0)</f>
        <v>#N/A</v>
      </c>
    </row>
    <row r="919" spans="1:23" ht="15.75" customHeight="1">
      <c r="A919" s="1113"/>
      <c r="B919" s="1119"/>
      <c r="C919" s="1120"/>
      <c r="D919" s="1113"/>
      <c r="E919" s="1113"/>
      <c r="F919" s="1113"/>
      <c r="G919" s="1113"/>
      <c r="H919" s="1113"/>
      <c r="I919" s="1113"/>
      <c r="J919" s="1113"/>
      <c r="K919" s="1113"/>
      <c r="L919" s="150">
        <f t="shared" si="54"/>
        <v>0</v>
      </c>
      <c r="M919" s="151">
        <f t="shared" si="55"/>
        <v>0</v>
      </c>
      <c r="N919" s="152">
        <f>+IF(OR($Q919=Parametres!$G$2,$Q919=Parametres!$G$3),I919,C919)</f>
        <v>0</v>
      </c>
      <c r="O919" s="152">
        <f>+IF(OR($Q919=Parametres!$G$2,$Q919=Parametres!$G$3),J919,D919)</f>
        <v>0</v>
      </c>
      <c r="P919" s="152">
        <f>+IF(OR($Q919=Parametres!$G$2,$Q919=Parametres!$G$3),K919,E919)</f>
        <v>0</v>
      </c>
      <c r="Q919" s="151">
        <f t="shared" si="65"/>
        <v>0</v>
      </c>
      <c r="R919" s="150">
        <f t="shared" si="65"/>
        <v>0</v>
      </c>
      <c r="S919" s="151">
        <f t="shared" si="65"/>
        <v>0</v>
      </c>
      <c r="T919" s="153" t="e">
        <f>+VLOOKUP($L919,Data_Validation!$A:$D,1,0)</f>
        <v>#N/A</v>
      </c>
      <c r="U919" s="153" t="e">
        <f>+VLOOKUP($L919,Data_Validation!$A:$D,3,0)</f>
        <v>#N/A</v>
      </c>
      <c r="V919" s="153" t="e">
        <f>+VLOOKUP($L919,Data_Validation!$A:$D,4,0)</f>
        <v>#N/A</v>
      </c>
      <c r="W919" s="153" t="e">
        <f>+VLOOKUP($L919,Data_Validation!$A:$E,5,0)</f>
        <v>#N/A</v>
      </c>
    </row>
    <row r="920" spans="1:23" ht="15.75" customHeight="1">
      <c r="A920" s="1113"/>
      <c r="B920" s="1119"/>
      <c r="C920" s="1120"/>
      <c r="D920" s="1113"/>
      <c r="E920" s="1113"/>
      <c r="F920" s="1113"/>
      <c r="G920" s="1113"/>
      <c r="H920" s="1113"/>
      <c r="I920" s="1113"/>
      <c r="J920" s="1113"/>
      <c r="K920" s="1113"/>
      <c r="L920" s="150">
        <f t="shared" si="54"/>
        <v>0</v>
      </c>
      <c r="M920" s="151">
        <f t="shared" si="55"/>
        <v>0</v>
      </c>
      <c r="N920" s="152">
        <f>+IF(OR($Q920=Parametres!$G$2,$Q920=Parametres!$G$3),I920,C920)</f>
        <v>0</v>
      </c>
      <c r="O920" s="152">
        <f>+IF(OR($Q920=Parametres!$G$2,$Q920=Parametres!$G$3),J920,D920)</f>
        <v>0</v>
      </c>
      <c r="P920" s="152">
        <f>+IF(OR($Q920=Parametres!$G$2,$Q920=Parametres!$G$3),K920,E920)</f>
        <v>0</v>
      </c>
      <c r="Q920" s="151">
        <f t="shared" si="65"/>
        <v>0</v>
      </c>
      <c r="R920" s="150">
        <f t="shared" si="65"/>
        <v>0</v>
      </c>
      <c r="S920" s="151">
        <f t="shared" si="65"/>
        <v>0</v>
      </c>
      <c r="T920" s="153" t="e">
        <f>+VLOOKUP($L920,Data_Validation!$A:$D,1,0)</f>
        <v>#N/A</v>
      </c>
      <c r="U920" s="153" t="e">
        <f>+VLOOKUP($L920,Data_Validation!$A:$D,3,0)</f>
        <v>#N/A</v>
      </c>
      <c r="V920" s="153" t="e">
        <f>+VLOOKUP($L920,Data_Validation!$A:$D,4,0)</f>
        <v>#N/A</v>
      </c>
      <c r="W920" s="153" t="e">
        <f>+VLOOKUP($L920,Data_Validation!$A:$E,5,0)</f>
        <v>#N/A</v>
      </c>
    </row>
    <row r="921" spans="1:23" ht="15.75" customHeight="1">
      <c r="A921" s="1113"/>
      <c r="B921" s="1119"/>
      <c r="C921" s="1120"/>
      <c r="D921" s="1113"/>
      <c r="E921" s="1113"/>
      <c r="F921" s="1113"/>
      <c r="G921" s="1113"/>
      <c r="H921" s="1113"/>
      <c r="I921" s="1113"/>
      <c r="J921" s="1113"/>
      <c r="K921" s="1113"/>
      <c r="L921" s="150">
        <f t="shared" si="54"/>
        <v>0</v>
      </c>
      <c r="M921" s="151">
        <f t="shared" si="55"/>
        <v>0</v>
      </c>
      <c r="N921" s="152">
        <f>+IF(OR($Q921=Parametres!$G$2,$Q921=Parametres!$G$3),I921,C921)</f>
        <v>0</v>
      </c>
      <c r="O921" s="152">
        <f>+IF(OR($Q921=Parametres!$G$2,$Q921=Parametres!$G$3),J921,D921)</f>
        <v>0</v>
      </c>
      <c r="P921" s="152">
        <f>+IF(OR($Q921=Parametres!$G$2,$Q921=Parametres!$G$3),K921,E921)</f>
        <v>0</v>
      </c>
      <c r="Q921" s="151">
        <f t="shared" si="65"/>
        <v>0</v>
      </c>
      <c r="R921" s="150">
        <f t="shared" si="65"/>
        <v>0</v>
      </c>
      <c r="S921" s="151">
        <f t="shared" si="65"/>
        <v>0</v>
      </c>
      <c r="T921" s="153" t="e">
        <f>+VLOOKUP($L921,Data_Validation!$A:$D,1,0)</f>
        <v>#N/A</v>
      </c>
      <c r="U921" s="153" t="e">
        <f>+VLOOKUP($L921,Data_Validation!$A:$D,3,0)</f>
        <v>#N/A</v>
      </c>
      <c r="V921" s="153" t="e">
        <f>+VLOOKUP($L921,Data_Validation!$A:$D,4,0)</f>
        <v>#N/A</v>
      </c>
      <c r="W921" s="153" t="e">
        <f>+VLOOKUP($L921,Data_Validation!$A:$E,5,0)</f>
        <v>#N/A</v>
      </c>
    </row>
    <row r="922" spans="1:23" ht="15.75" customHeight="1">
      <c r="A922" s="1113"/>
      <c r="B922" s="1119"/>
      <c r="C922" s="1120"/>
      <c r="D922" s="1113"/>
      <c r="E922" s="1113"/>
      <c r="F922" s="1113"/>
      <c r="G922" s="1113"/>
      <c r="H922" s="1113"/>
      <c r="I922" s="1113"/>
      <c r="J922" s="1113"/>
      <c r="K922" s="1113"/>
      <c r="L922" s="150">
        <f t="shared" si="54"/>
        <v>0</v>
      </c>
      <c r="M922" s="151">
        <f t="shared" si="55"/>
        <v>0</v>
      </c>
      <c r="N922" s="152">
        <f>+IF(OR($Q922=Parametres!$G$2,$Q922=Parametres!$G$3),I922,C922)</f>
        <v>0</v>
      </c>
      <c r="O922" s="152">
        <f>+IF(OR($Q922=Parametres!$G$2,$Q922=Parametres!$G$3),J922,D922)</f>
        <v>0</v>
      </c>
      <c r="P922" s="152">
        <f>+IF(OR($Q922=Parametres!$G$2,$Q922=Parametres!$G$3),K922,E922)</f>
        <v>0</v>
      </c>
      <c r="Q922" s="151">
        <f t="shared" si="65"/>
        <v>0</v>
      </c>
      <c r="R922" s="150">
        <f t="shared" si="65"/>
        <v>0</v>
      </c>
      <c r="S922" s="151">
        <f t="shared" si="65"/>
        <v>0</v>
      </c>
      <c r="T922" s="153" t="e">
        <f>+VLOOKUP($L922,Data_Validation!$A:$D,1,0)</f>
        <v>#N/A</v>
      </c>
      <c r="U922" s="153" t="e">
        <f>+VLOOKUP($L922,Data_Validation!$A:$D,3,0)</f>
        <v>#N/A</v>
      </c>
      <c r="V922" s="153" t="e">
        <f>+VLOOKUP($L922,Data_Validation!$A:$D,4,0)</f>
        <v>#N/A</v>
      </c>
      <c r="W922" s="153" t="e">
        <f>+VLOOKUP($L922,Data_Validation!$A:$E,5,0)</f>
        <v>#N/A</v>
      </c>
    </row>
    <row r="923" spans="1:23" ht="15.75" customHeight="1">
      <c r="A923" s="1113"/>
      <c r="B923" s="1119"/>
      <c r="C923" s="1120"/>
      <c r="D923" s="1113"/>
      <c r="E923" s="1113"/>
      <c r="F923" s="1113"/>
      <c r="G923" s="1113"/>
      <c r="H923" s="1113"/>
      <c r="I923" s="1113"/>
      <c r="J923" s="1113"/>
      <c r="K923" s="1113"/>
      <c r="L923" s="150">
        <f t="shared" si="54"/>
        <v>0</v>
      </c>
      <c r="M923" s="151">
        <f t="shared" si="55"/>
        <v>0</v>
      </c>
      <c r="N923" s="152">
        <f>+IF(OR($Q923=Parametres!$G$2,$Q923=Parametres!$G$3),I923,C923)</f>
        <v>0</v>
      </c>
      <c r="O923" s="152">
        <f>+IF(OR($Q923=Parametres!$G$2,$Q923=Parametres!$G$3),J923,D923)</f>
        <v>0</v>
      </c>
      <c r="P923" s="152">
        <f>+IF(OR($Q923=Parametres!$G$2,$Q923=Parametres!$G$3),K923,E923)</f>
        <v>0</v>
      </c>
      <c r="Q923" s="151">
        <f t="shared" si="65"/>
        <v>0</v>
      </c>
      <c r="R923" s="150">
        <f t="shared" si="65"/>
        <v>0</v>
      </c>
      <c r="S923" s="151">
        <f t="shared" si="65"/>
        <v>0</v>
      </c>
      <c r="T923" s="153" t="e">
        <f>+VLOOKUP($L923,Data_Validation!$A:$D,1,0)</f>
        <v>#N/A</v>
      </c>
      <c r="U923" s="153" t="e">
        <f>+VLOOKUP($L923,Data_Validation!$A:$D,3,0)</f>
        <v>#N/A</v>
      </c>
      <c r="V923" s="153" t="e">
        <f>+VLOOKUP($L923,Data_Validation!$A:$D,4,0)</f>
        <v>#N/A</v>
      </c>
      <c r="W923" s="153" t="e">
        <f>+VLOOKUP($L923,Data_Validation!$A:$E,5,0)</f>
        <v>#N/A</v>
      </c>
    </row>
    <row r="924" spans="1:23" ht="15.75" customHeight="1">
      <c r="A924" s="1113"/>
      <c r="B924" s="1119"/>
      <c r="C924" s="1120"/>
      <c r="D924" s="1113"/>
      <c r="E924" s="1113"/>
      <c r="F924" s="1113"/>
      <c r="G924" s="1113"/>
      <c r="H924" s="1113"/>
      <c r="I924" s="1113"/>
      <c r="J924" s="1113"/>
      <c r="K924" s="1113"/>
      <c r="L924" s="150">
        <f t="shared" si="54"/>
        <v>0</v>
      </c>
      <c r="M924" s="151">
        <f t="shared" si="55"/>
        <v>0</v>
      </c>
      <c r="N924" s="152">
        <f>+IF(OR($Q924=Parametres!$G$2,$Q924=Parametres!$G$3),I924,C924)</f>
        <v>0</v>
      </c>
      <c r="O924" s="152">
        <f>+IF(OR($Q924=Parametres!$G$2,$Q924=Parametres!$G$3),J924,D924)</f>
        <v>0</v>
      </c>
      <c r="P924" s="152">
        <f>+IF(OR($Q924=Parametres!$G$2,$Q924=Parametres!$G$3),K924,E924)</f>
        <v>0</v>
      </c>
      <c r="Q924" s="151">
        <f t="shared" si="65"/>
        <v>0</v>
      </c>
      <c r="R924" s="150">
        <f t="shared" si="65"/>
        <v>0</v>
      </c>
      <c r="S924" s="151">
        <f t="shared" si="65"/>
        <v>0</v>
      </c>
      <c r="T924" s="153" t="e">
        <f>+VLOOKUP($L924,Data_Validation!$A:$D,1,0)</f>
        <v>#N/A</v>
      </c>
      <c r="U924" s="153" t="e">
        <f>+VLOOKUP($L924,Data_Validation!$A:$D,3,0)</f>
        <v>#N/A</v>
      </c>
      <c r="V924" s="153" t="e">
        <f>+VLOOKUP($L924,Data_Validation!$A:$D,4,0)</f>
        <v>#N/A</v>
      </c>
      <c r="W924" s="153" t="e">
        <f>+VLOOKUP($L924,Data_Validation!$A:$E,5,0)</f>
        <v>#N/A</v>
      </c>
    </row>
    <row r="925" spans="1:23" ht="15.75" customHeight="1">
      <c r="A925" s="1113"/>
      <c r="B925" s="1119"/>
      <c r="C925" s="1120"/>
      <c r="D925" s="1113"/>
      <c r="E925" s="1113"/>
      <c r="F925" s="1113"/>
      <c r="G925" s="1113"/>
      <c r="H925" s="1113"/>
      <c r="I925" s="1113"/>
      <c r="J925" s="1113"/>
      <c r="K925" s="1113"/>
      <c r="L925" s="150">
        <f t="shared" si="54"/>
        <v>0</v>
      </c>
      <c r="M925" s="151">
        <f t="shared" si="55"/>
        <v>0</v>
      </c>
      <c r="N925" s="152">
        <f>+IF(OR($Q925=Parametres!$G$2,$Q925=Parametres!$G$3),I925,C925)</f>
        <v>0</v>
      </c>
      <c r="O925" s="152">
        <f>+IF(OR($Q925=Parametres!$G$2,$Q925=Parametres!$G$3),J925,D925)</f>
        <v>0</v>
      </c>
      <c r="P925" s="152">
        <f>+IF(OR($Q925=Parametres!$G$2,$Q925=Parametres!$G$3),K925,E925)</f>
        <v>0</v>
      </c>
      <c r="Q925" s="151">
        <f t="shared" si="65"/>
        <v>0</v>
      </c>
      <c r="R925" s="150">
        <f t="shared" si="65"/>
        <v>0</v>
      </c>
      <c r="S925" s="151">
        <f t="shared" si="65"/>
        <v>0</v>
      </c>
      <c r="T925" s="153" t="e">
        <f>+VLOOKUP($L925,Data_Validation!$A:$D,1,0)</f>
        <v>#N/A</v>
      </c>
      <c r="U925" s="153" t="e">
        <f>+VLOOKUP($L925,Data_Validation!$A:$D,3,0)</f>
        <v>#N/A</v>
      </c>
      <c r="V925" s="153" t="e">
        <f>+VLOOKUP($L925,Data_Validation!$A:$D,4,0)</f>
        <v>#N/A</v>
      </c>
      <c r="W925" s="153" t="e">
        <f>+VLOOKUP($L925,Data_Validation!$A:$E,5,0)</f>
        <v>#N/A</v>
      </c>
    </row>
    <row r="926" spans="1:23" ht="15.75" customHeight="1">
      <c r="A926" s="1113"/>
      <c r="B926" s="1119"/>
      <c r="C926" s="1120"/>
      <c r="D926" s="1113"/>
      <c r="E926" s="1113"/>
      <c r="F926" s="1113"/>
      <c r="G926" s="1113"/>
      <c r="H926" s="1113"/>
      <c r="I926" s="1113"/>
      <c r="J926" s="1113"/>
      <c r="K926" s="1113"/>
      <c r="L926" s="150">
        <f t="shared" si="54"/>
        <v>0</v>
      </c>
      <c r="M926" s="151">
        <f t="shared" si="55"/>
        <v>0</v>
      </c>
      <c r="N926" s="152">
        <f>+IF(OR($Q926=Parametres!$G$2,$Q926=Parametres!$G$3),I926,C926)</f>
        <v>0</v>
      </c>
      <c r="O926" s="152">
        <f>+IF(OR($Q926=Parametres!$G$2,$Q926=Parametres!$G$3),J926,D926)</f>
        <v>0</v>
      </c>
      <c r="P926" s="152">
        <f>+IF(OR($Q926=Parametres!$G$2,$Q926=Parametres!$G$3),K926,E926)</f>
        <v>0</v>
      </c>
      <c r="Q926" s="151">
        <f t="shared" si="65"/>
        <v>0</v>
      </c>
      <c r="R926" s="150">
        <f t="shared" si="65"/>
        <v>0</v>
      </c>
      <c r="S926" s="151">
        <f t="shared" si="65"/>
        <v>0</v>
      </c>
      <c r="T926" s="153" t="e">
        <f>+VLOOKUP($L926,Data_Validation!$A:$D,1,0)</f>
        <v>#N/A</v>
      </c>
      <c r="U926" s="153" t="e">
        <f>+VLOOKUP($L926,Data_Validation!$A:$D,3,0)</f>
        <v>#N/A</v>
      </c>
      <c r="V926" s="153" t="e">
        <f>+VLOOKUP($L926,Data_Validation!$A:$D,4,0)</f>
        <v>#N/A</v>
      </c>
      <c r="W926" s="153" t="e">
        <f>+VLOOKUP($L926,Data_Validation!$A:$E,5,0)</f>
        <v>#N/A</v>
      </c>
    </row>
    <row r="927" spans="1:23" ht="15.75" customHeight="1">
      <c r="A927" s="1113"/>
      <c r="B927" s="1119"/>
      <c r="C927" s="1120"/>
      <c r="D927" s="1113"/>
      <c r="E927" s="1113"/>
      <c r="F927" s="1113"/>
      <c r="G927" s="1113"/>
      <c r="H927" s="1113"/>
      <c r="I927" s="1113"/>
      <c r="J927" s="1113"/>
      <c r="K927" s="1113"/>
      <c r="L927" s="150">
        <f t="shared" si="54"/>
        <v>0</v>
      </c>
      <c r="M927" s="151">
        <f t="shared" si="55"/>
        <v>0</v>
      </c>
      <c r="N927" s="152">
        <f>+IF(OR($Q927=Parametres!$G$2,$Q927=Parametres!$G$3),I927,C927)</f>
        <v>0</v>
      </c>
      <c r="O927" s="152">
        <f>+IF(OR($Q927=Parametres!$G$2,$Q927=Parametres!$G$3),J927,D927)</f>
        <v>0</v>
      </c>
      <c r="P927" s="152">
        <f>+IF(OR($Q927=Parametres!$G$2,$Q927=Parametres!$G$3),K927,E927)</f>
        <v>0</v>
      </c>
      <c r="Q927" s="151">
        <f t="shared" si="65"/>
        <v>0</v>
      </c>
      <c r="R927" s="150">
        <f t="shared" si="65"/>
        <v>0</v>
      </c>
      <c r="S927" s="151">
        <f t="shared" si="65"/>
        <v>0</v>
      </c>
      <c r="T927" s="153" t="e">
        <f>+VLOOKUP($L927,Data_Validation!$A:$D,1,0)</f>
        <v>#N/A</v>
      </c>
      <c r="U927" s="153" t="e">
        <f>+VLOOKUP($L927,Data_Validation!$A:$D,3,0)</f>
        <v>#N/A</v>
      </c>
      <c r="V927" s="153" t="e">
        <f>+VLOOKUP($L927,Data_Validation!$A:$D,4,0)</f>
        <v>#N/A</v>
      </c>
      <c r="W927" s="153" t="e">
        <f>+VLOOKUP($L927,Data_Validation!$A:$E,5,0)</f>
        <v>#N/A</v>
      </c>
    </row>
    <row r="928" spans="1:23" ht="15.75" customHeight="1">
      <c r="A928" s="1113"/>
      <c r="B928" s="1119"/>
      <c r="C928" s="1120"/>
      <c r="D928" s="1113"/>
      <c r="E928" s="1113"/>
      <c r="F928" s="1113"/>
      <c r="G928" s="1113"/>
      <c r="H928" s="1113"/>
      <c r="I928" s="1113"/>
      <c r="J928" s="1113"/>
      <c r="K928" s="1113"/>
      <c r="L928" s="150">
        <f t="shared" si="54"/>
        <v>0</v>
      </c>
      <c r="M928" s="151">
        <f t="shared" si="55"/>
        <v>0</v>
      </c>
      <c r="N928" s="152">
        <f>+IF(OR($Q928=Parametres!$G$2,$Q928=Parametres!$G$3),I928,C928)</f>
        <v>0</v>
      </c>
      <c r="O928" s="152">
        <f>+IF(OR($Q928=Parametres!$G$2,$Q928=Parametres!$G$3),J928,D928)</f>
        <v>0</v>
      </c>
      <c r="P928" s="152">
        <f>+IF(OR($Q928=Parametres!$G$2,$Q928=Parametres!$G$3),K928,E928)</f>
        <v>0</v>
      </c>
      <c r="Q928" s="151">
        <f t="shared" si="65"/>
        <v>0</v>
      </c>
      <c r="R928" s="150">
        <f t="shared" si="65"/>
        <v>0</v>
      </c>
      <c r="S928" s="151">
        <f t="shared" si="65"/>
        <v>0</v>
      </c>
      <c r="T928" s="153" t="e">
        <f>+VLOOKUP($L928,Data_Validation!$A:$D,1,0)</f>
        <v>#N/A</v>
      </c>
      <c r="U928" s="153" t="e">
        <f>+VLOOKUP($L928,Data_Validation!$A:$D,3,0)</f>
        <v>#N/A</v>
      </c>
      <c r="V928" s="153" t="e">
        <f>+VLOOKUP($L928,Data_Validation!$A:$D,4,0)</f>
        <v>#N/A</v>
      </c>
      <c r="W928" s="153" t="e">
        <f>+VLOOKUP($L928,Data_Validation!$A:$E,5,0)</f>
        <v>#N/A</v>
      </c>
    </row>
    <row r="929" spans="1:23" ht="15.75" customHeight="1">
      <c r="A929" s="1113"/>
      <c r="B929" s="1119"/>
      <c r="C929" s="1120"/>
      <c r="D929" s="1113"/>
      <c r="E929" s="1113"/>
      <c r="F929" s="1113"/>
      <c r="G929" s="1113"/>
      <c r="H929" s="1113"/>
      <c r="I929" s="1113"/>
      <c r="J929" s="1113"/>
      <c r="K929" s="1113"/>
      <c r="L929" s="150">
        <f t="shared" si="54"/>
        <v>0</v>
      </c>
      <c r="M929" s="151">
        <f t="shared" si="55"/>
        <v>0</v>
      </c>
      <c r="N929" s="152">
        <f>+IF(OR($Q929=Parametres!$G$2,$Q929=Parametres!$G$3),I929,C929)</f>
        <v>0</v>
      </c>
      <c r="O929" s="152">
        <f>+IF(OR($Q929=Parametres!$G$2,$Q929=Parametres!$G$3),J929,D929)</f>
        <v>0</v>
      </c>
      <c r="P929" s="152">
        <f>+IF(OR($Q929=Parametres!$G$2,$Q929=Parametres!$G$3),K929,E929)</f>
        <v>0</v>
      </c>
      <c r="Q929" s="151">
        <f t="shared" si="65"/>
        <v>0</v>
      </c>
      <c r="R929" s="150">
        <f t="shared" si="65"/>
        <v>0</v>
      </c>
      <c r="S929" s="151">
        <f t="shared" si="65"/>
        <v>0</v>
      </c>
      <c r="T929" s="153" t="e">
        <f>+VLOOKUP($L929,Data_Validation!$A:$D,1,0)</f>
        <v>#N/A</v>
      </c>
      <c r="U929" s="153" t="e">
        <f>+VLOOKUP($L929,Data_Validation!$A:$D,3,0)</f>
        <v>#N/A</v>
      </c>
      <c r="V929" s="153" t="e">
        <f>+VLOOKUP($L929,Data_Validation!$A:$D,4,0)</f>
        <v>#N/A</v>
      </c>
      <c r="W929" s="153" t="e">
        <f>+VLOOKUP($L929,Data_Validation!$A:$E,5,0)</f>
        <v>#N/A</v>
      </c>
    </row>
    <row r="930" spans="1:23" ht="15.75" customHeight="1">
      <c r="A930" s="1113"/>
      <c r="B930" s="1119"/>
      <c r="C930" s="1120"/>
      <c r="D930" s="1113"/>
      <c r="E930" s="1113"/>
      <c r="F930" s="1113"/>
      <c r="G930" s="1113"/>
      <c r="H930" s="1113"/>
      <c r="I930" s="1113"/>
      <c r="J930" s="1113"/>
      <c r="K930" s="1113"/>
      <c r="L930" s="150">
        <f t="shared" si="54"/>
        <v>0</v>
      </c>
      <c r="M930" s="151">
        <f t="shared" si="55"/>
        <v>0</v>
      </c>
      <c r="N930" s="152">
        <f>+IF(OR($Q930=Parametres!$G$2,$Q930=Parametres!$G$3),I930,C930)</f>
        <v>0</v>
      </c>
      <c r="O930" s="152">
        <f>+IF(OR($Q930=Parametres!$G$2,$Q930=Parametres!$G$3),J930,D930)</f>
        <v>0</v>
      </c>
      <c r="P930" s="152">
        <f>+IF(OR($Q930=Parametres!$G$2,$Q930=Parametres!$G$3),K930,E930)</f>
        <v>0</v>
      </c>
      <c r="Q930" s="151">
        <f t="shared" ref="Q930:S945" si="66">+F930</f>
        <v>0</v>
      </c>
      <c r="R930" s="150">
        <f t="shared" si="66"/>
        <v>0</v>
      </c>
      <c r="S930" s="151">
        <f t="shared" si="66"/>
        <v>0</v>
      </c>
      <c r="T930" s="153" t="e">
        <f>+VLOOKUP($L930,Data_Validation!$A:$D,1,0)</f>
        <v>#N/A</v>
      </c>
      <c r="U930" s="153" t="e">
        <f>+VLOOKUP($L930,Data_Validation!$A:$D,3,0)</f>
        <v>#N/A</v>
      </c>
      <c r="V930" s="153" t="e">
        <f>+VLOOKUP($L930,Data_Validation!$A:$D,4,0)</f>
        <v>#N/A</v>
      </c>
      <c r="W930" s="153" t="e">
        <f>+VLOOKUP($L930,Data_Validation!$A:$E,5,0)</f>
        <v>#N/A</v>
      </c>
    </row>
    <row r="931" spans="1:23" ht="15.75" customHeight="1">
      <c r="A931" s="1113"/>
      <c r="B931" s="1119"/>
      <c r="C931" s="1120"/>
      <c r="D931" s="1113"/>
      <c r="E931" s="1113"/>
      <c r="F931" s="1113"/>
      <c r="G931" s="1113"/>
      <c r="H931" s="1113"/>
      <c r="I931" s="1113"/>
      <c r="J931" s="1113"/>
      <c r="K931" s="1113"/>
      <c r="L931" s="150">
        <f t="shared" si="54"/>
        <v>0</v>
      </c>
      <c r="M931" s="151">
        <f t="shared" si="55"/>
        <v>0</v>
      </c>
      <c r="N931" s="152">
        <f>+IF(OR($Q931=Parametres!$G$2,$Q931=Parametres!$G$3),I931,C931)</f>
        <v>0</v>
      </c>
      <c r="O931" s="152">
        <f>+IF(OR($Q931=Parametres!$G$2,$Q931=Parametres!$G$3),J931,D931)</f>
        <v>0</v>
      </c>
      <c r="P931" s="152">
        <f>+IF(OR($Q931=Parametres!$G$2,$Q931=Parametres!$G$3),K931,E931)</f>
        <v>0</v>
      </c>
      <c r="Q931" s="151">
        <f t="shared" si="66"/>
        <v>0</v>
      </c>
      <c r="R931" s="150">
        <f t="shared" si="66"/>
        <v>0</v>
      </c>
      <c r="S931" s="151">
        <f t="shared" si="66"/>
        <v>0</v>
      </c>
      <c r="T931" s="153" t="e">
        <f>+VLOOKUP($L931,Data_Validation!$A:$D,1,0)</f>
        <v>#N/A</v>
      </c>
      <c r="U931" s="153" t="e">
        <f>+VLOOKUP($L931,Data_Validation!$A:$D,3,0)</f>
        <v>#N/A</v>
      </c>
      <c r="V931" s="153" t="e">
        <f>+VLOOKUP($L931,Data_Validation!$A:$D,4,0)</f>
        <v>#N/A</v>
      </c>
      <c r="W931" s="153" t="e">
        <f>+VLOOKUP($L931,Data_Validation!$A:$E,5,0)</f>
        <v>#N/A</v>
      </c>
    </row>
    <row r="932" spans="1:23" ht="15.75" customHeight="1">
      <c r="A932" s="1113"/>
      <c r="B932" s="1119"/>
      <c r="C932" s="1120"/>
      <c r="D932" s="1113"/>
      <c r="E932" s="1113"/>
      <c r="F932" s="1113"/>
      <c r="G932" s="1113"/>
      <c r="H932" s="1113"/>
      <c r="I932" s="1113"/>
      <c r="J932" s="1113"/>
      <c r="K932" s="1113"/>
      <c r="L932" s="150">
        <f t="shared" si="54"/>
        <v>0</v>
      </c>
      <c r="M932" s="151">
        <f t="shared" si="55"/>
        <v>0</v>
      </c>
      <c r="N932" s="152">
        <f>+IF(OR($Q932=Parametres!$G$2,$Q932=Parametres!$G$3),I932,C932)</f>
        <v>0</v>
      </c>
      <c r="O932" s="152">
        <f>+IF(OR($Q932=Parametres!$G$2,$Q932=Parametres!$G$3),J932,D932)</f>
        <v>0</v>
      </c>
      <c r="P932" s="152">
        <f>+IF(OR($Q932=Parametres!$G$2,$Q932=Parametres!$G$3),K932,E932)</f>
        <v>0</v>
      </c>
      <c r="Q932" s="151">
        <f t="shared" si="66"/>
        <v>0</v>
      </c>
      <c r="R932" s="150">
        <f t="shared" si="66"/>
        <v>0</v>
      </c>
      <c r="S932" s="151">
        <f t="shared" si="66"/>
        <v>0</v>
      </c>
      <c r="T932" s="153" t="e">
        <f>+VLOOKUP($L932,Data_Validation!$A:$D,1,0)</f>
        <v>#N/A</v>
      </c>
      <c r="U932" s="153" t="e">
        <f>+VLOOKUP($L932,Data_Validation!$A:$D,3,0)</f>
        <v>#N/A</v>
      </c>
      <c r="V932" s="153" t="e">
        <f>+VLOOKUP($L932,Data_Validation!$A:$D,4,0)</f>
        <v>#N/A</v>
      </c>
      <c r="W932" s="153" t="e">
        <f>+VLOOKUP($L932,Data_Validation!$A:$E,5,0)</f>
        <v>#N/A</v>
      </c>
    </row>
    <row r="933" spans="1:23" ht="15.75" customHeight="1">
      <c r="A933" s="1113"/>
      <c r="B933" s="1119"/>
      <c r="C933" s="1120"/>
      <c r="D933" s="1113"/>
      <c r="E933" s="1113"/>
      <c r="F933" s="1113"/>
      <c r="G933" s="1113"/>
      <c r="H933" s="1113"/>
      <c r="I933" s="1113"/>
      <c r="J933" s="1113"/>
      <c r="K933" s="1113"/>
      <c r="L933" s="150">
        <f t="shared" si="54"/>
        <v>0</v>
      </c>
      <c r="M933" s="151">
        <f t="shared" si="55"/>
        <v>0</v>
      </c>
      <c r="N933" s="152">
        <f>+IF(OR($Q933=Parametres!$G$2,$Q933=Parametres!$G$3),I933,C933)</f>
        <v>0</v>
      </c>
      <c r="O933" s="152">
        <f>+IF(OR($Q933=Parametres!$G$2,$Q933=Parametres!$G$3),J933,D933)</f>
        <v>0</v>
      </c>
      <c r="P933" s="152">
        <f>+IF(OR($Q933=Parametres!$G$2,$Q933=Parametres!$G$3),K933,E933)</f>
        <v>0</v>
      </c>
      <c r="Q933" s="151">
        <f t="shared" si="66"/>
        <v>0</v>
      </c>
      <c r="R933" s="150">
        <f t="shared" si="66"/>
        <v>0</v>
      </c>
      <c r="S933" s="151">
        <f t="shared" si="66"/>
        <v>0</v>
      </c>
      <c r="T933" s="153" t="e">
        <f>+VLOOKUP($L933,Data_Validation!$A:$D,1,0)</f>
        <v>#N/A</v>
      </c>
      <c r="U933" s="153" t="e">
        <f>+VLOOKUP($L933,Data_Validation!$A:$D,3,0)</f>
        <v>#N/A</v>
      </c>
      <c r="V933" s="153" t="e">
        <f>+VLOOKUP($L933,Data_Validation!$A:$D,4,0)</f>
        <v>#N/A</v>
      </c>
      <c r="W933" s="153" t="e">
        <f>+VLOOKUP($L933,Data_Validation!$A:$E,5,0)</f>
        <v>#N/A</v>
      </c>
    </row>
    <row r="934" spans="1:23" ht="15.75" customHeight="1">
      <c r="A934" s="1113"/>
      <c r="B934" s="1119"/>
      <c r="C934" s="1120"/>
      <c r="D934" s="1113"/>
      <c r="E934" s="1113"/>
      <c r="F934" s="1113"/>
      <c r="G934" s="1113"/>
      <c r="H934" s="1113"/>
      <c r="I934" s="1113"/>
      <c r="J934" s="1113"/>
      <c r="K934" s="1113"/>
      <c r="L934" s="150">
        <f t="shared" si="54"/>
        <v>0</v>
      </c>
      <c r="M934" s="151">
        <f t="shared" si="55"/>
        <v>0</v>
      </c>
      <c r="N934" s="152">
        <f>+IF(OR($Q934=Parametres!$G$2,$Q934=Parametres!$G$3),I934,C934)</f>
        <v>0</v>
      </c>
      <c r="O934" s="152">
        <f>+IF(OR($Q934=Parametres!$G$2,$Q934=Parametres!$G$3),J934,D934)</f>
        <v>0</v>
      </c>
      <c r="P934" s="152">
        <f>+IF(OR($Q934=Parametres!$G$2,$Q934=Parametres!$G$3),K934,E934)</f>
        <v>0</v>
      </c>
      <c r="Q934" s="151">
        <f t="shared" si="66"/>
        <v>0</v>
      </c>
      <c r="R934" s="150">
        <f t="shared" si="66"/>
        <v>0</v>
      </c>
      <c r="S934" s="151">
        <f t="shared" si="66"/>
        <v>0</v>
      </c>
      <c r="T934" s="153" t="e">
        <f>+VLOOKUP($L934,Data_Validation!$A:$D,1,0)</f>
        <v>#N/A</v>
      </c>
      <c r="U934" s="153" t="e">
        <f>+VLOOKUP($L934,Data_Validation!$A:$D,3,0)</f>
        <v>#N/A</v>
      </c>
      <c r="V934" s="153" t="e">
        <f>+VLOOKUP($L934,Data_Validation!$A:$D,4,0)</f>
        <v>#N/A</v>
      </c>
      <c r="W934" s="153" t="e">
        <f>+VLOOKUP($L934,Data_Validation!$A:$E,5,0)</f>
        <v>#N/A</v>
      </c>
    </row>
    <row r="935" spans="1:23" ht="15.75" customHeight="1">
      <c r="A935" s="1113"/>
      <c r="B935" s="1119"/>
      <c r="C935" s="1120"/>
      <c r="D935" s="1113"/>
      <c r="E935" s="1113"/>
      <c r="F935" s="1113"/>
      <c r="G935" s="1113"/>
      <c r="H935" s="1113"/>
      <c r="I935" s="1113"/>
      <c r="J935" s="1113"/>
      <c r="K935" s="1113"/>
      <c r="L935" s="150">
        <f t="shared" si="54"/>
        <v>0</v>
      </c>
      <c r="M935" s="151">
        <f t="shared" si="55"/>
        <v>0</v>
      </c>
      <c r="N935" s="152">
        <f>+IF(OR($Q935=Parametres!$G$2,$Q935=Parametres!$G$3),I935,C935)</f>
        <v>0</v>
      </c>
      <c r="O935" s="152">
        <f>+IF(OR($Q935=Parametres!$G$2,$Q935=Parametres!$G$3),J935,D935)</f>
        <v>0</v>
      </c>
      <c r="P935" s="152">
        <f>+IF(OR($Q935=Parametres!$G$2,$Q935=Parametres!$G$3),K935,E935)</f>
        <v>0</v>
      </c>
      <c r="Q935" s="151">
        <f t="shared" si="66"/>
        <v>0</v>
      </c>
      <c r="R935" s="150">
        <f t="shared" si="66"/>
        <v>0</v>
      </c>
      <c r="S935" s="151">
        <f t="shared" si="66"/>
        <v>0</v>
      </c>
      <c r="T935" s="153" t="e">
        <f>+VLOOKUP($L935,Data_Validation!$A:$D,1,0)</f>
        <v>#N/A</v>
      </c>
      <c r="U935" s="153" t="e">
        <f>+VLOOKUP($L935,Data_Validation!$A:$D,3,0)</f>
        <v>#N/A</v>
      </c>
      <c r="V935" s="153" t="e">
        <f>+VLOOKUP($L935,Data_Validation!$A:$D,4,0)</f>
        <v>#N/A</v>
      </c>
      <c r="W935" s="153" t="e">
        <f>+VLOOKUP($L935,Data_Validation!$A:$E,5,0)</f>
        <v>#N/A</v>
      </c>
    </row>
    <row r="936" spans="1:23" ht="15.75" customHeight="1">
      <c r="A936" s="1113"/>
      <c r="B936" s="1119"/>
      <c r="C936" s="1120"/>
      <c r="D936" s="1113"/>
      <c r="E936" s="1113"/>
      <c r="F936" s="1113"/>
      <c r="G936" s="1113"/>
      <c r="H936" s="1113"/>
      <c r="I936" s="1113"/>
      <c r="J936" s="1113"/>
      <c r="K936" s="1113"/>
      <c r="L936" s="150">
        <f t="shared" si="54"/>
        <v>0</v>
      </c>
      <c r="M936" s="151">
        <f t="shared" si="55"/>
        <v>0</v>
      </c>
      <c r="N936" s="152">
        <f>+IF(OR($Q936=Parametres!$G$2,$Q936=Parametres!$G$3),I936,C936)</f>
        <v>0</v>
      </c>
      <c r="O936" s="152">
        <f>+IF(OR($Q936=Parametres!$G$2,$Q936=Parametres!$G$3),J936,D936)</f>
        <v>0</v>
      </c>
      <c r="P936" s="152">
        <f>+IF(OR($Q936=Parametres!$G$2,$Q936=Parametres!$G$3),K936,E936)</f>
        <v>0</v>
      </c>
      <c r="Q936" s="151">
        <f t="shared" si="66"/>
        <v>0</v>
      </c>
      <c r="R936" s="150">
        <f t="shared" si="66"/>
        <v>0</v>
      </c>
      <c r="S936" s="151">
        <f t="shared" si="66"/>
        <v>0</v>
      </c>
      <c r="T936" s="153" t="e">
        <f>+VLOOKUP($L936,Data_Validation!$A:$D,1,0)</f>
        <v>#N/A</v>
      </c>
      <c r="U936" s="153" t="e">
        <f>+VLOOKUP($L936,Data_Validation!$A:$D,3,0)</f>
        <v>#N/A</v>
      </c>
      <c r="V936" s="153" t="e">
        <f>+VLOOKUP($L936,Data_Validation!$A:$D,4,0)</f>
        <v>#N/A</v>
      </c>
      <c r="W936" s="153" t="e">
        <f>+VLOOKUP($L936,Data_Validation!$A:$E,5,0)</f>
        <v>#N/A</v>
      </c>
    </row>
    <row r="937" spans="1:23" ht="15.75" customHeight="1">
      <c r="A937" s="1113"/>
      <c r="B937" s="1119"/>
      <c r="C937" s="1120"/>
      <c r="D937" s="1113"/>
      <c r="E937" s="1113"/>
      <c r="F937" s="1113"/>
      <c r="G937" s="1113"/>
      <c r="H937" s="1113"/>
      <c r="I937" s="1113"/>
      <c r="J937" s="1113"/>
      <c r="K937" s="1113"/>
      <c r="L937" s="150">
        <f t="shared" si="54"/>
        <v>0</v>
      </c>
      <c r="M937" s="151">
        <f t="shared" si="55"/>
        <v>0</v>
      </c>
      <c r="N937" s="152">
        <f>+IF(OR($Q937=Parametres!$G$2,$Q937=Parametres!$G$3),I937,C937)</f>
        <v>0</v>
      </c>
      <c r="O937" s="152">
        <f>+IF(OR($Q937=Parametres!$G$2,$Q937=Parametres!$G$3),J937,D937)</f>
        <v>0</v>
      </c>
      <c r="P937" s="152">
        <f>+IF(OR($Q937=Parametres!$G$2,$Q937=Parametres!$G$3),K937,E937)</f>
        <v>0</v>
      </c>
      <c r="Q937" s="151">
        <f t="shared" si="66"/>
        <v>0</v>
      </c>
      <c r="R937" s="150">
        <f t="shared" si="66"/>
        <v>0</v>
      </c>
      <c r="S937" s="151">
        <f t="shared" si="66"/>
        <v>0</v>
      </c>
      <c r="T937" s="153" t="e">
        <f>+VLOOKUP($L937,Data_Validation!$A:$D,1,0)</f>
        <v>#N/A</v>
      </c>
      <c r="U937" s="153" t="e">
        <f>+VLOOKUP($L937,Data_Validation!$A:$D,3,0)</f>
        <v>#N/A</v>
      </c>
      <c r="V937" s="153" t="e">
        <f>+VLOOKUP($L937,Data_Validation!$A:$D,4,0)</f>
        <v>#N/A</v>
      </c>
      <c r="W937" s="153" t="e">
        <f>+VLOOKUP($L937,Data_Validation!$A:$E,5,0)</f>
        <v>#N/A</v>
      </c>
    </row>
    <row r="938" spans="1:23" ht="15.75" customHeight="1">
      <c r="A938" s="1113"/>
      <c r="B938" s="1119"/>
      <c r="C938" s="1120"/>
      <c r="D938" s="1113"/>
      <c r="E938" s="1113"/>
      <c r="F938" s="1113"/>
      <c r="G938" s="1113"/>
      <c r="H938" s="1113"/>
      <c r="I938" s="1113"/>
      <c r="J938" s="1113"/>
      <c r="K938" s="1113"/>
      <c r="L938" s="150">
        <f t="shared" si="54"/>
        <v>0</v>
      </c>
      <c r="M938" s="151">
        <f t="shared" si="55"/>
        <v>0</v>
      </c>
      <c r="N938" s="152">
        <f>+IF(OR($Q938=Parametres!$G$2,$Q938=Parametres!$G$3),I938,C938)</f>
        <v>0</v>
      </c>
      <c r="O938" s="152">
        <f>+IF(OR($Q938=Parametres!$G$2,$Q938=Parametres!$G$3),J938,D938)</f>
        <v>0</v>
      </c>
      <c r="P938" s="152">
        <f>+IF(OR($Q938=Parametres!$G$2,$Q938=Parametres!$G$3),K938,E938)</f>
        <v>0</v>
      </c>
      <c r="Q938" s="151">
        <f t="shared" si="66"/>
        <v>0</v>
      </c>
      <c r="R938" s="150">
        <f t="shared" si="66"/>
        <v>0</v>
      </c>
      <c r="S938" s="151">
        <f t="shared" si="66"/>
        <v>0</v>
      </c>
      <c r="T938" s="153" t="e">
        <f>+VLOOKUP($L938,Data_Validation!$A:$D,1,0)</f>
        <v>#N/A</v>
      </c>
      <c r="U938" s="153" t="e">
        <f>+VLOOKUP($L938,Data_Validation!$A:$D,3,0)</f>
        <v>#N/A</v>
      </c>
      <c r="V938" s="153" t="e">
        <f>+VLOOKUP($L938,Data_Validation!$A:$D,4,0)</f>
        <v>#N/A</v>
      </c>
      <c r="W938" s="153" t="e">
        <f>+VLOOKUP($L938,Data_Validation!$A:$E,5,0)</f>
        <v>#N/A</v>
      </c>
    </row>
    <row r="939" spans="1:23" ht="15.75" customHeight="1">
      <c r="A939" s="1113"/>
      <c r="B939" s="1119"/>
      <c r="C939" s="1120"/>
      <c r="D939" s="1113"/>
      <c r="E939" s="1113"/>
      <c r="F939" s="1113"/>
      <c r="G939" s="1113"/>
      <c r="H939" s="1113"/>
      <c r="I939" s="1113"/>
      <c r="J939" s="1113"/>
      <c r="K939" s="1113"/>
      <c r="L939" s="150">
        <f t="shared" si="54"/>
        <v>0</v>
      </c>
      <c r="M939" s="151">
        <f t="shared" si="55"/>
        <v>0</v>
      </c>
      <c r="N939" s="152">
        <f>+IF(OR($Q939=Parametres!$G$2,$Q939=Parametres!$G$3),I939,C939)</f>
        <v>0</v>
      </c>
      <c r="O939" s="152">
        <f>+IF(OR($Q939=Parametres!$G$2,$Q939=Parametres!$G$3),J939,D939)</f>
        <v>0</v>
      </c>
      <c r="P939" s="152">
        <f>+IF(OR($Q939=Parametres!$G$2,$Q939=Parametres!$G$3),K939,E939)</f>
        <v>0</v>
      </c>
      <c r="Q939" s="151">
        <f t="shared" si="66"/>
        <v>0</v>
      </c>
      <c r="R939" s="150">
        <f t="shared" si="66"/>
        <v>0</v>
      </c>
      <c r="S939" s="151">
        <f t="shared" si="66"/>
        <v>0</v>
      </c>
      <c r="T939" s="153" t="e">
        <f>+VLOOKUP($L939,Data_Validation!$A:$D,1,0)</f>
        <v>#N/A</v>
      </c>
      <c r="U939" s="153" t="e">
        <f>+VLOOKUP($L939,Data_Validation!$A:$D,3,0)</f>
        <v>#N/A</v>
      </c>
      <c r="V939" s="153" t="e">
        <f>+VLOOKUP($L939,Data_Validation!$A:$D,4,0)</f>
        <v>#N/A</v>
      </c>
      <c r="W939" s="153" t="e">
        <f>+VLOOKUP($L939,Data_Validation!$A:$E,5,0)</f>
        <v>#N/A</v>
      </c>
    </row>
    <row r="940" spans="1:23" ht="15.75" customHeight="1">
      <c r="A940" s="1113"/>
      <c r="B940" s="1119"/>
      <c r="C940" s="1120"/>
      <c r="D940" s="1113"/>
      <c r="E940" s="1113"/>
      <c r="F940" s="1113"/>
      <c r="G940" s="1113"/>
      <c r="H940" s="1113"/>
      <c r="I940" s="1113"/>
      <c r="J940" s="1113"/>
      <c r="K940" s="1113"/>
      <c r="L940" s="150">
        <f t="shared" si="54"/>
        <v>0</v>
      </c>
      <c r="M940" s="151">
        <f t="shared" si="55"/>
        <v>0</v>
      </c>
      <c r="N940" s="152">
        <f>+IF(OR($Q940=Parametres!$G$2,$Q940=Parametres!$G$3),I940,C940)</f>
        <v>0</v>
      </c>
      <c r="O940" s="152">
        <f>+IF(OR($Q940=Parametres!$G$2,$Q940=Parametres!$G$3),J940,D940)</f>
        <v>0</v>
      </c>
      <c r="P940" s="152">
        <f>+IF(OR($Q940=Parametres!$G$2,$Q940=Parametres!$G$3),K940,E940)</f>
        <v>0</v>
      </c>
      <c r="Q940" s="151">
        <f t="shared" si="66"/>
        <v>0</v>
      </c>
      <c r="R940" s="150">
        <f t="shared" si="66"/>
        <v>0</v>
      </c>
      <c r="S940" s="151">
        <f t="shared" si="66"/>
        <v>0</v>
      </c>
      <c r="T940" s="153" t="e">
        <f>+VLOOKUP($L940,Data_Validation!$A:$D,1,0)</f>
        <v>#N/A</v>
      </c>
      <c r="U940" s="153" t="e">
        <f>+VLOOKUP($L940,Data_Validation!$A:$D,3,0)</f>
        <v>#N/A</v>
      </c>
      <c r="V940" s="153" t="e">
        <f>+VLOOKUP($L940,Data_Validation!$A:$D,4,0)</f>
        <v>#N/A</v>
      </c>
      <c r="W940" s="153" t="e">
        <f>+VLOOKUP($L940,Data_Validation!$A:$E,5,0)</f>
        <v>#N/A</v>
      </c>
    </row>
    <row r="941" spans="1:23" ht="15.75" customHeight="1">
      <c r="A941" s="1113"/>
      <c r="B941" s="1119"/>
      <c r="C941" s="1120"/>
      <c r="D941" s="1113"/>
      <c r="E941" s="1113"/>
      <c r="F941" s="1113"/>
      <c r="G941" s="1113"/>
      <c r="H941" s="1113"/>
      <c r="I941" s="1113"/>
      <c r="J941" s="1113"/>
      <c r="K941" s="1113"/>
      <c r="L941" s="150">
        <f t="shared" si="54"/>
        <v>0</v>
      </c>
      <c r="M941" s="151">
        <f t="shared" si="55"/>
        <v>0</v>
      </c>
      <c r="N941" s="152">
        <f>+IF(OR($Q941=Parametres!$G$2,$Q941=Parametres!$G$3),I941,C941)</f>
        <v>0</v>
      </c>
      <c r="O941" s="152">
        <f>+IF(OR($Q941=Parametres!$G$2,$Q941=Parametres!$G$3),J941,D941)</f>
        <v>0</v>
      </c>
      <c r="P941" s="152">
        <f>+IF(OR($Q941=Parametres!$G$2,$Q941=Parametres!$G$3),K941,E941)</f>
        <v>0</v>
      </c>
      <c r="Q941" s="151">
        <f t="shared" si="66"/>
        <v>0</v>
      </c>
      <c r="R941" s="150">
        <f t="shared" si="66"/>
        <v>0</v>
      </c>
      <c r="S941" s="151">
        <f t="shared" si="66"/>
        <v>0</v>
      </c>
      <c r="T941" s="153" t="e">
        <f>+VLOOKUP($L941,Data_Validation!$A:$D,1,0)</f>
        <v>#N/A</v>
      </c>
      <c r="U941" s="153" t="e">
        <f>+VLOOKUP($L941,Data_Validation!$A:$D,3,0)</f>
        <v>#N/A</v>
      </c>
      <c r="V941" s="153" t="e">
        <f>+VLOOKUP($L941,Data_Validation!$A:$D,4,0)</f>
        <v>#N/A</v>
      </c>
      <c r="W941" s="153" t="e">
        <f>+VLOOKUP($L941,Data_Validation!$A:$E,5,0)</f>
        <v>#N/A</v>
      </c>
    </row>
    <row r="942" spans="1:23" ht="15.75" customHeight="1">
      <c r="A942" s="1113"/>
      <c r="B942" s="1119"/>
      <c r="C942" s="1120"/>
      <c r="D942" s="1113"/>
      <c r="E942" s="1113"/>
      <c r="F942" s="1113"/>
      <c r="G942" s="1113"/>
      <c r="H942" s="1113"/>
      <c r="I942" s="1113"/>
      <c r="J942" s="1113"/>
      <c r="K942" s="1113"/>
      <c r="L942" s="150">
        <f t="shared" si="54"/>
        <v>0</v>
      </c>
      <c r="M942" s="151">
        <f t="shared" si="55"/>
        <v>0</v>
      </c>
      <c r="N942" s="152">
        <f>+IF(OR($Q942=Parametres!$G$2,$Q942=Parametres!$G$3),I942,C942)</f>
        <v>0</v>
      </c>
      <c r="O942" s="152">
        <f>+IF(OR($Q942=Parametres!$G$2,$Q942=Parametres!$G$3),J942,D942)</f>
        <v>0</v>
      </c>
      <c r="P942" s="152">
        <f>+IF(OR($Q942=Parametres!$G$2,$Q942=Parametres!$G$3),K942,E942)</f>
        <v>0</v>
      </c>
      <c r="Q942" s="151">
        <f t="shared" si="66"/>
        <v>0</v>
      </c>
      <c r="R942" s="150">
        <f t="shared" si="66"/>
        <v>0</v>
      </c>
      <c r="S942" s="151">
        <f t="shared" si="66"/>
        <v>0</v>
      </c>
      <c r="T942" s="153" t="e">
        <f>+VLOOKUP($L942,Data_Validation!$A:$D,1,0)</f>
        <v>#N/A</v>
      </c>
      <c r="U942" s="153" t="e">
        <f>+VLOOKUP($L942,Data_Validation!$A:$D,3,0)</f>
        <v>#N/A</v>
      </c>
      <c r="V942" s="153" t="e">
        <f>+VLOOKUP($L942,Data_Validation!$A:$D,4,0)</f>
        <v>#N/A</v>
      </c>
      <c r="W942" s="153" t="e">
        <f>+VLOOKUP($L942,Data_Validation!$A:$E,5,0)</f>
        <v>#N/A</v>
      </c>
    </row>
    <row r="943" spans="1:23" ht="15.75" customHeight="1">
      <c r="A943" s="1113"/>
      <c r="B943" s="1119"/>
      <c r="C943" s="1120"/>
      <c r="D943" s="1113"/>
      <c r="E943" s="1113"/>
      <c r="F943" s="1113"/>
      <c r="G943" s="1113"/>
      <c r="H943" s="1113"/>
      <c r="I943" s="1113"/>
      <c r="J943" s="1113"/>
      <c r="K943" s="1113"/>
      <c r="L943" s="150">
        <f t="shared" si="54"/>
        <v>0</v>
      </c>
      <c r="M943" s="151">
        <f t="shared" si="55"/>
        <v>0</v>
      </c>
      <c r="N943" s="152">
        <f>+IF(OR($Q943=Parametres!$G$2,$Q943=Parametres!$G$3),I943,C943)</f>
        <v>0</v>
      </c>
      <c r="O943" s="152">
        <f>+IF(OR($Q943=Parametres!$G$2,$Q943=Parametres!$G$3),J943,D943)</f>
        <v>0</v>
      </c>
      <c r="P943" s="152">
        <f>+IF(OR($Q943=Parametres!$G$2,$Q943=Parametres!$G$3),K943,E943)</f>
        <v>0</v>
      </c>
      <c r="Q943" s="151">
        <f t="shared" si="66"/>
        <v>0</v>
      </c>
      <c r="R943" s="150">
        <f t="shared" si="66"/>
        <v>0</v>
      </c>
      <c r="S943" s="151">
        <f t="shared" si="66"/>
        <v>0</v>
      </c>
      <c r="T943" s="153" t="e">
        <f>+VLOOKUP($L943,Data_Validation!$A:$D,1,0)</f>
        <v>#N/A</v>
      </c>
      <c r="U943" s="153" t="e">
        <f>+VLOOKUP($L943,Data_Validation!$A:$D,3,0)</f>
        <v>#N/A</v>
      </c>
      <c r="V943" s="153" t="e">
        <f>+VLOOKUP($L943,Data_Validation!$A:$D,4,0)</f>
        <v>#N/A</v>
      </c>
      <c r="W943" s="153" t="e">
        <f>+VLOOKUP($L943,Data_Validation!$A:$E,5,0)</f>
        <v>#N/A</v>
      </c>
    </row>
    <row r="944" spans="1:23" ht="15.75" customHeight="1">
      <c r="A944" s="1113"/>
      <c r="B944" s="1119"/>
      <c r="C944" s="1120"/>
      <c r="D944" s="1113"/>
      <c r="E944" s="1113"/>
      <c r="F944" s="1113"/>
      <c r="G944" s="1113"/>
      <c r="H944" s="1113"/>
      <c r="I944" s="1113"/>
      <c r="J944" s="1113"/>
      <c r="K944" s="1113"/>
      <c r="L944" s="150">
        <f t="shared" si="54"/>
        <v>0</v>
      </c>
      <c r="M944" s="151">
        <f t="shared" si="55"/>
        <v>0</v>
      </c>
      <c r="N944" s="152">
        <f>+IF(OR($Q944=Parametres!$G$2,$Q944=Parametres!$G$3),I944,C944)</f>
        <v>0</v>
      </c>
      <c r="O944" s="152">
        <f>+IF(OR($Q944=Parametres!$G$2,$Q944=Parametres!$G$3),J944,D944)</f>
        <v>0</v>
      </c>
      <c r="P944" s="152">
        <f>+IF(OR($Q944=Parametres!$G$2,$Q944=Parametres!$G$3),K944,E944)</f>
        <v>0</v>
      </c>
      <c r="Q944" s="151">
        <f t="shared" si="66"/>
        <v>0</v>
      </c>
      <c r="R944" s="150">
        <f t="shared" si="66"/>
        <v>0</v>
      </c>
      <c r="S944" s="151">
        <f t="shared" si="66"/>
        <v>0</v>
      </c>
      <c r="T944" s="153" t="e">
        <f>+VLOOKUP($L944,Data_Validation!$A:$D,1,0)</f>
        <v>#N/A</v>
      </c>
      <c r="U944" s="153" t="e">
        <f>+VLOOKUP($L944,Data_Validation!$A:$D,3,0)</f>
        <v>#N/A</v>
      </c>
      <c r="V944" s="153" t="e">
        <f>+VLOOKUP($L944,Data_Validation!$A:$D,4,0)</f>
        <v>#N/A</v>
      </c>
      <c r="W944" s="153" t="e">
        <f>+VLOOKUP($L944,Data_Validation!$A:$E,5,0)</f>
        <v>#N/A</v>
      </c>
    </row>
    <row r="945" spans="1:23" ht="15.75" customHeight="1">
      <c r="A945" s="1113"/>
      <c r="B945" s="1119"/>
      <c r="C945" s="1120"/>
      <c r="D945" s="1113"/>
      <c r="E945" s="1113"/>
      <c r="F945" s="1113"/>
      <c r="G945" s="1113"/>
      <c r="H945" s="1113"/>
      <c r="I945" s="1113"/>
      <c r="J945" s="1113"/>
      <c r="K945" s="1113"/>
      <c r="L945" s="150">
        <f t="shared" si="54"/>
        <v>0</v>
      </c>
      <c r="M945" s="151">
        <f t="shared" si="55"/>
        <v>0</v>
      </c>
      <c r="N945" s="152">
        <f>+IF(OR($Q945=Parametres!$G$2,$Q945=Parametres!$G$3),I945,C945)</f>
        <v>0</v>
      </c>
      <c r="O945" s="152">
        <f>+IF(OR($Q945=Parametres!$G$2,$Q945=Parametres!$G$3),J945,D945)</f>
        <v>0</v>
      </c>
      <c r="P945" s="152">
        <f>+IF(OR($Q945=Parametres!$G$2,$Q945=Parametres!$G$3),K945,E945)</f>
        <v>0</v>
      </c>
      <c r="Q945" s="151">
        <f t="shared" si="66"/>
        <v>0</v>
      </c>
      <c r="R945" s="150">
        <f t="shared" si="66"/>
        <v>0</v>
      </c>
      <c r="S945" s="151">
        <f t="shared" si="66"/>
        <v>0</v>
      </c>
      <c r="T945" s="153" t="e">
        <f>+VLOOKUP($L945,Data_Validation!$A:$D,1,0)</f>
        <v>#N/A</v>
      </c>
      <c r="U945" s="153" t="e">
        <f>+VLOOKUP($L945,Data_Validation!$A:$D,3,0)</f>
        <v>#N/A</v>
      </c>
      <c r="V945" s="153" t="e">
        <f>+VLOOKUP($L945,Data_Validation!$A:$D,4,0)</f>
        <v>#N/A</v>
      </c>
      <c r="W945" s="153" t="e">
        <f>+VLOOKUP($L945,Data_Validation!$A:$E,5,0)</f>
        <v>#N/A</v>
      </c>
    </row>
    <row r="946" spans="1:23" ht="15.75" customHeight="1">
      <c r="A946" s="1113"/>
      <c r="B946" s="1119"/>
      <c r="C946" s="1120"/>
      <c r="D946" s="1113"/>
      <c r="E946" s="1113"/>
      <c r="F946" s="1113"/>
      <c r="G946" s="1113"/>
      <c r="H946" s="1113"/>
      <c r="I946" s="1113"/>
      <c r="J946" s="1113"/>
      <c r="K946" s="1113"/>
      <c r="L946" s="150">
        <f t="shared" si="54"/>
        <v>0</v>
      </c>
      <c r="M946" s="151">
        <f t="shared" si="55"/>
        <v>0</v>
      </c>
      <c r="N946" s="152">
        <f>+IF(OR($Q946=Parametres!$G$2,$Q946=Parametres!$G$3),I946,C946)</f>
        <v>0</v>
      </c>
      <c r="O946" s="152">
        <f>+IF(OR($Q946=Parametres!$G$2,$Q946=Parametres!$G$3),J946,D946)</f>
        <v>0</v>
      </c>
      <c r="P946" s="152">
        <f>+IF(OR($Q946=Parametres!$G$2,$Q946=Parametres!$G$3),K946,E946)</f>
        <v>0</v>
      </c>
      <c r="Q946" s="151">
        <f t="shared" ref="Q946:S961" si="67">+F946</f>
        <v>0</v>
      </c>
      <c r="R946" s="150">
        <f t="shared" si="67"/>
        <v>0</v>
      </c>
      <c r="S946" s="151">
        <f t="shared" si="67"/>
        <v>0</v>
      </c>
      <c r="T946" s="153" t="e">
        <f>+VLOOKUP($L946,Data_Validation!$A:$D,1,0)</f>
        <v>#N/A</v>
      </c>
      <c r="U946" s="153" t="e">
        <f>+VLOOKUP($L946,Data_Validation!$A:$D,3,0)</f>
        <v>#N/A</v>
      </c>
      <c r="V946" s="153" t="e">
        <f>+VLOOKUP($L946,Data_Validation!$A:$D,4,0)</f>
        <v>#N/A</v>
      </c>
      <c r="W946" s="153" t="e">
        <f>+VLOOKUP($L946,Data_Validation!$A:$E,5,0)</f>
        <v>#N/A</v>
      </c>
    </row>
    <row r="947" spans="1:23" ht="15.75" customHeight="1">
      <c r="A947" s="1113"/>
      <c r="B947" s="1119"/>
      <c r="C947" s="1120"/>
      <c r="D947" s="1113"/>
      <c r="E947" s="1113"/>
      <c r="F947" s="1113"/>
      <c r="G947" s="1113"/>
      <c r="H947" s="1113"/>
      <c r="I947" s="1113"/>
      <c r="J947" s="1113"/>
      <c r="K947" s="1113"/>
      <c r="L947" s="150">
        <f t="shared" si="54"/>
        <v>0</v>
      </c>
      <c r="M947" s="151">
        <f t="shared" si="55"/>
        <v>0</v>
      </c>
      <c r="N947" s="152">
        <f>+IF(OR($Q947=Parametres!$G$2,$Q947=Parametres!$G$3),I947,C947)</f>
        <v>0</v>
      </c>
      <c r="O947" s="152">
        <f>+IF(OR($Q947=Parametres!$G$2,$Q947=Parametres!$G$3),J947,D947)</f>
        <v>0</v>
      </c>
      <c r="P947" s="152">
        <f>+IF(OR($Q947=Parametres!$G$2,$Q947=Parametres!$G$3),K947,E947)</f>
        <v>0</v>
      </c>
      <c r="Q947" s="151">
        <f t="shared" si="67"/>
        <v>0</v>
      </c>
      <c r="R947" s="150">
        <f t="shared" si="67"/>
        <v>0</v>
      </c>
      <c r="S947" s="151">
        <f t="shared" si="67"/>
        <v>0</v>
      </c>
      <c r="T947" s="153" t="e">
        <f>+VLOOKUP($L947,Data_Validation!$A:$D,1,0)</f>
        <v>#N/A</v>
      </c>
      <c r="U947" s="153" t="e">
        <f>+VLOOKUP($L947,Data_Validation!$A:$D,3,0)</f>
        <v>#N/A</v>
      </c>
      <c r="V947" s="153" t="e">
        <f>+VLOOKUP($L947,Data_Validation!$A:$D,4,0)</f>
        <v>#N/A</v>
      </c>
      <c r="W947" s="153" t="e">
        <f>+VLOOKUP($L947,Data_Validation!$A:$E,5,0)</f>
        <v>#N/A</v>
      </c>
    </row>
    <row r="948" spans="1:23" ht="15.75" customHeight="1">
      <c r="A948" s="1113"/>
      <c r="B948" s="1119"/>
      <c r="C948" s="1120"/>
      <c r="D948" s="1113"/>
      <c r="E948" s="1113"/>
      <c r="F948" s="1113"/>
      <c r="G948" s="1113"/>
      <c r="H948" s="1113"/>
      <c r="I948" s="1113"/>
      <c r="J948" s="1113"/>
      <c r="K948" s="1113"/>
      <c r="L948" s="150">
        <f t="shared" si="54"/>
        <v>0</v>
      </c>
      <c r="M948" s="151">
        <f t="shared" si="55"/>
        <v>0</v>
      </c>
      <c r="N948" s="152">
        <f>+IF(OR($Q948=Parametres!$G$2,$Q948=Parametres!$G$3),I948,C948)</f>
        <v>0</v>
      </c>
      <c r="O948" s="152">
        <f>+IF(OR($Q948=Parametres!$G$2,$Q948=Parametres!$G$3),J948,D948)</f>
        <v>0</v>
      </c>
      <c r="P948" s="152">
        <f>+IF(OR($Q948=Parametres!$G$2,$Q948=Parametres!$G$3),K948,E948)</f>
        <v>0</v>
      </c>
      <c r="Q948" s="151">
        <f t="shared" si="67"/>
        <v>0</v>
      </c>
      <c r="R948" s="150">
        <f t="shared" si="67"/>
        <v>0</v>
      </c>
      <c r="S948" s="151">
        <f t="shared" si="67"/>
        <v>0</v>
      </c>
      <c r="T948" s="153" t="e">
        <f>+VLOOKUP($L948,Data_Validation!$A:$D,1,0)</f>
        <v>#N/A</v>
      </c>
      <c r="U948" s="153" t="e">
        <f>+VLOOKUP($L948,Data_Validation!$A:$D,3,0)</f>
        <v>#N/A</v>
      </c>
      <c r="V948" s="153" t="e">
        <f>+VLOOKUP($L948,Data_Validation!$A:$D,4,0)</f>
        <v>#N/A</v>
      </c>
      <c r="W948" s="153" t="e">
        <f>+VLOOKUP($L948,Data_Validation!$A:$E,5,0)</f>
        <v>#N/A</v>
      </c>
    </row>
    <row r="949" spans="1:23" ht="15.75" customHeight="1">
      <c r="A949" s="1113"/>
      <c r="B949" s="1119"/>
      <c r="C949" s="1120"/>
      <c r="D949" s="1113"/>
      <c r="E949" s="1113"/>
      <c r="F949" s="1113"/>
      <c r="G949" s="1113"/>
      <c r="H949" s="1113"/>
      <c r="I949" s="1113"/>
      <c r="J949" s="1113"/>
      <c r="K949" s="1113"/>
      <c r="L949" s="150">
        <f t="shared" si="54"/>
        <v>0</v>
      </c>
      <c r="M949" s="151">
        <f t="shared" si="55"/>
        <v>0</v>
      </c>
      <c r="N949" s="152">
        <f>+IF(OR($Q949=Parametres!$G$2,$Q949=Parametres!$G$3),I949,C949)</f>
        <v>0</v>
      </c>
      <c r="O949" s="152">
        <f>+IF(OR($Q949=Parametres!$G$2,$Q949=Parametres!$G$3),J949,D949)</f>
        <v>0</v>
      </c>
      <c r="P949" s="152">
        <f>+IF(OR($Q949=Parametres!$G$2,$Q949=Parametres!$G$3),K949,E949)</f>
        <v>0</v>
      </c>
      <c r="Q949" s="151">
        <f t="shared" si="67"/>
        <v>0</v>
      </c>
      <c r="R949" s="150">
        <f t="shared" si="67"/>
        <v>0</v>
      </c>
      <c r="S949" s="151">
        <f t="shared" si="67"/>
        <v>0</v>
      </c>
      <c r="T949" s="153" t="e">
        <f>+VLOOKUP($L949,Data_Validation!$A:$D,1,0)</f>
        <v>#N/A</v>
      </c>
      <c r="U949" s="153" t="e">
        <f>+VLOOKUP($L949,Data_Validation!$A:$D,3,0)</f>
        <v>#N/A</v>
      </c>
      <c r="V949" s="153" t="e">
        <f>+VLOOKUP($L949,Data_Validation!$A:$D,4,0)</f>
        <v>#N/A</v>
      </c>
      <c r="W949" s="153" t="e">
        <f>+VLOOKUP($L949,Data_Validation!$A:$E,5,0)</f>
        <v>#N/A</v>
      </c>
    </row>
    <row r="950" spans="1:23" ht="15.75" customHeight="1">
      <c r="A950" s="1113"/>
      <c r="B950" s="1119"/>
      <c r="C950" s="1120"/>
      <c r="D950" s="1113"/>
      <c r="E950" s="1113"/>
      <c r="F950" s="1113"/>
      <c r="G950" s="1113"/>
      <c r="H950" s="1113"/>
      <c r="I950" s="1113"/>
      <c r="J950" s="1113"/>
      <c r="K950" s="1113"/>
      <c r="L950" s="150">
        <f t="shared" si="54"/>
        <v>0</v>
      </c>
      <c r="M950" s="151">
        <f t="shared" si="55"/>
        <v>0</v>
      </c>
      <c r="N950" s="152">
        <f>+IF(OR($Q950=Parametres!$G$2,$Q950=Parametres!$G$3),I950,C950)</f>
        <v>0</v>
      </c>
      <c r="O950" s="152">
        <f>+IF(OR($Q950=Parametres!$G$2,$Q950=Parametres!$G$3),J950,D950)</f>
        <v>0</v>
      </c>
      <c r="P950" s="152">
        <f>+IF(OR($Q950=Parametres!$G$2,$Q950=Parametres!$G$3),K950,E950)</f>
        <v>0</v>
      </c>
      <c r="Q950" s="151">
        <f t="shared" si="67"/>
        <v>0</v>
      </c>
      <c r="R950" s="150">
        <f t="shared" si="67"/>
        <v>0</v>
      </c>
      <c r="S950" s="151">
        <f t="shared" si="67"/>
        <v>0</v>
      </c>
      <c r="T950" s="153" t="e">
        <f>+VLOOKUP($L950,Data_Validation!$A:$D,1,0)</f>
        <v>#N/A</v>
      </c>
      <c r="U950" s="153" t="e">
        <f>+VLOOKUP($L950,Data_Validation!$A:$D,3,0)</f>
        <v>#N/A</v>
      </c>
      <c r="V950" s="153" t="e">
        <f>+VLOOKUP($L950,Data_Validation!$A:$D,4,0)</f>
        <v>#N/A</v>
      </c>
      <c r="W950" s="153" t="e">
        <f>+VLOOKUP($L950,Data_Validation!$A:$E,5,0)</f>
        <v>#N/A</v>
      </c>
    </row>
    <row r="951" spans="1:23" ht="15.75" customHeight="1">
      <c r="A951" s="1113"/>
      <c r="B951" s="1119"/>
      <c r="C951" s="1120"/>
      <c r="D951" s="1113"/>
      <c r="E951" s="1113"/>
      <c r="F951" s="1113"/>
      <c r="G951" s="1113"/>
      <c r="H951" s="1113"/>
      <c r="I951" s="1113"/>
      <c r="J951" s="1113"/>
      <c r="K951" s="1113"/>
      <c r="L951" s="150">
        <f t="shared" si="54"/>
        <v>0</v>
      </c>
      <c r="M951" s="151">
        <f t="shared" si="55"/>
        <v>0</v>
      </c>
      <c r="N951" s="152">
        <f>+IF(OR($Q951=Parametres!$G$2,$Q951=Parametres!$G$3),I951,C951)</f>
        <v>0</v>
      </c>
      <c r="O951" s="152">
        <f>+IF(OR($Q951=Parametres!$G$2,$Q951=Parametres!$G$3),J951,D951)</f>
        <v>0</v>
      </c>
      <c r="P951" s="152">
        <f>+IF(OR($Q951=Parametres!$G$2,$Q951=Parametres!$G$3),K951,E951)</f>
        <v>0</v>
      </c>
      <c r="Q951" s="151">
        <f t="shared" si="67"/>
        <v>0</v>
      </c>
      <c r="R951" s="150">
        <f t="shared" si="67"/>
        <v>0</v>
      </c>
      <c r="S951" s="151">
        <f t="shared" si="67"/>
        <v>0</v>
      </c>
      <c r="T951" s="153" t="e">
        <f>+VLOOKUP($L951,Data_Validation!$A:$D,1,0)</f>
        <v>#N/A</v>
      </c>
      <c r="U951" s="153" t="e">
        <f>+VLOOKUP($L951,Data_Validation!$A:$D,3,0)</f>
        <v>#N/A</v>
      </c>
      <c r="V951" s="153" t="e">
        <f>+VLOOKUP($L951,Data_Validation!$A:$D,4,0)</f>
        <v>#N/A</v>
      </c>
      <c r="W951" s="153" t="e">
        <f>+VLOOKUP($L951,Data_Validation!$A:$E,5,0)</f>
        <v>#N/A</v>
      </c>
    </row>
    <row r="952" spans="1:23" ht="15.75" customHeight="1">
      <c r="A952" s="1113"/>
      <c r="B952" s="1119"/>
      <c r="C952" s="1120"/>
      <c r="D952" s="1113"/>
      <c r="E952" s="1113"/>
      <c r="F952" s="1113"/>
      <c r="G952" s="1113"/>
      <c r="H952" s="1113"/>
      <c r="I952" s="1113"/>
      <c r="J952" s="1113"/>
      <c r="K952" s="1113"/>
      <c r="L952" s="150">
        <f t="shared" si="54"/>
        <v>0</v>
      </c>
      <c r="M952" s="151">
        <f t="shared" si="55"/>
        <v>0</v>
      </c>
      <c r="N952" s="152">
        <f>+IF(OR($Q952=Parametres!$G$2,$Q952=Parametres!$G$3),I952,C952)</f>
        <v>0</v>
      </c>
      <c r="O952" s="152">
        <f>+IF(OR($Q952=Parametres!$G$2,$Q952=Parametres!$G$3),J952,D952)</f>
        <v>0</v>
      </c>
      <c r="P952" s="152">
        <f>+IF(OR($Q952=Parametres!$G$2,$Q952=Parametres!$G$3),K952,E952)</f>
        <v>0</v>
      </c>
      <c r="Q952" s="151">
        <f t="shared" si="67"/>
        <v>0</v>
      </c>
      <c r="R952" s="150">
        <f t="shared" si="67"/>
        <v>0</v>
      </c>
      <c r="S952" s="151">
        <f t="shared" si="67"/>
        <v>0</v>
      </c>
      <c r="T952" s="153" t="e">
        <f>+VLOOKUP($L952,Data_Validation!$A:$D,1,0)</f>
        <v>#N/A</v>
      </c>
      <c r="U952" s="153" t="e">
        <f>+VLOOKUP($L952,Data_Validation!$A:$D,3,0)</f>
        <v>#N/A</v>
      </c>
      <c r="V952" s="153" t="e">
        <f>+VLOOKUP($L952,Data_Validation!$A:$D,4,0)</f>
        <v>#N/A</v>
      </c>
      <c r="W952" s="153" t="e">
        <f>+VLOOKUP($L952,Data_Validation!$A:$E,5,0)</f>
        <v>#N/A</v>
      </c>
    </row>
    <row r="953" spans="1:23" ht="15.75" customHeight="1">
      <c r="A953" s="1113"/>
      <c r="B953" s="1119"/>
      <c r="C953" s="1120"/>
      <c r="D953" s="1113"/>
      <c r="E953" s="1113"/>
      <c r="F953" s="1113"/>
      <c r="G953" s="1113"/>
      <c r="H953" s="1113"/>
      <c r="I953" s="1113"/>
      <c r="J953" s="1113"/>
      <c r="K953" s="1113"/>
      <c r="L953" s="150">
        <f t="shared" si="54"/>
        <v>0</v>
      </c>
      <c r="M953" s="151">
        <f t="shared" si="55"/>
        <v>0</v>
      </c>
      <c r="N953" s="152">
        <f>+IF(OR($Q953=Parametres!$G$2,$Q953=Parametres!$G$3),I953,C953)</f>
        <v>0</v>
      </c>
      <c r="O953" s="152">
        <f>+IF(OR($Q953=Parametres!$G$2,$Q953=Parametres!$G$3),J953,D953)</f>
        <v>0</v>
      </c>
      <c r="P953" s="152">
        <f>+IF(OR($Q953=Parametres!$G$2,$Q953=Parametres!$G$3),K953,E953)</f>
        <v>0</v>
      </c>
      <c r="Q953" s="151">
        <f t="shared" si="67"/>
        <v>0</v>
      </c>
      <c r="R953" s="150">
        <f t="shared" si="67"/>
        <v>0</v>
      </c>
      <c r="S953" s="151">
        <f t="shared" si="67"/>
        <v>0</v>
      </c>
      <c r="T953" s="153" t="e">
        <f>+VLOOKUP($L953,Data_Validation!$A:$D,1,0)</f>
        <v>#N/A</v>
      </c>
      <c r="U953" s="153" t="e">
        <f>+VLOOKUP($L953,Data_Validation!$A:$D,3,0)</f>
        <v>#N/A</v>
      </c>
      <c r="V953" s="153" t="e">
        <f>+VLOOKUP($L953,Data_Validation!$A:$D,4,0)</f>
        <v>#N/A</v>
      </c>
      <c r="W953" s="153" t="e">
        <f>+VLOOKUP($L953,Data_Validation!$A:$E,5,0)</f>
        <v>#N/A</v>
      </c>
    </row>
    <row r="954" spans="1:23" ht="15.75" customHeight="1">
      <c r="A954" s="1113"/>
      <c r="B954" s="1119"/>
      <c r="C954" s="1120"/>
      <c r="D954" s="1113"/>
      <c r="E954" s="1113"/>
      <c r="F954" s="1113"/>
      <c r="G954" s="1113"/>
      <c r="H954" s="1113"/>
      <c r="I954" s="1113"/>
      <c r="J954" s="1113"/>
      <c r="K954" s="1113"/>
      <c r="L954" s="150">
        <f t="shared" si="54"/>
        <v>0</v>
      </c>
      <c r="M954" s="151">
        <f t="shared" si="55"/>
        <v>0</v>
      </c>
      <c r="N954" s="152">
        <f>+IF(OR($Q954=Parametres!$G$2,$Q954=Parametres!$G$3),I954,C954)</f>
        <v>0</v>
      </c>
      <c r="O954" s="152">
        <f>+IF(OR($Q954=Parametres!$G$2,$Q954=Parametres!$G$3),J954,D954)</f>
        <v>0</v>
      </c>
      <c r="P954" s="152">
        <f>+IF(OR($Q954=Parametres!$G$2,$Q954=Parametres!$G$3),K954,E954)</f>
        <v>0</v>
      </c>
      <c r="Q954" s="151">
        <f t="shared" si="67"/>
        <v>0</v>
      </c>
      <c r="R954" s="150">
        <f t="shared" si="67"/>
        <v>0</v>
      </c>
      <c r="S954" s="151">
        <f t="shared" si="67"/>
        <v>0</v>
      </c>
      <c r="T954" s="153" t="e">
        <f>+VLOOKUP($L954,Data_Validation!$A:$D,1,0)</f>
        <v>#N/A</v>
      </c>
      <c r="U954" s="153" t="e">
        <f>+VLOOKUP($L954,Data_Validation!$A:$D,3,0)</f>
        <v>#N/A</v>
      </c>
      <c r="V954" s="153" t="e">
        <f>+VLOOKUP($L954,Data_Validation!$A:$D,4,0)</f>
        <v>#N/A</v>
      </c>
      <c r="W954" s="153" t="e">
        <f>+VLOOKUP($L954,Data_Validation!$A:$E,5,0)</f>
        <v>#N/A</v>
      </c>
    </row>
    <row r="955" spans="1:23" ht="15.75" customHeight="1">
      <c r="A955" s="1113"/>
      <c r="B955" s="1119"/>
      <c r="C955" s="1120"/>
      <c r="D955" s="1113"/>
      <c r="E955" s="1113"/>
      <c r="F955" s="1113"/>
      <c r="G955" s="1113"/>
      <c r="H955" s="1113"/>
      <c r="I955" s="1113"/>
      <c r="J955" s="1113"/>
      <c r="K955" s="1113"/>
      <c r="L955" s="150">
        <f t="shared" si="54"/>
        <v>0</v>
      </c>
      <c r="M955" s="151">
        <f t="shared" si="55"/>
        <v>0</v>
      </c>
      <c r="N955" s="152">
        <f>+IF(OR($Q955=Parametres!$G$2,$Q955=Parametres!$G$3),I955,C955)</f>
        <v>0</v>
      </c>
      <c r="O955" s="152">
        <f>+IF(OR($Q955=Parametres!$G$2,$Q955=Parametres!$G$3),J955,D955)</f>
        <v>0</v>
      </c>
      <c r="P955" s="152">
        <f>+IF(OR($Q955=Parametres!$G$2,$Q955=Parametres!$G$3),K955,E955)</f>
        <v>0</v>
      </c>
      <c r="Q955" s="151">
        <f t="shared" si="67"/>
        <v>0</v>
      </c>
      <c r="R955" s="150">
        <f t="shared" si="67"/>
        <v>0</v>
      </c>
      <c r="S955" s="151">
        <f t="shared" si="67"/>
        <v>0</v>
      </c>
      <c r="T955" s="153" t="e">
        <f>+VLOOKUP($L955,Data_Validation!$A:$D,1,0)</f>
        <v>#N/A</v>
      </c>
      <c r="U955" s="153" t="e">
        <f>+VLOOKUP($L955,Data_Validation!$A:$D,3,0)</f>
        <v>#N/A</v>
      </c>
      <c r="V955" s="153" t="e">
        <f>+VLOOKUP($L955,Data_Validation!$A:$D,4,0)</f>
        <v>#N/A</v>
      </c>
      <c r="W955" s="153" t="e">
        <f>+VLOOKUP($L955,Data_Validation!$A:$E,5,0)</f>
        <v>#N/A</v>
      </c>
    </row>
    <row r="956" spans="1:23" ht="15.75" customHeight="1">
      <c r="A956" s="1113"/>
      <c r="B956" s="1119"/>
      <c r="C956" s="1120"/>
      <c r="D956" s="1113"/>
      <c r="E956" s="1113"/>
      <c r="F956" s="1113"/>
      <c r="G956" s="1113"/>
      <c r="H956" s="1113"/>
      <c r="I956" s="1113"/>
      <c r="J956" s="1113"/>
      <c r="K956" s="1113"/>
      <c r="L956" s="150">
        <f t="shared" si="54"/>
        <v>0</v>
      </c>
      <c r="M956" s="151">
        <f t="shared" si="55"/>
        <v>0</v>
      </c>
      <c r="N956" s="152">
        <f>+IF(OR($Q956=Parametres!$G$2,$Q956=Parametres!$G$3),I956,C956)</f>
        <v>0</v>
      </c>
      <c r="O956" s="152">
        <f>+IF(OR($Q956=Parametres!$G$2,$Q956=Parametres!$G$3),J956,D956)</f>
        <v>0</v>
      </c>
      <c r="P956" s="152">
        <f>+IF(OR($Q956=Parametres!$G$2,$Q956=Parametres!$G$3),K956,E956)</f>
        <v>0</v>
      </c>
      <c r="Q956" s="151">
        <f t="shared" si="67"/>
        <v>0</v>
      </c>
      <c r="R956" s="150">
        <f t="shared" si="67"/>
        <v>0</v>
      </c>
      <c r="S956" s="151">
        <f t="shared" si="67"/>
        <v>0</v>
      </c>
      <c r="T956" s="153" t="e">
        <f>+VLOOKUP($L956,Data_Validation!$A:$D,1,0)</f>
        <v>#N/A</v>
      </c>
      <c r="U956" s="153" t="e">
        <f>+VLOOKUP($L956,Data_Validation!$A:$D,3,0)</f>
        <v>#N/A</v>
      </c>
      <c r="V956" s="153" t="e">
        <f>+VLOOKUP($L956,Data_Validation!$A:$D,4,0)</f>
        <v>#N/A</v>
      </c>
      <c r="W956" s="153" t="e">
        <f>+VLOOKUP($L956,Data_Validation!$A:$E,5,0)</f>
        <v>#N/A</v>
      </c>
    </row>
    <row r="957" spans="1:23" ht="15.75" customHeight="1">
      <c r="A957" s="1113"/>
      <c r="B957" s="1119"/>
      <c r="C957" s="1120"/>
      <c r="D957" s="1113"/>
      <c r="E957" s="1113"/>
      <c r="F957" s="1113"/>
      <c r="G957" s="1113"/>
      <c r="H957" s="1113"/>
      <c r="I957" s="1113"/>
      <c r="J957" s="1113"/>
      <c r="K957" s="1113"/>
      <c r="L957" s="150">
        <f t="shared" si="54"/>
        <v>0</v>
      </c>
      <c r="M957" s="151">
        <f t="shared" si="55"/>
        <v>0</v>
      </c>
      <c r="N957" s="152">
        <f>+IF(OR($Q957=Parametres!$G$2,$Q957=Parametres!$G$3),I957,C957)</f>
        <v>0</v>
      </c>
      <c r="O957" s="152">
        <f>+IF(OR($Q957=Parametres!$G$2,$Q957=Parametres!$G$3),J957,D957)</f>
        <v>0</v>
      </c>
      <c r="P957" s="152">
        <f>+IF(OR($Q957=Parametres!$G$2,$Q957=Parametres!$G$3),K957,E957)</f>
        <v>0</v>
      </c>
      <c r="Q957" s="151">
        <f t="shared" si="67"/>
        <v>0</v>
      </c>
      <c r="R957" s="150">
        <f t="shared" si="67"/>
        <v>0</v>
      </c>
      <c r="S957" s="151">
        <f t="shared" si="67"/>
        <v>0</v>
      </c>
      <c r="T957" s="153" t="e">
        <f>+VLOOKUP($L957,Data_Validation!$A:$D,1,0)</f>
        <v>#N/A</v>
      </c>
      <c r="U957" s="153" t="e">
        <f>+VLOOKUP($L957,Data_Validation!$A:$D,3,0)</f>
        <v>#N/A</v>
      </c>
      <c r="V957" s="153" t="e">
        <f>+VLOOKUP($L957,Data_Validation!$A:$D,4,0)</f>
        <v>#N/A</v>
      </c>
      <c r="W957" s="153" t="e">
        <f>+VLOOKUP($L957,Data_Validation!$A:$E,5,0)</f>
        <v>#N/A</v>
      </c>
    </row>
    <row r="958" spans="1:23" ht="15.75" customHeight="1">
      <c r="A958" s="1113"/>
      <c r="B958" s="1119"/>
      <c r="C958" s="1120"/>
      <c r="D958" s="1113"/>
      <c r="E958" s="1113"/>
      <c r="F958" s="1113"/>
      <c r="G958" s="1113"/>
      <c r="H958" s="1113"/>
      <c r="I958" s="1113"/>
      <c r="J958" s="1113"/>
      <c r="K958" s="1113"/>
      <c r="L958" s="150">
        <f t="shared" si="54"/>
        <v>0</v>
      </c>
      <c r="M958" s="151">
        <f t="shared" si="55"/>
        <v>0</v>
      </c>
      <c r="N958" s="152">
        <f>+IF(OR($Q958=Parametres!$G$2,$Q958=Parametres!$G$3),I958,C958)</f>
        <v>0</v>
      </c>
      <c r="O958" s="152">
        <f>+IF(OR($Q958=Parametres!$G$2,$Q958=Parametres!$G$3),J958,D958)</f>
        <v>0</v>
      </c>
      <c r="P958" s="152">
        <f>+IF(OR($Q958=Parametres!$G$2,$Q958=Parametres!$G$3),K958,E958)</f>
        <v>0</v>
      </c>
      <c r="Q958" s="151">
        <f t="shared" si="67"/>
        <v>0</v>
      </c>
      <c r="R958" s="150">
        <f t="shared" si="67"/>
        <v>0</v>
      </c>
      <c r="S958" s="151">
        <f t="shared" si="67"/>
        <v>0</v>
      </c>
      <c r="T958" s="153" t="e">
        <f>+VLOOKUP($L958,Data_Validation!$A:$D,1,0)</f>
        <v>#N/A</v>
      </c>
      <c r="U958" s="153" t="e">
        <f>+VLOOKUP($L958,Data_Validation!$A:$D,3,0)</f>
        <v>#N/A</v>
      </c>
      <c r="V958" s="153" t="e">
        <f>+VLOOKUP($L958,Data_Validation!$A:$D,4,0)</f>
        <v>#N/A</v>
      </c>
      <c r="W958" s="153" t="e">
        <f>+VLOOKUP($L958,Data_Validation!$A:$E,5,0)</f>
        <v>#N/A</v>
      </c>
    </row>
    <row r="959" spans="1:23" ht="15.75" customHeight="1">
      <c r="A959" s="1113"/>
      <c r="B959" s="1119"/>
      <c r="C959" s="1120"/>
      <c r="D959" s="1113"/>
      <c r="E959" s="1113"/>
      <c r="F959" s="1113"/>
      <c r="G959" s="1113"/>
      <c r="H959" s="1113"/>
      <c r="I959" s="1113"/>
      <c r="J959" s="1113"/>
      <c r="K959" s="1113"/>
      <c r="L959" s="150">
        <f t="shared" si="54"/>
        <v>0</v>
      </c>
      <c r="M959" s="151">
        <f t="shared" si="55"/>
        <v>0</v>
      </c>
      <c r="N959" s="152">
        <f>+IF(OR($Q959=Parametres!$G$2,$Q959=Parametres!$G$3),I959,C959)</f>
        <v>0</v>
      </c>
      <c r="O959" s="152">
        <f>+IF(OR($Q959=Parametres!$G$2,$Q959=Parametres!$G$3),J959,D959)</f>
        <v>0</v>
      </c>
      <c r="P959" s="152">
        <f>+IF(OR($Q959=Parametres!$G$2,$Q959=Parametres!$G$3),K959,E959)</f>
        <v>0</v>
      </c>
      <c r="Q959" s="151">
        <f t="shared" si="67"/>
        <v>0</v>
      </c>
      <c r="R959" s="150">
        <f t="shared" si="67"/>
        <v>0</v>
      </c>
      <c r="S959" s="151">
        <f t="shared" si="67"/>
        <v>0</v>
      </c>
      <c r="T959" s="153" t="e">
        <f>+VLOOKUP($L959,Data_Validation!$A:$D,1,0)</f>
        <v>#N/A</v>
      </c>
      <c r="U959" s="153" t="e">
        <f>+VLOOKUP($L959,Data_Validation!$A:$D,3,0)</f>
        <v>#N/A</v>
      </c>
      <c r="V959" s="153" t="e">
        <f>+VLOOKUP($L959,Data_Validation!$A:$D,4,0)</f>
        <v>#N/A</v>
      </c>
      <c r="W959" s="153" t="e">
        <f>+VLOOKUP($L959,Data_Validation!$A:$E,5,0)</f>
        <v>#N/A</v>
      </c>
    </row>
    <row r="960" spans="1:23" ht="15.75" customHeight="1">
      <c r="A960" s="1113"/>
      <c r="B960" s="1119"/>
      <c r="C960" s="1120"/>
      <c r="D960" s="1113"/>
      <c r="E960" s="1113"/>
      <c r="F960" s="1113"/>
      <c r="G960" s="1113"/>
      <c r="H960" s="1113"/>
      <c r="I960" s="1113"/>
      <c r="J960" s="1113"/>
      <c r="K960" s="1113"/>
      <c r="L960" s="150">
        <f t="shared" si="54"/>
        <v>0</v>
      </c>
      <c r="M960" s="151">
        <f t="shared" si="55"/>
        <v>0</v>
      </c>
      <c r="N960" s="152">
        <f>+IF(OR($Q960=Parametres!$G$2,$Q960=Parametres!$G$3),I960,C960)</f>
        <v>0</v>
      </c>
      <c r="O960" s="152">
        <f>+IF(OR($Q960=Parametres!$G$2,$Q960=Parametres!$G$3),J960,D960)</f>
        <v>0</v>
      </c>
      <c r="P960" s="152">
        <f>+IF(OR($Q960=Parametres!$G$2,$Q960=Parametres!$G$3),K960,E960)</f>
        <v>0</v>
      </c>
      <c r="Q960" s="151">
        <f t="shared" si="67"/>
        <v>0</v>
      </c>
      <c r="R960" s="150">
        <f t="shared" si="67"/>
        <v>0</v>
      </c>
      <c r="S960" s="151">
        <f t="shared" si="67"/>
        <v>0</v>
      </c>
      <c r="T960" s="153" t="e">
        <f>+VLOOKUP($L960,Data_Validation!$A:$D,1,0)</f>
        <v>#N/A</v>
      </c>
      <c r="U960" s="153" t="e">
        <f>+VLOOKUP($L960,Data_Validation!$A:$D,3,0)</f>
        <v>#N/A</v>
      </c>
      <c r="V960" s="153" t="e">
        <f>+VLOOKUP($L960,Data_Validation!$A:$D,4,0)</f>
        <v>#N/A</v>
      </c>
      <c r="W960" s="153" t="e">
        <f>+VLOOKUP($L960,Data_Validation!$A:$E,5,0)</f>
        <v>#N/A</v>
      </c>
    </row>
    <row r="961" spans="1:23" ht="15.75" customHeight="1">
      <c r="A961" s="1113"/>
      <c r="B961" s="1119"/>
      <c r="C961" s="1120"/>
      <c r="D961" s="1113"/>
      <c r="E961" s="1113"/>
      <c r="F961" s="1113"/>
      <c r="G961" s="1113"/>
      <c r="H961" s="1113"/>
      <c r="I961" s="1113"/>
      <c r="J961" s="1113"/>
      <c r="K961" s="1113"/>
      <c r="L961" s="150">
        <f t="shared" si="54"/>
        <v>0</v>
      </c>
      <c r="M961" s="151">
        <f t="shared" si="55"/>
        <v>0</v>
      </c>
      <c r="N961" s="152">
        <f>+IF(OR($Q961=Parametres!$G$2,$Q961=Parametres!$G$3),I961,C961)</f>
        <v>0</v>
      </c>
      <c r="O961" s="152">
        <f>+IF(OR($Q961=Parametres!$G$2,$Q961=Parametres!$G$3),J961,D961)</f>
        <v>0</v>
      </c>
      <c r="P961" s="152">
        <f>+IF(OR($Q961=Parametres!$G$2,$Q961=Parametres!$G$3),K961,E961)</f>
        <v>0</v>
      </c>
      <c r="Q961" s="151">
        <f t="shared" si="67"/>
        <v>0</v>
      </c>
      <c r="R961" s="150">
        <f t="shared" si="67"/>
        <v>0</v>
      </c>
      <c r="S961" s="151">
        <f t="shared" si="67"/>
        <v>0</v>
      </c>
      <c r="T961" s="153" t="e">
        <f>+VLOOKUP($L961,Data_Validation!$A:$D,1,0)</f>
        <v>#N/A</v>
      </c>
      <c r="U961" s="153" t="e">
        <f>+VLOOKUP($L961,Data_Validation!$A:$D,3,0)</f>
        <v>#N/A</v>
      </c>
      <c r="V961" s="153" t="e">
        <f>+VLOOKUP($L961,Data_Validation!$A:$D,4,0)</f>
        <v>#N/A</v>
      </c>
      <c r="W961" s="153" t="e">
        <f>+VLOOKUP($L961,Data_Validation!$A:$E,5,0)</f>
        <v>#N/A</v>
      </c>
    </row>
    <row r="962" spans="1:23" ht="15.75" customHeight="1">
      <c r="A962" s="1113"/>
      <c r="B962" s="1119"/>
      <c r="C962" s="1120"/>
      <c r="D962" s="1113"/>
      <c r="E962" s="1113"/>
      <c r="F962" s="1113"/>
      <c r="G962" s="1113"/>
      <c r="H962" s="1113"/>
      <c r="I962" s="1113"/>
      <c r="J962" s="1113"/>
      <c r="K962" s="1113"/>
      <c r="L962" s="150">
        <f t="shared" si="54"/>
        <v>0</v>
      </c>
      <c r="M962" s="151">
        <f t="shared" si="55"/>
        <v>0</v>
      </c>
      <c r="N962" s="152">
        <f>+IF(OR($Q962=Parametres!$G$2,$Q962=Parametres!$G$3),I962,C962)</f>
        <v>0</v>
      </c>
      <c r="O962" s="152">
        <f>+IF(OR($Q962=Parametres!$G$2,$Q962=Parametres!$G$3),J962,D962)</f>
        <v>0</v>
      </c>
      <c r="P962" s="152">
        <f>+IF(OR($Q962=Parametres!$G$2,$Q962=Parametres!$G$3),K962,E962)</f>
        <v>0</v>
      </c>
      <c r="Q962" s="151">
        <f t="shared" ref="Q962:S977" si="68">+F962</f>
        <v>0</v>
      </c>
      <c r="R962" s="150">
        <f t="shared" si="68"/>
        <v>0</v>
      </c>
      <c r="S962" s="151">
        <f t="shared" si="68"/>
        <v>0</v>
      </c>
      <c r="T962" s="153" t="e">
        <f>+VLOOKUP($L962,Data_Validation!$A:$D,1,0)</f>
        <v>#N/A</v>
      </c>
      <c r="U962" s="153" t="e">
        <f>+VLOOKUP($L962,Data_Validation!$A:$D,3,0)</f>
        <v>#N/A</v>
      </c>
      <c r="V962" s="153" t="e">
        <f>+VLOOKUP($L962,Data_Validation!$A:$D,4,0)</f>
        <v>#N/A</v>
      </c>
      <c r="W962" s="153" t="e">
        <f>+VLOOKUP($L962,Data_Validation!$A:$E,5,0)</f>
        <v>#N/A</v>
      </c>
    </row>
    <row r="963" spans="1:23" ht="15.75" customHeight="1">
      <c r="A963" s="1113"/>
      <c r="B963" s="1119"/>
      <c r="C963" s="1120"/>
      <c r="D963" s="1113"/>
      <c r="E963" s="1113"/>
      <c r="F963" s="1113"/>
      <c r="G963" s="1113"/>
      <c r="H963" s="1113"/>
      <c r="I963" s="1113"/>
      <c r="J963" s="1113"/>
      <c r="K963" s="1113"/>
      <c r="L963" s="150">
        <f t="shared" si="54"/>
        <v>0</v>
      </c>
      <c r="M963" s="151">
        <f t="shared" si="55"/>
        <v>0</v>
      </c>
      <c r="N963" s="152">
        <f>+IF(OR($Q963=Parametres!$G$2,$Q963=Parametres!$G$3),I963,C963)</f>
        <v>0</v>
      </c>
      <c r="O963" s="152">
        <f>+IF(OR($Q963=Parametres!$G$2,$Q963=Parametres!$G$3),J963,D963)</f>
        <v>0</v>
      </c>
      <c r="P963" s="152">
        <f>+IF(OR($Q963=Parametres!$G$2,$Q963=Parametres!$G$3),K963,E963)</f>
        <v>0</v>
      </c>
      <c r="Q963" s="151">
        <f t="shared" si="68"/>
        <v>0</v>
      </c>
      <c r="R963" s="150">
        <f t="shared" si="68"/>
        <v>0</v>
      </c>
      <c r="S963" s="151">
        <f t="shared" si="68"/>
        <v>0</v>
      </c>
      <c r="T963" s="153" t="e">
        <f>+VLOOKUP($L963,Data_Validation!$A:$D,1,0)</f>
        <v>#N/A</v>
      </c>
      <c r="U963" s="153" t="e">
        <f>+VLOOKUP($L963,Data_Validation!$A:$D,3,0)</f>
        <v>#N/A</v>
      </c>
      <c r="V963" s="153" t="e">
        <f>+VLOOKUP($L963,Data_Validation!$A:$D,4,0)</f>
        <v>#N/A</v>
      </c>
      <c r="W963" s="153" t="e">
        <f>+VLOOKUP($L963,Data_Validation!$A:$E,5,0)</f>
        <v>#N/A</v>
      </c>
    </row>
    <row r="964" spans="1:23" ht="15.75" customHeight="1">
      <c r="A964" s="1113"/>
      <c r="B964" s="1119"/>
      <c r="C964" s="1120"/>
      <c r="D964" s="1113"/>
      <c r="E964" s="1113"/>
      <c r="F964" s="1113"/>
      <c r="G964" s="1113"/>
      <c r="H964" s="1113"/>
      <c r="I964" s="1113"/>
      <c r="J964" s="1113"/>
      <c r="K964" s="1113"/>
      <c r="L964" s="150">
        <f t="shared" si="54"/>
        <v>0</v>
      </c>
      <c r="M964" s="151">
        <f t="shared" si="55"/>
        <v>0</v>
      </c>
      <c r="N964" s="152">
        <f>+IF(OR($Q964=Parametres!$G$2,$Q964=Parametres!$G$3),I964,C964)</f>
        <v>0</v>
      </c>
      <c r="O964" s="152">
        <f>+IF(OR($Q964=Parametres!$G$2,$Q964=Parametres!$G$3),J964,D964)</f>
        <v>0</v>
      </c>
      <c r="P964" s="152">
        <f>+IF(OR($Q964=Parametres!$G$2,$Q964=Parametres!$G$3),K964,E964)</f>
        <v>0</v>
      </c>
      <c r="Q964" s="151">
        <f t="shared" si="68"/>
        <v>0</v>
      </c>
      <c r="R964" s="150">
        <f t="shared" si="68"/>
        <v>0</v>
      </c>
      <c r="S964" s="151">
        <f t="shared" si="68"/>
        <v>0</v>
      </c>
      <c r="T964" s="153" t="e">
        <f>+VLOOKUP($L964,Data_Validation!$A:$D,1,0)</f>
        <v>#N/A</v>
      </c>
      <c r="U964" s="153" t="e">
        <f>+VLOOKUP($L964,Data_Validation!$A:$D,3,0)</f>
        <v>#N/A</v>
      </c>
      <c r="V964" s="153" t="e">
        <f>+VLOOKUP($L964,Data_Validation!$A:$D,4,0)</f>
        <v>#N/A</v>
      </c>
      <c r="W964" s="153" t="e">
        <f>+VLOOKUP($L964,Data_Validation!$A:$E,5,0)</f>
        <v>#N/A</v>
      </c>
    </row>
    <row r="965" spans="1:23" ht="15.75" customHeight="1">
      <c r="A965" s="1113"/>
      <c r="B965" s="1119"/>
      <c r="C965" s="1120"/>
      <c r="D965" s="1113"/>
      <c r="E965" s="1113"/>
      <c r="F965" s="1113"/>
      <c r="G965" s="1113"/>
      <c r="H965" s="1113"/>
      <c r="I965" s="1113"/>
      <c r="J965" s="1113"/>
      <c r="K965" s="1113"/>
      <c r="L965" s="150">
        <f t="shared" si="54"/>
        <v>0</v>
      </c>
      <c r="M965" s="151">
        <f t="shared" si="55"/>
        <v>0</v>
      </c>
      <c r="N965" s="152">
        <f>+IF(OR($Q965=Parametres!$G$2,$Q965=Parametres!$G$3),I965,C965)</f>
        <v>0</v>
      </c>
      <c r="O965" s="152">
        <f>+IF(OR($Q965=Parametres!$G$2,$Q965=Parametres!$G$3),J965,D965)</f>
        <v>0</v>
      </c>
      <c r="P965" s="152">
        <f>+IF(OR($Q965=Parametres!$G$2,$Q965=Parametres!$G$3),K965,E965)</f>
        <v>0</v>
      </c>
      <c r="Q965" s="151">
        <f t="shared" si="68"/>
        <v>0</v>
      </c>
      <c r="R965" s="150">
        <f t="shared" si="68"/>
        <v>0</v>
      </c>
      <c r="S965" s="151">
        <f t="shared" si="68"/>
        <v>0</v>
      </c>
      <c r="T965" s="153" t="e">
        <f>+VLOOKUP($L965,Data_Validation!$A:$D,1,0)</f>
        <v>#N/A</v>
      </c>
      <c r="U965" s="153" t="e">
        <f>+VLOOKUP($L965,Data_Validation!$A:$D,3,0)</f>
        <v>#N/A</v>
      </c>
      <c r="V965" s="153" t="e">
        <f>+VLOOKUP($L965,Data_Validation!$A:$D,4,0)</f>
        <v>#N/A</v>
      </c>
      <c r="W965" s="153" t="e">
        <f>+VLOOKUP($L965,Data_Validation!$A:$E,5,0)</f>
        <v>#N/A</v>
      </c>
    </row>
    <row r="966" spans="1:23" ht="15.75" customHeight="1">
      <c r="A966" s="1113"/>
      <c r="B966" s="1119"/>
      <c r="C966" s="1120"/>
      <c r="D966" s="1113"/>
      <c r="E966" s="1113"/>
      <c r="F966" s="1113"/>
      <c r="G966" s="1113"/>
      <c r="H966" s="1113"/>
      <c r="I966" s="1113"/>
      <c r="J966" s="1113"/>
      <c r="K966" s="1113"/>
      <c r="L966" s="150">
        <f t="shared" si="54"/>
        <v>0</v>
      </c>
      <c r="M966" s="151">
        <f t="shared" si="55"/>
        <v>0</v>
      </c>
      <c r="N966" s="152">
        <f>+IF(OR($Q966=Parametres!$G$2,$Q966=Parametres!$G$3),I966,C966)</f>
        <v>0</v>
      </c>
      <c r="O966" s="152">
        <f>+IF(OR($Q966=Parametres!$G$2,$Q966=Parametres!$G$3),J966,D966)</f>
        <v>0</v>
      </c>
      <c r="P966" s="152">
        <f>+IF(OR($Q966=Parametres!$G$2,$Q966=Parametres!$G$3),K966,E966)</f>
        <v>0</v>
      </c>
      <c r="Q966" s="151">
        <f t="shared" si="68"/>
        <v>0</v>
      </c>
      <c r="R966" s="150">
        <f t="shared" si="68"/>
        <v>0</v>
      </c>
      <c r="S966" s="151">
        <f t="shared" si="68"/>
        <v>0</v>
      </c>
      <c r="T966" s="153" t="e">
        <f>+VLOOKUP($L966,Data_Validation!$A:$D,1,0)</f>
        <v>#N/A</v>
      </c>
      <c r="U966" s="153" t="e">
        <f>+VLOOKUP($L966,Data_Validation!$A:$D,3,0)</f>
        <v>#N/A</v>
      </c>
      <c r="V966" s="153" t="e">
        <f>+VLOOKUP($L966,Data_Validation!$A:$D,4,0)</f>
        <v>#N/A</v>
      </c>
      <c r="W966" s="153" t="e">
        <f>+VLOOKUP($L966,Data_Validation!$A:$E,5,0)</f>
        <v>#N/A</v>
      </c>
    </row>
    <row r="967" spans="1:23" ht="15.75" customHeight="1">
      <c r="A967" s="1113"/>
      <c r="B967" s="1119"/>
      <c r="C967" s="1120"/>
      <c r="D967" s="1113"/>
      <c r="E967" s="1113"/>
      <c r="F967" s="1113"/>
      <c r="G967" s="1113"/>
      <c r="H967" s="1113"/>
      <c r="I967" s="1113"/>
      <c r="J967" s="1113"/>
      <c r="K967" s="1113"/>
      <c r="L967" s="150">
        <f t="shared" si="54"/>
        <v>0</v>
      </c>
      <c r="M967" s="151">
        <f t="shared" si="55"/>
        <v>0</v>
      </c>
      <c r="N967" s="152">
        <f>+IF(OR($Q967=Parametres!$G$2,$Q967=Parametres!$G$3),I967,C967)</f>
        <v>0</v>
      </c>
      <c r="O967" s="152">
        <f>+IF(OR($Q967=Parametres!$G$2,$Q967=Parametres!$G$3),J967,D967)</f>
        <v>0</v>
      </c>
      <c r="P967" s="152">
        <f>+IF(OR($Q967=Parametres!$G$2,$Q967=Parametres!$G$3),K967,E967)</f>
        <v>0</v>
      </c>
      <c r="Q967" s="151">
        <f t="shared" si="68"/>
        <v>0</v>
      </c>
      <c r="R967" s="150">
        <f t="shared" si="68"/>
        <v>0</v>
      </c>
      <c r="S967" s="151">
        <f t="shared" si="68"/>
        <v>0</v>
      </c>
      <c r="T967" s="153" t="e">
        <f>+VLOOKUP($L967,Data_Validation!$A:$D,1,0)</f>
        <v>#N/A</v>
      </c>
      <c r="U967" s="153" t="e">
        <f>+VLOOKUP($L967,Data_Validation!$A:$D,3,0)</f>
        <v>#N/A</v>
      </c>
      <c r="V967" s="153" t="e">
        <f>+VLOOKUP($L967,Data_Validation!$A:$D,4,0)</f>
        <v>#N/A</v>
      </c>
      <c r="W967" s="153" t="e">
        <f>+VLOOKUP($L967,Data_Validation!$A:$E,5,0)</f>
        <v>#N/A</v>
      </c>
    </row>
    <row r="968" spans="1:23" ht="15.75" customHeight="1">
      <c r="A968" s="1113"/>
      <c r="B968" s="1119"/>
      <c r="C968" s="1120"/>
      <c r="D968" s="1113"/>
      <c r="E968" s="1113"/>
      <c r="F968" s="1113"/>
      <c r="G968" s="1113"/>
      <c r="H968" s="1113"/>
      <c r="I968" s="1113"/>
      <c r="J968" s="1113"/>
      <c r="K968" s="1113"/>
      <c r="L968" s="150">
        <f t="shared" si="54"/>
        <v>0</v>
      </c>
      <c r="M968" s="151">
        <f t="shared" si="55"/>
        <v>0</v>
      </c>
      <c r="N968" s="152">
        <f>+IF(OR($Q968=Parametres!$G$2,$Q968=Parametres!$G$3),I968,C968)</f>
        <v>0</v>
      </c>
      <c r="O968" s="152">
        <f>+IF(OR($Q968=Parametres!$G$2,$Q968=Parametres!$G$3),J968,D968)</f>
        <v>0</v>
      </c>
      <c r="P968" s="152">
        <f>+IF(OR($Q968=Parametres!$G$2,$Q968=Parametres!$G$3),K968,E968)</f>
        <v>0</v>
      </c>
      <c r="Q968" s="151">
        <f t="shared" si="68"/>
        <v>0</v>
      </c>
      <c r="R968" s="150">
        <f t="shared" si="68"/>
        <v>0</v>
      </c>
      <c r="S968" s="151">
        <f t="shared" si="68"/>
        <v>0</v>
      </c>
      <c r="T968" s="153" t="e">
        <f>+VLOOKUP($L968,Data_Validation!$A:$D,1,0)</f>
        <v>#N/A</v>
      </c>
      <c r="U968" s="153" t="e">
        <f>+VLOOKUP($L968,Data_Validation!$A:$D,3,0)</f>
        <v>#N/A</v>
      </c>
      <c r="V968" s="153" t="e">
        <f>+VLOOKUP($L968,Data_Validation!$A:$D,4,0)</f>
        <v>#N/A</v>
      </c>
      <c r="W968" s="153" t="e">
        <f>+VLOOKUP($L968,Data_Validation!$A:$E,5,0)</f>
        <v>#N/A</v>
      </c>
    </row>
    <row r="969" spans="1:23" ht="15.75" customHeight="1">
      <c r="A969" s="1113"/>
      <c r="B969" s="1119"/>
      <c r="C969" s="1120"/>
      <c r="D969" s="1113"/>
      <c r="E969" s="1113"/>
      <c r="F969" s="1113"/>
      <c r="G969" s="1113"/>
      <c r="H969" s="1113"/>
      <c r="I969" s="1113"/>
      <c r="J969" s="1113"/>
      <c r="K969" s="1113"/>
      <c r="L969" s="150">
        <f t="shared" si="54"/>
        <v>0</v>
      </c>
      <c r="M969" s="151">
        <f t="shared" si="55"/>
        <v>0</v>
      </c>
      <c r="N969" s="152">
        <f>+IF(OR($Q969=Parametres!$G$2,$Q969=Parametres!$G$3),I969,C969)</f>
        <v>0</v>
      </c>
      <c r="O969" s="152">
        <f>+IF(OR($Q969=Parametres!$G$2,$Q969=Parametres!$G$3),J969,D969)</f>
        <v>0</v>
      </c>
      <c r="P969" s="152">
        <f>+IF(OR($Q969=Parametres!$G$2,$Q969=Parametres!$G$3),K969,E969)</f>
        <v>0</v>
      </c>
      <c r="Q969" s="151">
        <f t="shared" si="68"/>
        <v>0</v>
      </c>
      <c r="R969" s="150">
        <f t="shared" si="68"/>
        <v>0</v>
      </c>
      <c r="S969" s="151">
        <f t="shared" si="68"/>
        <v>0</v>
      </c>
      <c r="T969" s="153" t="e">
        <f>+VLOOKUP($L969,Data_Validation!$A:$D,1,0)</f>
        <v>#N/A</v>
      </c>
      <c r="U969" s="153" t="e">
        <f>+VLOOKUP($L969,Data_Validation!$A:$D,3,0)</f>
        <v>#N/A</v>
      </c>
      <c r="V969" s="153" t="e">
        <f>+VLOOKUP($L969,Data_Validation!$A:$D,4,0)</f>
        <v>#N/A</v>
      </c>
      <c r="W969" s="153" t="e">
        <f>+VLOOKUP($L969,Data_Validation!$A:$E,5,0)</f>
        <v>#N/A</v>
      </c>
    </row>
    <row r="970" spans="1:23" ht="15.75" customHeight="1">
      <c r="A970" s="1113"/>
      <c r="B970" s="1119"/>
      <c r="C970" s="1120"/>
      <c r="D970" s="1113"/>
      <c r="E970" s="1113"/>
      <c r="F970" s="1113"/>
      <c r="G970" s="1113"/>
      <c r="H970" s="1113"/>
      <c r="I970" s="1113"/>
      <c r="J970" s="1113"/>
      <c r="K970" s="1113"/>
      <c r="L970" s="150">
        <f t="shared" si="54"/>
        <v>0</v>
      </c>
      <c r="M970" s="151">
        <f t="shared" si="55"/>
        <v>0</v>
      </c>
      <c r="N970" s="152">
        <f>+IF(OR($Q970=Parametres!$G$2,$Q970=Parametres!$G$3),I970,C970)</f>
        <v>0</v>
      </c>
      <c r="O970" s="152">
        <f>+IF(OR($Q970=Parametres!$G$2,$Q970=Parametres!$G$3),J970,D970)</f>
        <v>0</v>
      </c>
      <c r="P970" s="152">
        <f>+IF(OR($Q970=Parametres!$G$2,$Q970=Parametres!$G$3),K970,E970)</f>
        <v>0</v>
      </c>
      <c r="Q970" s="151">
        <f t="shared" si="68"/>
        <v>0</v>
      </c>
      <c r="R970" s="150">
        <f t="shared" si="68"/>
        <v>0</v>
      </c>
      <c r="S970" s="151">
        <f t="shared" si="68"/>
        <v>0</v>
      </c>
      <c r="T970" s="153" t="e">
        <f>+VLOOKUP($L970,Data_Validation!$A:$D,1,0)</f>
        <v>#N/A</v>
      </c>
      <c r="U970" s="153" t="e">
        <f>+VLOOKUP($L970,Data_Validation!$A:$D,3,0)</f>
        <v>#N/A</v>
      </c>
      <c r="V970" s="153" t="e">
        <f>+VLOOKUP($L970,Data_Validation!$A:$D,4,0)</f>
        <v>#N/A</v>
      </c>
      <c r="W970" s="153" t="e">
        <f>+VLOOKUP($L970,Data_Validation!$A:$E,5,0)</f>
        <v>#N/A</v>
      </c>
    </row>
    <row r="971" spans="1:23" ht="15.75" customHeight="1">
      <c r="A971" s="1113"/>
      <c r="B971" s="1119"/>
      <c r="C971" s="1120"/>
      <c r="D971" s="1113"/>
      <c r="E971" s="1113"/>
      <c r="F971" s="1113"/>
      <c r="G971" s="1113"/>
      <c r="H971" s="1113"/>
      <c r="I971" s="1113"/>
      <c r="J971" s="1113"/>
      <c r="K971" s="1113"/>
      <c r="L971" s="150">
        <f t="shared" si="54"/>
        <v>0</v>
      </c>
      <c r="M971" s="151">
        <f t="shared" si="55"/>
        <v>0</v>
      </c>
      <c r="N971" s="152">
        <f>+IF(OR($Q971=Parametres!$G$2,$Q971=Parametres!$G$3),I971,C971)</f>
        <v>0</v>
      </c>
      <c r="O971" s="152">
        <f>+IF(OR($Q971=Parametres!$G$2,$Q971=Parametres!$G$3),J971,D971)</f>
        <v>0</v>
      </c>
      <c r="P971" s="152">
        <f>+IF(OR($Q971=Parametres!$G$2,$Q971=Parametres!$G$3),K971,E971)</f>
        <v>0</v>
      </c>
      <c r="Q971" s="151">
        <f t="shared" si="68"/>
        <v>0</v>
      </c>
      <c r="R971" s="150">
        <f t="shared" si="68"/>
        <v>0</v>
      </c>
      <c r="S971" s="151">
        <f t="shared" si="68"/>
        <v>0</v>
      </c>
      <c r="T971" s="153" t="e">
        <f>+VLOOKUP($L971,Data_Validation!$A:$D,1,0)</f>
        <v>#N/A</v>
      </c>
      <c r="U971" s="153" t="e">
        <f>+VLOOKUP($L971,Data_Validation!$A:$D,3,0)</f>
        <v>#N/A</v>
      </c>
      <c r="V971" s="153" t="e">
        <f>+VLOOKUP($L971,Data_Validation!$A:$D,4,0)</f>
        <v>#N/A</v>
      </c>
      <c r="W971" s="153" t="e">
        <f>+VLOOKUP($L971,Data_Validation!$A:$E,5,0)</f>
        <v>#N/A</v>
      </c>
    </row>
    <row r="972" spans="1:23" ht="15.75" customHeight="1">
      <c r="A972" s="1113"/>
      <c r="B972" s="1119"/>
      <c r="C972" s="1120"/>
      <c r="D972" s="1113"/>
      <c r="E972" s="1113"/>
      <c r="F972" s="1113"/>
      <c r="G972" s="1113"/>
      <c r="H972" s="1113"/>
      <c r="I972" s="1113"/>
      <c r="J972" s="1113"/>
      <c r="K972" s="1113"/>
      <c r="L972" s="150">
        <f t="shared" si="54"/>
        <v>0</v>
      </c>
      <c r="M972" s="151">
        <f t="shared" si="55"/>
        <v>0</v>
      </c>
      <c r="N972" s="152">
        <f>+IF(OR($Q972=Parametres!$G$2,$Q972=Parametres!$G$3),I972,C972)</f>
        <v>0</v>
      </c>
      <c r="O972" s="152">
        <f>+IF(OR($Q972=Parametres!$G$2,$Q972=Parametres!$G$3),J972,D972)</f>
        <v>0</v>
      </c>
      <c r="P972" s="152">
        <f>+IF(OR($Q972=Parametres!$G$2,$Q972=Parametres!$G$3),K972,E972)</f>
        <v>0</v>
      </c>
      <c r="Q972" s="151">
        <f t="shared" si="68"/>
        <v>0</v>
      </c>
      <c r="R972" s="150">
        <f t="shared" si="68"/>
        <v>0</v>
      </c>
      <c r="S972" s="151">
        <f t="shared" si="68"/>
        <v>0</v>
      </c>
      <c r="T972" s="153" t="e">
        <f>+VLOOKUP($L972,Data_Validation!$A:$D,1,0)</f>
        <v>#N/A</v>
      </c>
      <c r="U972" s="153" t="e">
        <f>+VLOOKUP($L972,Data_Validation!$A:$D,3,0)</f>
        <v>#N/A</v>
      </c>
      <c r="V972" s="153" t="e">
        <f>+VLOOKUP($L972,Data_Validation!$A:$D,4,0)</f>
        <v>#N/A</v>
      </c>
      <c r="W972" s="153" t="e">
        <f>+VLOOKUP($L972,Data_Validation!$A:$E,5,0)</f>
        <v>#N/A</v>
      </c>
    </row>
    <row r="973" spans="1:23" ht="15.75" customHeight="1">
      <c r="A973" s="1113"/>
      <c r="B973" s="1119"/>
      <c r="C973" s="1120"/>
      <c r="D973" s="1113"/>
      <c r="E973" s="1113"/>
      <c r="F973" s="1113"/>
      <c r="G973" s="1113"/>
      <c r="H973" s="1113"/>
      <c r="I973" s="1113"/>
      <c r="J973" s="1113"/>
      <c r="K973" s="1113"/>
      <c r="L973" s="150">
        <f t="shared" si="54"/>
        <v>0</v>
      </c>
      <c r="M973" s="151">
        <f t="shared" si="55"/>
        <v>0</v>
      </c>
      <c r="N973" s="152">
        <f>+IF(OR($Q973=Parametres!$G$2,$Q973=Parametres!$G$3),I973,C973)</f>
        <v>0</v>
      </c>
      <c r="O973" s="152">
        <f>+IF(OR($Q973=Parametres!$G$2,$Q973=Parametres!$G$3),J973,D973)</f>
        <v>0</v>
      </c>
      <c r="P973" s="152">
        <f>+IF(OR($Q973=Parametres!$G$2,$Q973=Parametres!$G$3),K973,E973)</f>
        <v>0</v>
      </c>
      <c r="Q973" s="151">
        <f t="shared" si="68"/>
        <v>0</v>
      </c>
      <c r="R973" s="150">
        <f t="shared" si="68"/>
        <v>0</v>
      </c>
      <c r="S973" s="151">
        <f t="shared" si="68"/>
        <v>0</v>
      </c>
      <c r="T973" s="153" t="e">
        <f>+VLOOKUP($L973,Data_Validation!$A:$D,1,0)</f>
        <v>#N/A</v>
      </c>
      <c r="U973" s="153" t="e">
        <f>+VLOOKUP($L973,Data_Validation!$A:$D,3,0)</f>
        <v>#N/A</v>
      </c>
      <c r="V973" s="153" t="e">
        <f>+VLOOKUP($L973,Data_Validation!$A:$D,4,0)</f>
        <v>#N/A</v>
      </c>
      <c r="W973" s="153" t="e">
        <f>+VLOOKUP($L973,Data_Validation!$A:$E,5,0)</f>
        <v>#N/A</v>
      </c>
    </row>
    <row r="974" spans="1:23" ht="15.75" customHeight="1">
      <c r="A974" s="1113"/>
      <c r="B974" s="1119"/>
      <c r="C974" s="1120"/>
      <c r="D974" s="1113"/>
      <c r="E974" s="1113"/>
      <c r="F974" s="1113"/>
      <c r="G974" s="1113"/>
      <c r="H974" s="1113"/>
      <c r="I974" s="1113"/>
      <c r="J974" s="1113"/>
      <c r="K974" s="1113"/>
      <c r="L974" s="150">
        <f t="shared" si="54"/>
        <v>0</v>
      </c>
      <c r="M974" s="151">
        <f t="shared" si="55"/>
        <v>0</v>
      </c>
      <c r="N974" s="152">
        <f>+IF(OR($Q974=Parametres!$G$2,$Q974=Parametres!$G$3),I974,C974)</f>
        <v>0</v>
      </c>
      <c r="O974" s="152">
        <f>+IF(OR($Q974=Parametres!$G$2,$Q974=Parametres!$G$3),J974,D974)</f>
        <v>0</v>
      </c>
      <c r="P974" s="152">
        <f>+IF(OR($Q974=Parametres!$G$2,$Q974=Parametres!$G$3),K974,E974)</f>
        <v>0</v>
      </c>
      <c r="Q974" s="151">
        <f t="shared" si="68"/>
        <v>0</v>
      </c>
      <c r="R974" s="150">
        <f t="shared" si="68"/>
        <v>0</v>
      </c>
      <c r="S974" s="151">
        <f t="shared" si="68"/>
        <v>0</v>
      </c>
      <c r="T974" s="153" t="e">
        <f>+VLOOKUP($L974,Data_Validation!$A:$D,1,0)</f>
        <v>#N/A</v>
      </c>
      <c r="U974" s="153" t="e">
        <f>+VLOOKUP($L974,Data_Validation!$A:$D,3,0)</f>
        <v>#N/A</v>
      </c>
      <c r="V974" s="153" t="e">
        <f>+VLOOKUP($L974,Data_Validation!$A:$D,4,0)</f>
        <v>#N/A</v>
      </c>
      <c r="W974" s="153" t="e">
        <f>+VLOOKUP($L974,Data_Validation!$A:$E,5,0)</f>
        <v>#N/A</v>
      </c>
    </row>
    <row r="975" spans="1:23" ht="15.75" customHeight="1">
      <c r="A975" s="1113"/>
      <c r="B975" s="1119"/>
      <c r="C975" s="1120"/>
      <c r="D975" s="1113"/>
      <c r="E975" s="1113"/>
      <c r="F975" s="1113"/>
      <c r="G975" s="1113"/>
      <c r="H975" s="1113"/>
      <c r="I975" s="1113"/>
      <c r="J975" s="1113"/>
      <c r="K975" s="1113"/>
      <c r="L975" s="150">
        <f t="shared" si="54"/>
        <v>0</v>
      </c>
      <c r="M975" s="151">
        <f t="shared" si="55"/>
        <v>0</v>
      </c>
      <c r="N975" s="152">
        <f>+IF(OR($Q975=Parametres!$G$2,$Q975=Parametres!$G$3),I975,C975)</f>
        <v>0</v>
      </c>
      <c r="O975" s="152">
        <f>+IF(OR($Q975=Parametres!$G$2,$Q975=Parametres!$G$3),J975,D975)</f>
        <v>0</v>
      </c>
      <c r="P975" s="152">
        <f>+IF(OR($Q975=Parametres!$G$2,$Q975=Parametres!$G$3),K975,E975)</f>
        <v>0</v>
      </c>
      <c r="Q975" s="151">
        <f t="shared" si="68"/>
        <v>0</v>
      </c>
      <c r="R975" s="150">
        <f t="shared" si="68"/>
        <v>0</v>
      </c>
      <c r="S975" s="151">
        <f t="shared" si="68"/>
        <v>0</v>
      </c>
      <c r="T975" s="153" t="e">
        <f>+VLOOKUP($L975,Data_Validation!$A:$D,1,0)</f>
        <v>#N/A</v>
      </c>
      <c r="U975" s="153" t="e">
        <f>+VLOOKUP($L975,Data_Validation!$A:$D,3,0)</f>
        <v>#N/A</v>
      </c>
      <c r="V975" s="153" t="e">
        <f>+VLOOKUP($L975,Data_Validation!$A:$D,4,0)</f>
        <v>#N/A</v>
      </c>
      <c r="W975" s="153" t="e">
        <f>+VLOOKUP($L975,Data_Validation!$A:$E,5,0)</f>
        <v>#N/A</v>
      </c>
    </row>
    <row r="976" spans="1:23" ht="15.75" customHeight="1">
      <c r="A976" s="1113"/>
      <c r="B976" s="1119"/>
      <c r="C976" s="1120"/>
      <c r="D976" s="1113"/>
      <c r="E976" s="1113"/>
      <c r="F976" s="1113"/>
      <c r="G976" s="1113"/>
      <c r="H976" s="1113"/>
      <c r="I976" s="1113"/>
      <c r="J976" s="1113"/>
      <c r="K976" s="1113"/>
      <c r="L976" s="150">
        <f t="shared" si="54"/>
        <v>0</v>
      </c>
      <c r="M976" s="151">
        <f t="shared" si="55"/>
        <v>0</v>
      </c>
      <c r="N976" s="152">
        <f>+IF(OR($Q976=Parametres!$G$2,$Q976=Parametres!$G$3),I976,C976)</f>
        <v>0</v>
      </c>
      <c r="O976" s="152">
        <f>+IF(OR($Q976=Parametres!$G$2,$Q976=Parametres!$G$3),J976,D976)</f>
        <v>0</v>
      </c>
      <c r="P976" s="152">
        <f>+IF(OR($Q976=Parametres!$G$2,$Q976=Parametres!$G$3),K976,E976)</f>
        <v>0</v>
      </c>
      <c r="Q976" s="151">
        <f t="shared" si="68"/>
        <v>0</v>
      </c>
      <c r="R976" s="150">
        <f t="shared" si="68"/>
        <v>0</v>
      </c>
      <c r="S976" s="151">
        <f t="shared" si="68"/>
        <v>0</v>
      </c>
      <c r="T976" s="153" t="e">
        <f>+VLOOKUP($L976,Data_Validation!$A:$D,1,0)</f>
        <v>#N/A</v>
      </c>
      <c r="U976" s="153" t="e">
        <f>+VLOOKUP($L976,Data_Validation!$A:$D,3,0)</f>
        <v>#N/A</v>
      </c>
      <c r="V976" s="153" t="e">
        <f>+VLOOKUP($L976,Data_Validation!$A:$D,4,0)</f>
        <v>#N/A</v>
      </c>
      <c r="W976" s="153" t="e">
        <f>+VLOOKUP($L976,Data_Validation!$A:$E,5,0)</f>
        <v>#N/A</v>
      </c>
    </row>
    <row r="977" spans="1:23" ht="15.75" customHeight="1">
      <c r="A977" s="1113"/>
      <c r="B977" s="1119"/>
      <c r="C977" s="1120"/>
      <c r="D977" s="1113"/>
      <c r="E977" s="1113"/>
      <c r="F977" s="1113"/>
      <c r="G977" s="1113"/>
      <c r="H977" s="1113"/>
      <c r="I977" s="1113"/>
      <c r="J977" s="1113"/>
      <c r="K977" s="1113"/>
      <c r="L977" s="150">
        <f t="shared" si="54"/>
        <v>0</v>
      </c>
      <c r="M977" s="151">
        <f t="shared" si="55"/>
        <v>0</v>
      </c>
      <c r="N977" s="152">
        <f>+IF(OR($Q977=Parametres!$G$2,$Q977=Parametres!$G$3),I977,C977)</f>
        <v>0</v>
      </c>
      <c r="O977" s="152">
        <f>+IF(OR($Q977=Parametres!$G$2,$Q977=Parametres!$G$3),J977,D977)</f>
        <v>0</v>
      </c>
      <c r="P977" s="152">
        <f>+IF(OR($Q977=Parametres!$G$2,$Q977=Parametres!$G$3),K977,E977)</f>
        <v>0</v>
      </c>
      <c r="Q977" s="151">
        <f t="shared" si="68"/>
        <v>0</v>
      </c>
      <c r="R977" s="150">
        <f t="shared" si="68"/>
        <v>0</v>
      </c>
      <c r="S977" s="151">
        <f t="shared" si="68"/>
        <v>0</v>
      </c>
      <c r="T977" s="153" t="e">
        <f>+VLOOKUP($L977,Data_Validation!$A:$D,1,0)</f>
        <v>#N/A</v>
      </c>
      <c r="U977" s="153" t="e">
        <f>+VLOOKUP($L977,Data_Validation!$A:$D,3,0)</f>
        <v>#N/A</v>
      </c>
      <c r="V977" s="153" t="e">
        <f>+VLOOKUP($L977,Data_Validation!$A:$D,4,0)</f>
        <v>#N/A</v>
      </c>
      <c r="W977" s="153" t="e">
        <f>+VLOOKUP($L977,Data_Validation!$A:$E,5,0)</f>
        <v>#N/A</v>
      </c>
    </row>
    <row r="978" spans="1:23" ht="15.75" customHeight="1">
      <c r="A978" s="1113"/>
      <c r="B978" s="1119"/>
      <c r="C978" s="1120"/>
      <c r="D978" s="1113"/>
      <c r="E978" s="1113"/>
      <c r="F978" s="1113"/>
      <c r="G978" s="1113"/>
      <c r="H978" s="1113"/>
      <c r="I978" s="1113"/>
      <c r="J978" s="1113"/>
      <c r="K978" s="1113"/>
      <c r="L978" s="150">
        <f t="shared" si="54"/>
        <v>0</v>
      </c>
      <c r="M978" s="151">
        <f t="shared" si="55"/>
        <v>0</v>
      </c>
      <c r="N978" s="152">
        <f>+IF(OR($Q978=Parametres!$G$2,$Q978=Parametres!$G$3),I978,C978)</f>
        <v>0</v>
      </c>
      <c r="O978" s="152">
        <f>+IF(OR($Q978=Parametres!$G$2,$Q978=Parametres!$G$3),J978,D978)</f>
        <v>0</v>
      </c>
      <c r="P978" s="152">
        <f>+IF(OR($Q978=Parametres!$G$2,$Q978=Parametres!$G$3),K978,E978)</f>
        <v>0</v>
      </c>
      <c r="Q978" s="151">
        <f t="shared" ref="Q978:S993" si="69">+F978</f>
        <v>0</v>
      </c>
      <c r="R978" s="150">
        <f t="shared" si="69"/>
        <v>0</v>
      </c>
      <c r="S978" s="151">
        <f t="shared" si="69"/>
        <v>0</v>
      </c>
      <c r="T978" s="153" t="e">
        <f>+VLOOKUP($L978,Data_Validation!$A:$D,1,0)</f>
        <v>#N/A</v>
      </c>
      <c r="U978" s="153" t="e">
        <f>+VLOOKUP($L978,Data_Validation!$A:$D,3,0)</f>
        <v>#N/A</v>
      </c>
      <c r="V978" s="153" t="e">
        <f>+VLOOKUP($L978,Data_Validation!$A:$D,4,0)</f>
        <v>#N/A</v>
      </c>
      <c r="W978" s="153" t="e">
        <f>+VLOOKUP($L978,Data_Validation!$A:$E,5,0)</f>
        <v>#N/A</v>
      </c>
    </row>
    <row r="979" spans="1:23" ht="15.75" customHeight="1">
      <c r="A979" s="1113"/>
      <c r="B979" s="1119"/>
      <c r="C979" s="1120"/>
      <c r="D979" s="1113"/>
      <c r="E979" s="1113"/>
      <c r="F979" s="1113"/>
      <c r="G979" s="1113"/>
      <c r="H979" s="1113"/>
      <c r="I979" s="1113"/>
      <c r="J979" s="1113"/>
      <c r="K979" s="1113"/>
      <c r="L979" s="150">
        <f t="shared" si="54"/>
        <v>0</v>
      </c>
      <c r="M979" s="151">
        <f t="shared" si="55"/>
        <v>0</v>
      </c>
      <c r="N979" s="152">
        <f>+IF(OR($Q979=Parametres!$G$2,$Q979=Parametres!$G$3),I979,C979)</f>
        <v>0</v>
      </c>
      <c r="O979" s="152">
        <f>+IF(OR($Q979=Parametres!$G$2,$Q979=Parametres!$G$3),J979,D979)</f>
        <v>0</v>
      </c>
      <c r="P979" s="152">
        <f>+IF(OR($Q979=Parametres!$G$2,$Q979=Parametres!$G$3),K979,E979)</f>
        <v>0</v>
      </c>
      <c r="Q979" s="151">
        <f t="shared" si="69"/>
        <v>0</v>
      </c>
      <c r="R979" s="150">
        <f t="shared" si="69"/>
        <v>0</v>
      </c>
      <c r="S979" s="151">
        <f t="shared" si="69"/>
        <v>0</v>
      </c>
      <c r="T979" s="153" t="e">
        <f>+VLOOKUP($L979,Data_Validation!$A:$D,1,0)</f>
        <v>#N/A</v>
      </c>
      <c r="U979" s="153" t="e">
        <f>+VLOOKUP($L979,Data_Validation!$A:$D,3,0)</f>
        <v>#N/A</v>
      </c>
      <c r="V979" s="153" t="e">
        <f>+VLOOKUP($L979,Data_Validation!$A:$D,4,0)</f>
        <v>#N/A</v>
      </c>
      <c r="W979" s="153" t="e">
        <f>+VLOOKUP($L979,Data_Validation!$A:$E,5,0)</f>
        <v>#N/A</v>
      </c>
    </row>
    <row r="980" spans="1:23" ht="15.75" customHeight="1">
      <c r="A980" s="1113"/>
      <c r="B980" s="1119"/>
      <c r="C980" s="1120"/>
      <c r="D980" s="1113"/>
      <c r="E980" s="1113"/>
      <c r="F980" s="1113"/>
      <c r="G980" s="1113"/>
      <c r="H980" s="1113"/>
      <c r="I980" s="1113"/>
      <c r="J980" s="1113"/>
      <c r="K980" s="1113"/>
      <c r="L980" s="150">
        <f t="shared" si="54"/>
        <v>0</v>
      </c>
      <c r="M980" s="151">
        <f t="shared" si="55"/>
        <v>0</v>
      </c>
      <c r="N980" s="152">
        <f>+IF(OR($Q980=Parametres!$G$2,$Q980=Parametres!$G$3),I980,C980)</f>
        <v>0</v>
      </c>
      <c r="O980" s="152">
        <f>+IF(OR($Q980=Parametres!$G$2,$Q980=Parametres!$G$3),J980,D980)</f>
        <v>0</v>
      </c>
      <c r="P980" s="152">
        <f>+IF(OR($Q980=Parametres!$G$2,$Q980=Parametres!$G$3),K980,E980)</f>
        <v>0</v>
      </c>
      <c r="Q980" s="151">
        <f t="shared" si="69"/>
        <v>0</v>
      </c>
      <c r="R980" s="150">
        <f t="shared" si="69"/>
        <v>0</v>
      </c>
      <c r="S980" s="151">
        <f t="shared" si="69"/>
        <v>0</v>
      </c>
      <c r="T980" s="153" t="e">
        <f>+VLOOKUP($L980,Data_Validation!$A:$D,1,0)</f>
        <v>#N/A</v>
      </c>
      <c r="U980" s="153" t="e">
        <f>+VLOOKUP($L980,Data_Validation!$A:$D,3,0)</f>
        <v>#N/A</v>
      </c>
      <c r="V980" s="153" t="e">
        <f>+VLOOKUP($L980,Data_Validation!$A:$D,4,0)</f>
        <v>#N/A</v>
      </c>
      <c r="W980" s="153" t="e">
        <f>+VLOOKUP($L980,Data_Validation!$A:$E,5,0)</f>
        <v>#N/A</v>
      </c>
    </row>
    <row r="981" spans="1:23" ht="15.75" customHeight="1">
      <c r="A981" s="1113"/>
      <c r="B981" s="1119"/>
      <c r="C981" s="1120"/>
      <c r="D981" s="1113"/>
      <c r="E981" s="1113"/>
      <c r="F981" s="1113"/>
      <c r="G981" s="1113"/>
      <c r="H981" s="1113"/>
      <c r="I981" s="1113"/>
      <c r="J981" s="1113"/>
      <c r="K981" s="1113"/>
      <c r="L981" s="150">
        <f t="shared" si="54"/>
        <v>0</v>
      </c>
      <c r="M981" s="151">
        <f t="shared" si="55"/>
        <v>0</v>
      </c>
      <c r="N981" s="152">
        <f>+IF(OR($Q981=Parametres!$G$2,$Q981=Parametres!$G$3),I981,C981)</f>
        <v>0</v>
      </c>
      <c r="O981" s="152">
        <f>+IF(OR($Q981=Parametres!$G$2,$Q981=Parametres!$G$3),J981,D981)</f>
        <v>0</v>
      </c>
      <c r="P981" s="152">
        <f>+IF(OR($Q981=Parametres!$G$2,$Q981=Parametres!$G$3),K981,E981)</f>
        <v>0</v>
      </c>
      <c r="Q981" s="151">
        <f t="shared" si="69"/>
        <v>0</v>
      </c>
      <c r="R981" s="150">
        <f t="shared" si="69"/>
        <v>0</v>
      </c>
      <c r="S981" s="151">
        <f t="shared" si="69"/>
        <v>0</v>
      </c>
      <c r="T981" s="153" t="e">
        <f>+VLOOKUP($L981,Data_Validation!$A:$D,1,0)</f>
        <v>#N/A</v>
      </c>
      <c r="U981" s="153" t="e">
        <f>+VLOOKUP($L981,Data_Validation!$A:$D,3,0)</f>
        <v>#N/A</v>
      </c>
      <c r="V981" s="153" t="e">
        <f>+VLOOKUP($L981,Data_Validation!$A:$D,4,0)</f>
        <v>#N/A</v>
      </c>
      <c r="W981" s="153" t="e">
        <f>+VLOOKUP($L981,Data_Validation!$A:$E,5,0)</f>
        <v>#N/A</v>
      </c>
    </row>
    <row r="982" spans="1:23" ht="15.75" customHeight="1">
      <c r="A982" s="1113"/>
      <c r="B982" s="1119"/>
      <c r="C982" s="1120"/>
      <c r="D982" s="1113"/>
      <c r="E982" s="1113"/>
      <c r="F982" s="1113"/>
      <c r="G982" s="1113"/>
      <c r="H982" s="1113"/>
      <c r="I982" s="1113"/>
      <c r="J982" s="1113"/>
      <c r="K982" s="1113"/>
      <c r="L982" s="150">
        <f t="shared" si="54"/>
        <v>0</v>
      </c>
      <c r="M982" s="151">
        <f t="shared" si="55"/>
        <v>0</v>
      </c>
      <c r="N982" s="152">
        <f>+IF(OR($Q982=Parametres!$G$2,$Q982=Parametres!$G$3),I982,C982)</f>
        <v>0</v>
      </c>
      <c r="O982" s="152">
        <f>+IF(OR($Q982=Parametres!$G$2,$Q982=Parametres!$G$3),J982,D982)</f>
        <v>0</v>
      </c>
      <c r="P982" s="152">
        <f>+IF(OR($Q982=Parametres!$G$2,$Q982=Parametres!$G$3),K982,E982)</f>
        <v>0</v>
      </c>
      <c r="Q982" s="151">
        <f t="shared" si="69"/>
        <v>0</v>
      </c>
      <c r="R982" s="150">
        <f t="shared" si="69"/>
        <v>0</v>
      </c>
      <c r="S982" s="151">
        <f t="shared" si="69"/>
        <v>0</v>
      </c>
      <c r="T982" s="153" t="e">
        <f>+VLOOKUP($L982,Data_Validation!$A:$D,1,0)</f>
        <v>#N/A</v>
      </c>
      <c r="U982" s="153" t="e">
        <f>+VLOOKUP($L982,Data_Validation!$A:$D,3,0)</f>
        <v>#N/A</v>
      </c>
      <c r="V982" s="153" t="e">
        <f>+VLOOKUP($L982,Data_Validation!$A:$D,4,0)</f>
        <v>#N/A</v>
      </c>
      <c r="W982" s="153" t="e">
        <f>+VLOOKUP($L982,Data_Validation!$A:$E,5,0)</f>
        <v>#N/A</v>
      </c>
    </row>
    <row r="983" spans="1:23" ht="15.75" customHeight="1">
      <c r="A983" s="1113"/>
      <c r="B983" s="1119"/>
      <c r="C983" s="1120"/>
      <c r="D983" s="1113"/>
      <c r="E983" s="1113"/>
      <c r="F983" s="1113"/>
      <c r="G983" s="1113"/>
      <c r="H983" s="1113"/>
      <c r="I983" s="1113"/>
      <c r="J983" s="1113"/>
      <c r="K983" s="1113"/>
      <c r="L983" s="150">
        <f t="shared" si="54"/>
        <v>0</v>
      </c>
      <c r="M983" s="151">
        <f t="shared" si="55"/>
        <v>0</v>
      </c>
      <c r="N983" s="152">
        <f>+IF(OR($Q983=Parametres!$G$2,$Q983=Parametres!$G$3),I983,C983)</f>
        <v>0</v>
      </c>
      <c r="O983" s="152">
        <f>+IF(OR($Q983=Parametres!$G$2,$Q983=Parametres!$G$3),J983,D983)</f>
        <v>0</v>
      </c>
      <c r="P983" s="152">
        <f>+IF(OR($Q983=Parametres!$G$2,$Q983=Parametres!$G$3),K983,E983)</f>
        <v>0</v>
      </c>
      <c r="Q983" s="151">
        <f t="shared" si="69"/>
        <v>0</v>
      </c>
      <c r="R983" s="150">
        <f t="shared" si="69"/>
        <v>0</v>
      </c>
      <c r="S983" s="151">
        <f t="shared" si="69"/>
        <v>0</v>
      </c>
      <c r="T983" s="153" t="e">
        <f>+VLOOKUP($L983,Data_Validation!$A:$D,1,0)</f>
        <v>#N/A</v>
      </c>
      <c r="U983" s="153" t="e">
        <f>+VLOOKUP($L983,Data_Validation!$A:$D,3,0)</f>
        <v>#N/A</v>
      </c>
      <c r="V983" s="153" t="e">
        <f>+VLOOKUP($L983,Data_Validation!$A:$D,4,0)</f>
        <v>#N/A</v>
      </c>
      <c r="W983" s="153" t="e">
        <f>+VLOOKUP($L983,Data_Validation!$A:$E,5,0)</f>
        <v>#N/A</v>
      </c>
    </row>
    <row r="984" spans="1:23" ht="15.75" customHeight="1">
      <c r="A984" s="1113"/>
      <c r="B984" s="1119"/>
      <c r="C984" s="1120"/>
      <c r="D984" s="1113"/>
      <c r="E984" s="1113"/>
      <c r="F984" s="1113"/>
      <c r="G984" s="1113"/>
      <c r="H984" s="1113"/>
      <c r="I984" s="1113"/>
      <c r="J984" s="1113"/>
      <c r="K984" s="1113"/>
      <c r="L984" s="150">
        <f t="shared" si="54"/>
        <v>0</v>
      </c>
      <c r="M984" s="151">
        <f t="shared" si="55"/>
        <v>0</v>
      </c>
      <c r="N984" s="152">
        <f>+IF(OR($Q984=Parametres!$G$2,$Q984=Parametres!$G$3),I984,C984)</f>
        <v>0</v>
      </c>
      <c r="O984" s="152">
        <f>+IF(OR($Q984=Parametres!$G$2,$Q984=Parametres!$G$3),J984,D984)</f>
        <v>0</v>
      </c>
      <c r="P984" s="152">
        <f>+IF(OR($Q984=Parametres!$G$2,$Q984=Parametres!$G$3),K984,E984)</f>
        <v>0</v>
      </c>
      <c r="Q984" s="151">
        <f t="shared" si="69"/>
        <v>0</v>
      </c>
      <c r="R984" s="150">
        <f t="shared" si="69"/>
        <v>0</v>
      </c>
      <c r="S984" s="151">
        <f t="shared" si="69"/>
        <v>0</v>
      </c>
      <c r="T984" s="153" t="e">
        <f>+VLOOKUP($L984,Data_Validation!$A:$D,1,0)</f>
        <v>#N/A</v>
      </c>
      <c r="U984" s="153" t="e">
        <f>+VLOOKUP($L984,Data_Validation!$A:$D,3,0)</f>
        <v>#N/A</v>
      </c>
      <c r="V984" s="153" t="e">
        <f>+VLOOKUP($L984,Data_Validation!$A:$D,4,0)</f>
        <v>#N/A</v>
      </c>
      <c r="W984" s="153" t="e">
        <f>+VLOOKUP($L984,Data_Validation!$A:$E,5,0)</f>
        <v>#N/A</v>
      </c>
    </row>
    <row r="985" spans="1:23" ht="15.75" customHeight="1">
      <c r="A985" s="1113"/>
      <c r="B985" s="1119"/>
      <c r="C985" s="1120"/>
      <c r="D985" s="1113"/>
      <c r="E985" s="1113"/>
      <c r="F985" s="1113"/>
      <c r="G985" s="1113"/>
      <c r="H985" s="1113"/>
      <c r="I985" s="1113"/>
      <c r="J985" s="1113"/>
      <c r="K985" s="1113"/>
      <c r="L985" s="150">
        <f t="shared" si="54"/>
        <v>0</v>
      </c>
      <c r="M985" s="151">
        <f t="shared" si="55"/>
        <v>0</v>
      </c>
      <c r="N985" s="152">
        <f>+IF(OR($Q985=Parametres!$G$2,$Q985=Parametres!$G$3),I985,C985)</f>
        <v>0</v>
      </c>
      <c r="O985" s="152">
        <f>+IF(OR($Q985=Parametres!$G$2,$Q985=Parametres!$G$3),J985,D985)</f>
        <v>0</v>
      </c>
      <c r="P985" s="152">
        <f>+IF(OR($Q985=Parametres!$G$2,$Q985=Parametres!$G$3),K985,E985)</f>
        <v>0</v>
      </c>
      <c r="Q985" s="151">
        <f t="shared" si="69"/>
        <v>0</v>
      </c>
      <c r="R985" s="150">
        <f t="shared" si="69"/>
        <v>0</v>
      </c>
      <c r="S985" s="151">
        <f t="shared" si="69"/>
        <v>0</v>
      </c>
      <c r="T985" s="153" t="e">
        <f>+VLOOKUP($L985,Data_Validation!$A:$D,1,0)</f>
        <v>#N/A</v>
      </c>
      <c r="U985" s="153" t="e">
        <f>+VLOOKUP($L985,Data_Validation!$A:$D,3,0)</f>
        <v>#N/A</v>
      </c>
      <c r="V985" s="153" t="e">
        <f>+VLOOKUP($L985,Data_Validation!$A:$D,4,0)</f>
        <v>#N/A</v>
      </c>
      <c r="W985" s="153" t="e">
        <f>+VLOOKUP($L985,Data_Validation!$A:$E,5,0)</f>
        <v>#N/A</v>
      </c>
    </row>
    <row r="986" spans="1:23" ht="15.75" customHeight="1">
      <c r="A986" s="1113"/>
      <c r="B986" s="1119"/>
      <c r="C986" s="1120"/>
      <c r="D986" s="1113"/>
      <c r="E986" s="1113"/>
      <c r="F986" s="1113"/>
      <c r="G986" s="1113"/>
      <c r="H986" s="1113"/>
      <c r="I986" s="1113"/>
      <c r="J986" s="1113"/>
      <c r="K986" s="1113"/>
      <c r="L986" s="150">
        <f t="shared" si="54"/>
        <v>0</v>
      </c>
      <c r="M986" s="151">
        <f t="shared" si="55"/>
        <v>0</v>
      </c>
      <c r="N986" s="152">
        <f>+IF(OR($Q986=Parametres!$G$2,$Q986=Parametres!$G$3),I986,C986)</f>
        <v>0</v>
      </c>
      <c r="O986" s="152">
        <f>+IF(OR($Q986=Parametres!$G$2,$Q986=Parametres!$G$3),J986,D986)</f>
        <v>0</v>
      </c>
      <c r="P986" s="152">
        <f>+IF(OR($Q986=Parametres!$G$2,$Q986=Parametres!$G$3),K986,E986)</f>
        <v>0</v>
      </c>
      <c r="Q986" s="151">
        <f t="shared" si="69"/>
        <v>0</v>
      </c>
      <c r="R986" s="150">
        <f t="shared" si="69"/>
        <v>0</v>
      </c>
      <c r="S986" s="151">
        <f t="shared" si="69"/>
        <v>0</v>
      </c>
      <c r="T986" s="153" t="e">
        <f>+VLOOKUP($L986,Data_Validation!$A:$D,1,0)</f>
        <v>#N/A</v>
      </c>
      <c r="U986" s="153" t="e">
        <f>+VLOOKUP($L986,Data_Validation!$A:$D,3,0)</f>
        <v>#N/A</v>
      </c>
      <c r="V986" s="153" t="e">
        <f>+VLOOKUP($L986,Data_Validation!$A:$D,4,0)</f>
        <v>#N/A</v>
      </c>
      <c r="W986" s="153" t="e">
        <f>+VLOOKUP($L986,Data_Validation!$A:$E,5,0)</f>
        <v>#N/A</v>
      </c>
    </row>
    <row r="987" spans="1:23" ht="15.75" customHeight="1">
      <c r="A987" s="1113"/>
      <c r="B987" s="1119"/>
      <c r="C987" s="1120"/>
      <c r="D987" s="1113"/>
      <c r="E987" s="1113"/>
      <c r="F987" s="1113"/>
      <c r="G987" s="1113"/>
      <c r="H987" s="1113"/>
      <c r="I987" s="1113"/>
      <c r="J987" s="1113"/>
      <c r="K987" s="1113"/>
      <c r="L987" s="150">
        <f t="shared" si="54"/>
        <v>0</v>
      </c>
      <c r="M987" s="151">
        <f t="shared" si="55"/>
        <v>0</v>
      </c>
      <c r="N987" s="152">
        <f>+IF(OR($Q987=Parametres!$G$2,$Q987=Parametres!$G$3),I987,C987)</f>
        <v>0</v>
      </c>
      <c r="O987" s="152">
        <f>+IF(OR($Q987=Parametres!$G$2,$Q987=Parametres!$G$3),J987,D987)</f>
        <v>0</v>
      </c>
      <c r="P987" s="152">
        <f>+IF(OR($Q987=Parametres!$G$2,$Q987=Parametres!$G$3),K987,E987)</f>
        <v>0</v>
      </c>
      <c r="Q987" s="151">
        <f t="shared" si="69"/>
        <v>0</v>
      </c>
      <c r="R987" s="150">
        <f t="shared" si="69"/>
        <v>0</v>
      </c>
      <c r="S987" s="151">
        <f t="shared" si="69"/>
        <v>0</v>
      </c>
      <c r="T987" s="153" t="e">
        <f>+VLOOKUP($L987,Data_Validation!$A:$D,1,0)</f>
        <v>#N/A</v>
      </c>
      <c r="U987" s="153" t="e">
        <f>+VLOOKUP($L987,Data_Validation!$A:$D,3,0)</f>
        <v>#N/A</v>
      </c>
      <c r="V987" s="153" t="e">
        <f>+VLOOKUP($L987,Data_Validation!$A:$D,4,0)</f>
        <v>#N/A</v>
      </c>
      <c r="W987" s="153" t="e">
        <f>+VLOOKUP($L987,Data_Validation!$A:$E,5,0)</f>
        <v>#N/A</v>
      </c>
    </row>
    <row r="988" spans="1:23" ht="15.75" customHeight="1">
      <c r="A988" s="1113"/>
      <c r="B988" s="1119"/>
      <c r="C988" s="1120"/>
      <c r="D988" s="1113"/>
      <c r="E988" s="1113"/>
      <c r="F988" s="1113"/>
      <c r="G988" s="1113"/>
      <c r="H988" s="1113"/>
      <c r="I988" s="1113"/>
      <c r="J988" s="1113"/>
      <c r="K988" s="1113"/>
      <c r="L988" s="150">
        <f t="shared" si="54"/>
        <v>0</v>
      </c>
      <c r="M988" s="151">
        <f t="shared" si="55"/>
        <v>0</v>
      </c>
      <c r="N988" s="152">
        <f>+IF(OR($Q988=Parametres!$G$2,$Q988=Parametres!$G$3),I988,C988)</f>
        <v>0</v>
      </c>
      <c r="O988" s="152">
        <f>+IF(OR($Q988=Parametres!$G$2,$Q988=Parametres!$G$3),J988,D988)</f>
        <v>0</v>
      </c>
      <c r="P988" s="152">
        <f>+IF(OR($Q988=Parametres!$G$2,$Q988=Parametres!$G$3),K988,E988)</f>
        <v>0</v>
      </c>
      <c r="Q988" s="151">
        <f t="shared" si="69"/>
        <v>0</v>
      </c>
      <c r="R988" s="150">
        <f t="shared" si="69"/>
        <v>0</v>
      </c>
      <c r="S988" s="151">
        <f t="shared" si="69"/>
        <v>0</v>
      </c>
      <c r="T988" s="153" t="e">
        <f>+VLOOKUP($L988,Data_Validation!$A:$D,1,0)</f>
        <v>#N/A</v>
      </c>
      <c r="U988" s="153" t="e">
        <f>+VLOOKUP($L988,Data_Validation!$A:$D,3,0)</f>
        <v>#N/A</v>
      </c>
      <c r="V988" s="153" t="e">
        <f>+VLOOKUP($L988,Data_Validation!$A:$D,4,0)</f>
        <v>#N/A</v>
      </c>
      <c r="W988" s="153" t="e">
        <f>+VLOOKUP($L988,Data_Validation!$A:$E,5,0)</f>
        <v>#N/A</v>
      </c>
    </row>
    <row r="989" spans="1:23" ht="15.75" customHeight="1">
      <c r="A989" s="1113"/>
      <c r="B989" s="1119"/>
      <c r="C989" s="1120"/>
      <c r="D989" s="1113"/>
      <c r="E989" s="1113"/>
      <c r="F989" s="1113"/>
      <c r="G989" s="1113"/>
      <c r="H989" s="1113"/>
      <c r="I989" s="1113"/>
      <c r="J989" s="1113"/>
      <c r="K989" s="1113"/>
      <c r="L989" s="150">
        <f t="shared" si="54"/>
        <v>0</v>
      </c>
      <c r="M989" s="151">
        <f t="shared" si="55"/>
        <v>0</v>
      </c>
      <c r="N989" s="152">
        <f>+IF(OR($Q989=Parametres!$G$2,$Q989=Parametres!$G$3),I989,C989)</f>
        <v>0</v>
      </c>
      <c r="O989" s="152">
        <f>+IF(OR($Q989=Parametres!$G$2,$Q989=Parametres!$G$3),J989,D989)</f>
        <v>0</v>
      </c>
      <c r="P989" s="152">
        <f>+IF(OR($Q989=Parametres!$G$2,$Q989=Parametres!$G$3),K989,E989)</f>
        <v>0</v>
      </c>
      <c r="Q989" s="151">
        <f t="shared" si="69"/>
        <v>0</v>
      </c>
      <c r="R989" s="150">
        <f t="shared" si="69"/>
        <v>0</v>
      </c>
      <c r="S989" s="151">
        <f t="shared" si="69"/>
        <v>0</v>
      </c>
      <c r="T989" s="153" t="e">
        <f>+VLOOKUP($L989,Data_Validation!$A:$D,1,0)</f>
        <v>#N/A</v>
      </c>
      <c r="U989" s="153" t="e">
        <f>+VLOOKUP($L989,Data_Validation!$A:$D,3,0)</f>
        <v>#N/A</v>
      </c>
      <c r="V989" s="153" t="e">
        <f>+VLOOKUP($L989,Data_Validation!$A:$D,4,0)</f>
        <v>#N/A</v>
      </c>
      <c r="W989" s="153" t="e">
        <f>+VLOOKUP($L989,Data_Validation!$A:$E,5,0)</f>
        <v>#N/A</v>
      </c>
    </row>
    <row r="990" spans="1:23" ht="15.75" customHeight="1">
      <c r="A990" s="1113"/>
      <c r="B990" s="1119"/>
      <c r="C990" s="1120"/>
      <c r="D990" s="1113"/>
      <c r="E990" s="1113"/>
      <c r="F990" s="1113"/>
      <c r="G990" s="1113"/>
      <c r="H990" s="1113"/>
      <c r="I990" s="1113"/>
      <c r="J990" s="1113"/>
      <c r="K990" s="1113"/>
      <c r="L990" s="150">
        <f t="shared" si="54"/>
        <v>0</v>
      </c>
      <c r="M990" s="151">
        <f t="shared" si="55"/>
        <v>0</v>
      </c>
      <c r="N990" s="152">
        <f>+IF(OR($Q990=Parametres!$G$2,$Q990=Parametres!$G$3),I990,C990)</f>
        <v>0</v>
      </c>
      <c r="O990" s="152">
        <f>+IF(OR($Q990=Parametres!$G$2,$Q990=Parametres!$G$3),J990,D990)</f>
        <v>0</v>
      </c>
      <c r="P990" s="152">
        <f>+IF(OR($Q990=Parametres!$G$2,$Q990=Parametres!$G$3),K990,E990)</f>
        <v>0</v>
      </c>
      <c r="Q990" s="151">
        <f t="shared" si="69"/>
        <v>0</v>
      </c>
      <c r="R990" s="150">
        <f t="shared" si="69"/>
        <v>0</v>
      </c>
      <c r="S990" s="151">
        <f t="shared" si="69"/>
        <v>0</v>
      </c>
      <c r="T990" s="153" t="e">
        <f>+VLOOKUP($L990,Data_Validation!$A:$D,1,0)</f>
        <v>#N/A</v>
      </c>
      <c r="U990" s="153" t="e">
        <f>+VLOOKUP($L990,Data_Validation!$A:$D,3,0)</f>
        <v>#N/A</v>
      </c>
      <c r="V990" s="153" t="e">
        <f>+VLOOKUP($L990,Data_Validation!$A:$D,4,0)</f>
        <v>#N/A</v>
      </c>
      <c r="W990" s="153" t="e">
        <f>+VLOOKUP($L990,Data_Validation!$A:$E,5,0)</f>
        <v>#N/A</v>
      </c>
    </row>
    <row r="991" spans="1:23" ht="15.75" customHeight="1">
      <c r="A991" s="1113"/>
      <c r="B991" s="1119"/>
      <c r="C991" s="1120"/>
      <c r="D991" s="1113"/>
      <c r="E991" s="1113"/>
      <c r="F991" s="1113"/>
      <c r="G991" s="1113"/>
      <c r="H991" s="1113"/>
      <c r="I991" s="1113"/>
      <c r="J991" s="1113"/>
      <c r="K991" s="1113"/>
      <c r="L991" s="150">
        <f t="shared" si="54"/>
        <v>0</v>
      </c>
      <c r="M991" s="151">
        <f t="shared" si="55"/>
        <v>0</v>
      </c>
      <c r="N991" s="152">
        <f>+IF(OR($Q991=Parametres!$G$2,$Q991=Parametres!$G$3),I991,C991)</f>
        <v>0</v>
      </c>
      <c r="O991" s="152">
        <f>+IF(OR($Q991=Parametres!$G$2,$Q991=Parametres!$G$3),J991,D991)</f>
        <v>0</v>
      </c>
      <c r="P991" s="152">
        <f>+IF(OR($Q991=Parametres!$G$2,$Q991=Parametres!$G$3),K991,E991)</f>
        <v>0</v>
      </c>
      <c r="Q991" s="151">
        <f t="shared" si="69"/>
        <v>0</v>
      </c>
      <c r="R991" s="150">
        <f t="shared" si="69"/>
        <v>0</v>
      </c>
      <c r="S991" s="151">
        <f t="shared" si="69"/>
        <v>0</v>
      </c>
      <c r="T991" s="153" t="e">
        <f>+VLOOKUP($L991,Data_Validation!$A:$D,1,0)</f>
        <v>#N/A</v>
      </c>
      <c r="U991" s="153" t="e">
        <f>+VLOOKUP($L991,Data_Validation!$A:$D,3,0)</f>
        <v>#N/A</v>
      </c>
      <c r="V991" s="153" t="e">
        <f>+VLOOKUP($L991,Data_Validation!$A:$D,4,0)</f>
        <v>#N/A</v>
      </c>
      <c r="W991" s="153" t="e">
        <f>+VLOOKUP($L991,Data_Validation!$A:$E,5,0)</f>
        <v>#N/A</v>
      </c>
    </row>
    <row r="992" spans="1:23" ht="15.75" customHeight="1">
      <c r="A992" s="1113"/>
      <c r="B992" s="1119"/>
      <c r="C992" s="1120"/>
      <c r="D992" s="1113"/>
      <c r="E992" s="1113"/>
      <c r="F992" s="1113"/>
      <c r="G992" s="1113"/>
      <c r="H992" s="1113"/>
      <c r="I992" s="1113"/>
      <c r="J992" s="1113"/>
      <c r="K992" s="1113"/>
      <c r="L992" s="150">
        <f t="shared" si="54"/>
        <v>0</v>
      </c>
      <c r="M992" s="151">
        <f t="shared" si="55"/>
        <v>0</v>
      </c>
      <c r="N992" s="152">
        <f>+IF(OR($Q992=Parametres!$G$2,$Q992=Parametres!$G$3),I992,C992)</f>
        <v>0</v>
      </c>
      <c r="O992" s="152">
        <f>+IF(OR($Q992=Parametres!$G$2,$Q992=Parametres!$G$3),J992,D992)</f>
        <v>0</v>
      </c>
      <c r="P992" s="152">
        <f>+IF(OR($Q992=Parametres!$G$2,$Q992=Parametres!$G$3),K992,E992)</f>
        <v>0</v>
      </c>
      <c r="Q992" s="151">
        <f t="shared" si="69"/>
        <v>0</v>
      </c>
      <c r="R992" s="150">
        <f t="shared" si="69"/>
        <v>0</v>
      </c>
      <c r="S992" s="151">
        <f t="shared" si="69"/>
        <v>0</v>
      </c>
      <c r="T992" s="153" t="e">
        <f>+VLOOKUP($L992,Data_Validation!$A:$D,1,0)</f>
        <v>#N/A</v>
      </c>
      <c r="U992" s="153" t="e">
        <f>+VLOOKUP($L992,Data_Validation!$A:$D,3,0)</f>
        <v>#N/A</v>
      </c>
      <c r="V992" s="153" t="e">
        <f>+VLOOKUP($L992,Data_Validation!$A:$D,4,0)</f>
        <v>#N/A</v>
      </c>
      <c r="W992" s="153" t="e">
        <f>+VLOOKUP($L992,Data_Validation!$A:$E,5,0)</f>
        <v>#N/A</v>
      </c>
    </row>
    <row r="993" spans="1:23" ht="15.75" customHeight="1">
      <c r="A993" s="1113"/>
      <c r="B993" s="1119"/>
      <c r="C993" s="1120"/>
      <c r="D993" s="1113"/>
      <c r="E993" s="1113"/>
      <c r="F993" s="1113"/>
      <c r="G993" s="1113"/>
      <c r="H993" s="1113"/>
      <c r="I993" s="1113"/>
      <c r="J993" s="1113"/>
      <c r="K993" s="1113"/>
      <c r="L993" s="150">
        <f t="shared" si="54"/>
        <v>0</v>
      </c>
      <c r="M993" s="151">
        <f t="shared" si="55"/>
        <v>0</v>
      </c>
      <c r="N993" s="152">
        <f>+IF(OR($Q993=Parametres!$G$2,$Q993=Parametres!$G$3),I993,C993)</f>
        <v>0</v>
      </c>
      <c r="O993" s="152">
        <f>+IF(OR($Q993=Parametres!$G$2,$Q993=Parametres!$G$3),J993,D993)</f>
        <v>0</v>
      </c>
      <c r="P993" s="152">
        <f>+IF(OR($Q993=Parametres!$G$2,$Q993=Parametres!$G$3),K993,E993)</f>
        <v>0</v>
      </c>
      <c r="Q993" s="151">
        <f t="shared" si="69"/>
        <v>0</v>
      </c>
      <c r="R993" s="150">
        <f t="shared" si="69"/>
        <v>0</v>
      </c>
      <c r="S993" s="151">
        <f t="shared" si="69"/>
        <v>0</v>
      </c>
      <c r="T993" s="153" t="e">
        <f>+VLOOKUP($L993,Data_Validation!$A:$D,1,0)</f>
        <v>#N/A</v>
      </c>
      <c r="U993" s="153" t="e">
        <f>+VLOOKUP($L993,Data_Validation!$A:$D,3,0)</f>
        <v>#N/A</v>
      </c>
      <c r="V993" s="153" t="e">
        <f>+VLOOKUP($L993,Data_Validation!$A:$D,4,0)</f>
        <v>#N/A</v>
      </c>
      <c r="W993" s="153" t="e">
        <f>+VLOOKUP($L993,Data_Validation!$A:$E,5,0)</f>
        <v>#N/A</v>
      </c>
    </row>
    <row r="994" spans="1:23" ht="15.75" customHeight="1">
      <c r="A994" s="1113"/>
      <c r="B994" s="1119"/>
      <c r="C994" s="1120"/>
      <c r="D994" s="1113"/>
      <c r="E994" s="1113"/>
      <c r="F994" s="1113"/>
      <c r="G994" s="1113"/>
      <c r="H994" s="1113"/>
      <c r="I994" s="1113"/>
      <c r="J994" s="1113"/>
      <c r="K994" s="1113"/>
      <c r="L994" s="150">
        <f t="shared" si="54"/>
        <v>0</v>
      </c>
      <c r="M994" s="151">
        <f t="shared" si="55"/>
        <v>0</v>
      </c>
      <c r="N994" s="152">
        <f>+IF(OR($Q994=Parametres!$G$2,$Q994=Parametres!$G$3),I994,C994)</f>
        <v>0</v>
      </c>
      <c r="O994" s="152">
        <f>+IF(OR($Q994=Parametres!$G$2,$Q994=Parametres!$G$3),J994,D994)</f>
        <v>0</v>
      </c>
      <c r="P994" s="152">
        <f>+IF(OR($Q994=Parametres!$G$2,$Q994=Parametres!$G$3),K994,E994)</f>
        <v>0</v>
      </c>
      <c r="Q994" s="151">
        <f t="shared" ref="Q994:S1009" si="70">+F994</f>
        <v>0</v>
      </c>
      <c r="R994" s="150">
        <f t="shared" si="70"/>
        <v>0</v>
      </c>
      <c r="S994" s="151">
        <f t="shared" si="70"/>
        <v>0</v>
      </c>
      <c r="T994" s="153" t="e">
        <f>+VLOOKUP($L994,Data_Validation!$A:$D,1,0)</f>
        <v>#N/A</v>
      </c>
      <c r="U994" s="153" t="e">
        <f>+VLOOKUP($L994,Data_Validation!$A:$D,3,0)</f>
        <v>#N/A</v>
      </c>
      <c r="V994" s="153" t="e">
        <f>+VLOOKUP($L994,Data_Validation!$A:$D,4,0)</f>
        <v>#N/A</v>
      </c>
      <c r="W994" s="153" t="e">
        <f>+VLOOKUP($L994,Data_Validation!$A:$E,5,0)</f>
        <v>#N/A</v>
      </c>
    </row>
    <row r="995" spans="1:23" ht="15.75" customHeight="1">
      <c r="A995" s="1113"/>
      <c r="B995" s="1119"/>
      <c r="C995" s="1120"/>
      <c r="D995" s="1113"/>
      <c r="E995" s="1113"/>
      <c r="F995" s="1113"/>
      <c r="G995" s="1113"/>
      <c r="H995" s="1113"/>
      <c r="I995" s="1113"/>
      <c r="J995" s="1113"/>
      <c r="K995" s="1113"/>
      <c r="L995" s="150">
        <f t="shared" si="54"/>
        <v>0</v>
      </c>
      <c r="M995" s="151">
        <f t="shared" si="55"/>
        <v>0</v>
      </c>
      <c r="N995" s="152">
        <f>+IF(OR($Q995=Parametres!$G$2,$Q995=Parametres!$G$3),I995,C995)</f>
        <v>0</v>
      </c>
      <c r="O995" s="152">
        <f>+IF(OR($Q995=Parametres!$G$2,$Q995=Parametres!$G$3),J995,D995)</f>
        <v>0</v>
      </c>
      <c r="P995" s="152">
        <f>+IF(OR($Q995=Parametres!$G$2,$Q995=Parametres!$G$3),K995,E995)</f>
        <v>0</v>
      </c>
      <c r="Q995" s="151">
        <f t="shared" si="70"/>
        <v>0</v>
      </c>
      <c r="R995" s="150">
        <f t="shared" si="70"/>
        <v>0</v>
      </c>
      <c r="S995" s="151">
        <f t="shared" si="70"/>
        <v>0</v>
      </c>
      <c r="T995" s="153" t="e">
        <f>+VLOOKUP($L995,Data_Validation!$A:$D,1,0)</f>
        <v>#N/A</v>
      </c>
      <c r="U995" s="153" t="e">
        <f>+VLOOKUP($L995,Data_Validation!$A:$D,3,0)</f>
        <v>#N/A</v>
      </c>
      <c r="V995" s="153" t="e">
        <f>+VLOOKUP($L995,Data_Validation!$A:$D,4,0)</f>
        <v>#N/A</v>
      </c>
      <c r="W995" s="153" t="e">
        <f>+VLOOKUP($L995,Data_Validation!$A:$E,5,0)</f>
        <v>#N/A</v>
      </c>
    </row>
    <row r="996" spans="1:23" ht="15.75" customHeight="1">
      <c r="A996" s="1113"/>
      <c r="B996" s="1119"/>
      <c r="C996" s="1120"/>
      <c r="D996" s="1113"/>
      <c r="E996" s="1113"/>
      <c r="F996" s="1113"/>
      <c r="G996" s="1113"/>
      <c r="H996" s="1113"/>
      <c r="I996" s="1113"/>
      <c r="J996" s="1113"/>
      <c r="K996" s="1113"/>
      <c r="L996" s="150">
        <f t="shared" si="54"/>
        <v>0</v>
      </c>
      <c r="M996" s="151">
        <f t="shared" si="55"/>
        <v>0</v>
      </c>
      <c r="N996" s="152">
        <f>+IF(OR($Q996=Parametres!$G$2,$Q996=Parametres!$G$3),I996,C996)</f>
        <v>0</v>
      </c>
      <c r="O996" s="152">
        <f>+IF(OR($Q996=Parametres!$G$2,$Q996=Parametres!$G$3),J996,D996)</f>
        <v>0</v>
      </c>
      <c r="P996" s="152">
        <f>+IF(OR($Q996=Parametres!$G$2,$Q996=Parametres!$G$3),K996,E996)</f>
        <v>0</v>
      </c>
      <c r="Q996" s="151">
        <f t="shared" si="70"/>
        <v>0</v>
      </c>
      <c r="R996" s="150">
        <f t="shared" si="70"/>
        <v>0</v>
      </c>
      <c r="S996" s="151">
        <f t="shared" si="70"/>
        <v>0</v>
      </c>
      <c r="T996" s="153" t="e">
        <f>+VLOOKUP($L996,Data_Validation!$A:$D,1,0)</f>
        <v>#N/A</v>
      </c>
      <c r="U996" s="153" t="e">
        <f>+VLOOKUP($L996,Data_Validation!$A:$D,3,0)</f>
        <v>#N/A</v>
      </c>
      <c r="V996" s="153" t="e">
        <f>+VLOOKUP($L996,Data_Validation!$A:$D,4,0)</f>
        <v>#N/A</v>
      </c>
      <c r="W996" s="153" t="e">
        <f>+VLOOKUP($L996,Data_Validation!$A:$E,5,0)</f>
        <v>#N/A</v>
      </c>
    </row>
    <row r="997" spans="1:23" ht="15.75" customHeight="1">
      <c r="A997" s="1113"/>
      <c r="B997" s="1119"/>
      <c r="C997" s="1120"/>
      <c r="D997" s="1113"/>
      <c r="E997" s="1113"/>
      <c r="F997" s="1113"/>
      <c r="G997" s="1113"/>
      <c r="H997" s="1113"/>
      <c r="I997" s="1113"/>
      <c r="J997" s="1113"/>
      <c r="K997" s="1113"/>
      <c r="L997" s="150">
        <f t="shared" si="54"/>
        <v>0</v>
      </c>
      <c r="M997" s="151">
        <f t="shared" si="55"/>
        <v>0</v>
      </c>
      <c r="N997" s="152">
        <f>+IF(OR($Q997=Parametres!$G$2,$Q997=Parametres!$G$3),I997,C997)</f>
        <v>0</v>
      </c>
      <c r="O997" s="152">
        <f>+IF(OR($Q997=Parametres!$G$2,$Q997=Parametres!$G$3),J997,D997)</f>
        <v>0</v>
      </c>
      <c r="P997" s="152">
        <f>+IF(OR($Q997=Parametres!$G$2,$Q997=Parametres!$G$3),K997,E997)</f>
        <v>0</v>
      </c>
      <c r="Q997" s="151">
        <f t="shared" si="70"/>
        <v>0</v>
      </c>
      <c r="R997" s="150">
        <f t="shared" si="70"/>
        <v>0</v>
      </c>
      <c r="S997" s="151">
        <f t="shared" si="70"/>
        <v>0</v>
      </c>
      <c r="T997" s="153" t="e">
        <f>+VLOOKUP($L997,Data_Validation!$A:$D,1,0)</f>
        <v>#N/A</v>
      </c>
      <c r="U997" s="153" t="e">
        <f>+VLOOKUP($L997,Data_Validation!$A:$D,3,0)</f>
        <v>#N/A</v>
      </c>
      <c r="V997" s="153" t="e">
        <f>+VLOOKUP($L997,Data_Validation!$A:$D,4,0)</f>
        <v>#N/A</v>
      </c>
      <c r="W997" s="153" t="e">
        <f>+VLOOKUP($L997,Data_Validation!$A:$E,5,0)</f>
        <v>#N/A</v>
      </c>
    </row>
    <row r="998" spans="1:23" ht="15.75" customHeight="1">
      <c r="A998" s="1113"/>
      <c r="B998" s="1119"/>
      <c r="C998" s="1120"/>
      <c r="D998" s="1113"/>
      <c r="E998" s="1113"/>
      <c r="F998" s="1113"/>
      <c r="G998" s="1113"/>
      <c r="H998" s="1113"/>
      <c r="I998" s="1113"/>
      <c r="J998" s="1113"/>
      <c r="K998" s="1113"/>
      <c r="L998" s="150">
        <f t="shared" si="54"/>
        <v>0</v>
      </c>
      <c r="M998" s="151">
        <f t="shared" si="55"/>
        <v>0</v>
      </c>
      <c r="N998" s="152">
        <f>+IF(OR($Q998=Parametres!$G$2,$Q998=Parametres!$G$3),I998,C998)</f>
        <v>0</v>
      </c>
      <c r="O998" s="152">
        <f>+IF(OR($Q998=Parametres!$G$2,$Q998=Parametres!$G$3),J998,D998)</f>
        <v>0</v>
      </c>
      <c r="P998" s="152">
        <f>+IF(OR($Q998=Parametres!$G$2,$Q998=Parametres!$G$3),K998,E998)</f>
        <v>0</v>
      </c>
      <c r="Q998" s="151">
        <f t="shared" si="70"/>
        <v>0</v>
      </c>
      <c r="R998" s="150">
        <f t="shared" si="70"/>
        <v>0</v>
      </c>
      <c r="S998" s="151">
        <f t="shared" si="70"/>
        <v>0</v>
      </c>
      <c r="T998" s="153" t="e">
        <f>+VLOOKUP($L998,Data_Validation!$A:$D,1,0)</f>
        <v>#N/A</v>
      </c>
      <c r="U998" s="153" t="e">
        <f>+VLOOKUP($L998,Data_Validation!$A:$D,3,0)</f>
        <v>#N/A</v>
      </c>
      <c r="V998" s="153" t="e">
        <f>+VLOOKUP($L998,Data_Validation!$A:$D,4,0)</f>
        <v>#N/A</v>
      </c>
      <c r="W998" s="153" t="e">
        <f>+VLOOKUP($L998,Data_Validation!$A:$E,5,0)</f>
        <v>#N/A</v>
      </c>
    </row>
    <row r="999" spans="1:23" ht="15.75" customHeight="1">
      <c r="A999" s="1113"/>
      <c r="B999" s="1119"/>
      <c r="C999" s="1120"/>
      <c r="D999" s="1113"/>
      <c r="E999" s="1113"/>
      <c r="F999" s="1113"/>
      <c r="G999" s="1113"/>
      <c r="H999" s="1113"/>
      <c r="I999" s="1113"/>
      <c r="J999" s="1113"/>
      <c r="K999" s="1113"/>
      <c r="L999" s="150">
        <f t="shared" si="54"/>
        <v>0</v>
      </c>
      <c r="M999" s="151">
        <f t="shared" si="55"/>
        <v>0</v>
      </c>
      <c r="N999" s="152">
        <f>+IF(OR($Q999=Parametres!$G$2,$Q999=Parametres!$G$3),I999,C999)</f>
        <v>0</v>
      </c>
      <c r="O999" s="152">
        <f>+IF(OR($Q999=Parametres!$G$2,$Q999=Parametres!$G$3),J999,D999)</f>
        <v>0</v>
      </c>
      <c r="P999" s="152">
        <f>+IF(OR($Q999=Parametres!$G$2,$Q999=Parametres!$G$3),K999,E999)</f>
        <v>0</v>
      </c>
      <c r="Q999" s="151">
        <f t="shared" si="70"/>
        <v>0</v>
      </c>
      <c r="R999" s="150">
        <f t="shared" si="70"/>
        <v>0</v>
      </c>
      <c r="S999" s="151">
        <f t="shared" si="70"/>
        <v>0</v>
      </c>
      <c r="T999" s="153" t="e">
        <f>+VLOOKUP($L999,Data_Validation!$A:$D,1,0)</f>
        <v>#N/A</v>
      </c>
      <c r="U999" s="153" t="e">
        <f>+VLOOKUP($L999,Data_Validation!$A:$D,3,0)</f>
        <v>#N/A</v>
      </c>
      <c r="V999" s="153" t="e">
        <f>+VLOOKUP($L999,Data_Validation!$A:$D,4,0)</f>
        <v>#N/A</v>
      </c>
      <c r="W999" s="153" t="e">
        <f>+VLOOKUP($L999,Data_Validation!$A:$E,5,0)</f>
        <v>#N/A</v>
      </c>
    </row>
    <row r="1000" spans="1:23" ht="15.75" customHeight="1">
      <c r="A1000" s="1113"/>
      <c r="B1000" s="1119"/>
      <c r="C1000" s="1120"/>
      <c r="D1000" s="1113"/>
      <c r="E1000" s="1113"/>
      <c r="F1000" s="1113"/>
      <c r="G1000" s="1113"/>
      <c r="H1000" s="1113"/>
      <c r="I1000" s="1113"/>
      <c r="J1000" s="1113"/>
      <c r="K1000" s="1113"/>
      <c r="L1000" s="150">
        <f t="shared" si="54"/>
        <v>0</v>
      </c>
      <c r="M1000" s="151">
        <f t="shared" si="55"/>
        <v>0</v>
      </c>
      <c r="N1000" s="152">
        <f>+IF(OR($Q1000=Parametres!$G$2,$Q1000=Parametres!$G$3),I1000,C1000)</f>
        <v>0</v>
      </c>
      <c r="O1000" s="152">
        <f>+IF(OR($Q1000=Parametres!$G$2,$Q1000=Parametres!$G$3),J1000,D1000)</f>
        <v>0</v>
      </c>
      <c r="P1000" s="152">
        <f>+IF(OR($Q1000=Parametres!$G$2,$Q1000=Parametres!$G$3),K1000,E1000)</f>
        <v>0</v>
      </c>
      <c r="Q1000" s="151">
        <f t="shared" si="70"/>
        <v>0</v>
      </c>
      <c r="R1000" s="150">
        <f t="shared" si="70"/>
        <v>0</v>
      </c>
      <c r="S1000" s="151">
        <f t="shared" si="70"/>
        <v>0</v>
      </c>
      <c r="T1000" s="153" t="e">
        <f>+VLOOKUP($L1000,Data_Validation!$A:$D,1,0)</f>
        <v>#N/A</v>
      </c>
      <c r="U1000" s="153" t="e">
        <f>+VLOOKUP($L1000,Data_Validation!$A:$D,3,0)</f>
        <v>#N/A</v>
      </c>
      <c r="V1000" s="153" t="e">
        <f>+VLOOKUP($L1000,Data_Validation!$A:$D,4,0)</f>
        <v>#N/A</v>
      </c>
      <c r="W1000" s="153" t="e">
        <f>+VLOOKUP($L1000,Data_Validation!$A:$E,5,0)</f>
        <v>#N/A</v>
      </c>
    </row>
    <row r="1001" spans="1:23" ht="15.75" customHeight="1">
      <c r="A1001" s="1113"/>
      <c r="B1001" s="1119"/>
      <c r="C1001" s="1120"/>
      <c r="D1001" s="1113"/>
      <c r="E1001" s="1113"/>
      <c r="F1001" s="1113"/>
      <c r="G1001" s="1113"/>
      <c r="H1001" s="1113"/>
      <c r="I1001" s="1113"/>
      <c r="J1001" s="1113"/>
      <c r="K1001" s="1113"/>
      <c r="L1001" s="150">
        <f t="shared" si="54"/>
        <v>0</v>
      </c>
      <c r="M1001" s="151">
        <f t="shared" si="55"/>
        <v>0</v>
      </c>
      <c r="N1001" s="152">
        <f>+IF(OR($Q1001=Parametres!$G$2,$Q1001=Parametres!$G$3),I1001,C1001)</f>
        <v>0</v>
      </c>
      <c r="O1001" s="152">
        <f>+IF(OR($Q1001=Parametres!$G$2,$Q1001=Parametres!$G$3),J1001,D1001)</f>
        <v>0</v>
      </c>
      <c r="P1001" s="152">
        <f>+IF(OR($Q1001=Parametres!$G$2,$Q1001=Parametres!$G$3),K1001,E1001)</f>
        <v>0</v>
      </c>
      <c r="Q1001" s="151">
        <f t="shared" si="70"/>
        <v>0</v>
      </c>
      <c r="R1001" s="150">
        <f t="shared" si="70"/>
        <v>0</v>
      </c>
      <c r="S1001" s="151">
        <f t="shared" si="70"/>
        <v>0</v>
      </c>
      <c r="T1001" s="153" t="e">
        <f>+VLOOKUP($L1001,Data_Validation!$A:$D,1,0)</f>
        <v>#N/A</v>
      </c>
      <c r="U1001" s="153" t="e">
        <f>+VLOOKUP($L1001,Data_Validation!$A:$D,3,0)</f>
        <v>#N/A</v>
      </c>
      <c r="V1001" s="153" t="e">
        <f>+VLOOKUP($L1001,Data_Validation!$A:$D,4,0)</f>
        <v>#N/A</v>
      </c>
      <c r="W1001" s="153" t="e">
        <f>+VLOOKUP($L1001,Data_Validation!$A:$E,5,0)</f>
        <v>#N/A</v>
      </c>
    </row>
    <row r="1002" spans="1:23" ht="15.75" customHeight="1">
      <c r="A1002" s="1113"/>
      <c r="B1002" s="1119"/>
      <c r="C1002" s="1120"/>
      <c r="D1002" s="1113"/>
      <c r="E1002" s="1113"/>
      <c r="F1002" s="1113"/>
      <c r="G1002" s="1113"/>
      <c r="H1002" s="1113"/>
      <c r="I1002" s="1113"/>
      <c r="J1002" s="1113"/>
      <c r="K1002" s="1113"/>
      <c r="L1002" s="150">
        <f t="shared" si="54"/>
        <v>0</v>
      </c>
      <c r="M1002" s="151">
        <f t="shared" si="55"/>
        <v>0</v>
      </c>
      <c r="N1002" s="152">
        <f>+IF(OR($Q1002=Parametres!$G$2,$Q1002=Parametres!$G$3),I1002,C1002)</f>
        <v>0</v>
      </c>
      <c r="O1002" s="152">
        <f>+IF(OR($Q1002=Parametres!$G$2,$Q1002=Parametres!$G$3),J1002,D1002)</f>
        <v>0</v>
      </c>
      <c r="P1002" s="152">
        <f>+IF(OR($Q1002=Parametres!$G$2,$Q1002=Parametres!$G$3),K1002,E1002)</f>
        <v>0</v>
      </c>
      <c r="Q1002" s="151">
        <f t="shared" si="70"/>
        <v>0</v>
      </c>
      <c r="R1002" s="150">
        <f t="shared" si="70"/>
        <v>0</v>
      </c>
      <c r="S1002" s="151">
        <f t="shared" si="70"/>
        <v>0</v>
      </c>
      <c r="T1002" s="153" t="e">
        <f>+VLOOKUP($L1002,Data_Validation!$A:$D,1,0)</f>
        <v>#N/A</v>
      </c>
      <c r="U1002" s="153" t="e">
        <f>+VLOOKUP($L1002,Data_Validation!$A:$D,3,0)</f>
        <v>#N/A</v>
      </c>
      <c r="V1002" s="153" t="e">
        <f>+VLOOKUP($L1002,Data_Validation!$A:$D,4,0)</f>
        <v>#N/A</v>
      </c>
      <c r="W1002" s="153" t="e">
        <f>+VLOOKUP($L1002,Data_Validation!$A:$E,5,0)</f>
        <v>#N/A</v>
      </c>
    </row>
    <row r="1003" spans="1:23" ht="15.75" customHeight="1">
      <c r="A1003" s="1113"/>
      <c r="B1003" s="1119"/>
      <c r="C1003" s="1120"/>
      <c r="D1003" s="1113"/>
      <c r="E1003" s="1113"/>
      <c r="F1003" s="1113"/>
      <c r="G1003" s="1113"/>
      <c r="H1003" s="1113"/>
      <c r="I1003" s="1113"/>
      <c r="J1003" s="1113"/>
      <c r="K1003" s="1113"/>
      <c r="L1003" s="150">
        <f t="shared" si="54"/>
        <v>0</v>
      </c>
      <c r="M1003" s="151">
        <f t="shared" si="55"/>
        <v>0</v>
      </c>
      <c r="N1003" s="152">
        <f>+IF(OR($Q1003=Parametres!$G$2,$Q1003=Parametres!$G$3),I1003,C1003)</f>
        <v>0</v>
      </c>
      <c r="O1003" s="152">
        <f>+IF(OR($Q1003=Parametres!$G$2,$Q1003=Parametres!$G$3),J1003,D1003)</f>
        <v>0</v>
      </c>
      <c r="P1003" s="152">
        <f>+IF(OR($Q1003=Parametres!$G$2,$Q1003=Parametres!$G$3),K1003,E1003)</f>
        <v>0</v>
      </c>
      <c r="Q1003" s="151">
        <f t="shared" si="70"/>
        <v>0</v>
      </c>
      <c r="R1003" s="150">
        <f t="shared" si="70"/>
        <v>0</v>
      </c>
      <c r="S1003" s="151">
        <f t="shared" si="70"/>
        <v>0</v>
      </c>
      <c r="T1003" s="153" t="e">
        <f>+VLOOKUP($L1003,Data_Validation!$A:$D,1,0)</f>
        <v>#N/A</v>
      </c>
      <c r="U1003" s="153" t="e">
        <f>+VLOOKUP($L1003,Data_Validation!$A:$D,3,0)</f>
        <v>#N/A</v>
      </c>
      <c r="V1003" s="153" t="e">
        <f>+VLOOKUP($L1003,Data_Validation!$A:$D,4,0)</f>
        <v>#N/A</v>
      </c>
      <c r="W1003" s="153" t="e">
        <f>+VLOOKUP($L1003,Data_Validation!$A:$E,5,0)</f>
        <v>#N/A</v>
      </c>
    </row>
    <row r="1004" spans="1:23" ht="15.75" customHeight="1">
      <c r="A1004" s="1113"/>
      <c r="B1004" s="1119"/>
      <c r="C1004" s="1120"/>
      <c r="D1004" s="1113"/>
      <c r="E1004" s="1113"/>
      <c r="F1004" s="1113"/>
      <c r="G1004" s="1113"/>
      <c r="H1004" s="1113"/>
      <c r="I1004" s="1113"/>
      <c r="J1004" s="1113"/>
      <c r="K1004" s="1113"/>
      <c r="L1004" s="150">
        <f t="shared" si="54"/>
        <v>0</v>
      </c>
      <c r="M1004" s="151">
        <f t="shared" si="55"/>
        <v>0</v>
      </c>
      <c r="N1004" s="152">
        <f>+IF(OR($Q1004=Parametres!$G$2,$Q1004=Parametres!$G$3),I1004,C1004)</f>
        <v>0</v>
      </c>
      <c r="O1004" s="152">
        <f>+IF(OR($Q1004=Parametres!$G$2,$Q1004=Parametres!$G$3),J1004,D1004)</f>
        <v>0</v>
      </c>
      <c r="P1004" s="152">
        <f>+IF(OR($Q1004=Parametres!$G$2,$Q1004=Parametres!$G$3),K1004,E1004)</f>
        <v>0</v>
      </c>
      <c r="Q1004" s="151">
        <f t="shared" si="70"/>
        <v>0</v>
      </c>
      <c r="R1004" s="150">
        <f t="shared" si="70"/>
        <v>0</v>
      </c>
      <c r="S1004" s="151">
        <f t="shared" si="70"/>
        <v>0</v>
      </c>
      <c r="T1004" s="153" t="e">
        <f>+VLOOKUP($L1004,Data_Validation!$A:$D,1,0)</f>
        <v>#N/A</v>
      </c>
      <c r="U1004" s="153" t="e">
        <f>+VLOOKUP($L1004,Data_Validation!$A:$D,3,0)</f>
        <v>#N/A</v>
      </c>
      <c r="V1004" s="153" t="e">
        <f>+VLOOKUP($L1004,Data_Validation!$A:$D,4,0)</f>
        <v>#N/A</v>
      </c>
      <c r="W1004" s="153" t="e">
        <f>+VLOOKUP($L1004,Data_Validation!$A:$E,5,0)</f>
        <v>#N/A</v>
      </c>
    </row>
    <row r="1005" spans="1:23" ht="15.75" customHeight="1">
      <c r="A1005" s="1113"/>
      <c r="B1005" s="1119"/>
      <c r="C1005" s="1120"/>
      <c r="D1005" s="1113"/>
      <c r="E1005" s="1113"/>
      <c r="F1005" s="1113"/>
      <c r="G1005" s="1113"/>
      <c r="H1005" s="1113"/>
      <c r="I1005" s="1113"/>
      <c r="J1005" s="1113"/>
      <c r="K1005" s="1113"/>
      <c r="L1005" s="150">
        <f t="shared" si="54"/>
        <v>0</v>
      </c>
      <c r="M1005" s="151">
        <f t="shared" si="55"/>
        <v>0</v>
      </c>
      <c r="N1005" s="152">
        <f>+IF(OR($Q1005=Parametres!$G$2,$Q1005=Parametres!$G$3),I1005,C1005)</f>
        <v>0</v>
      </c>
      <c r="O1005" s="152">
        <f>+IF(OR($Q1005=Parametres!$G$2,$Q1005=Parametres!$G$3),J1005,D1005)</f>
        <v>0</v>
      </c>
      <c r="P1005" s="152">
        <f>+IF(OR($Q1005=Parametres!$G$2,$Q1005=Parametres!$G$3),K1005,E1005)</f>
        <v>0</v>
      </c>
      <c r="Q1005" s="151">
        <f t="shared" si="70"/>
        <v>0</v>
      </c>
      <c r="R1005" s="150">
        <f t="shared" si="70"/>
        <v>0</v>
      </c>
      <c r="S1005" s="151">
        <f t="shared" si="70"/>
        <v>0</v>
      </c>
      <c r="T1005" s="153" t="e">
        <f>+VLOOKUP($L1005,Data_Validation!$A:$D,1,0)</f>
        <v>#N/A</v>
      </c>
      <c r="U1005" s="153" t="e">
        <f>+VLOOKUP($L1005,Data_Validation!$A:$D,3,0)</f>
        <v>#N/A</v>
      </c>
      <c r="V1005" s="153" t="e">
        <f>+VLOOKUP($L1005,Data_Validation!$A:$D,4,0)</f>
        <v>#N/A</v>
      </c>
      <c r="W1005" s="153" t="e">
        <f>+VLOOKUP($L1005,Data_Validation!$A:$E,5,0)</f>
        <v>#N/A</v>
      </c>
    </row>
    <row r="1006" spans="1:23" ht="15.75" customHeight="1">
      <c r="A1006" s="1113"/>
      <c r="B1006" s="1119"/>
      <c r="C1006" s="1120"/>
      <c r="D1006" s="1113"/>
      <c r="E1006" s="1113"/>
      <c r="F1006" s="1113"/>
      <c r="G1006" s="1113"/>
      <c r="H1006" s="1113"/>
      <c r="I1006" s="1113"/>
      <c r="J1006" s="1113"/>
      <c r="K1006" s="1113"/>
      <c r="L1006" s="150">
        <f t="shared" si="54"/>
        <v>0</v>
      </c>
      <c r="M1006" s="151">
        <f t="shared" si="55"/>
        <v>0</v>
      </c>
      <c r="N1006" s="152">
        <f>+IF(OR($Q1006=Parametres!$G$2,$Q1006=Parametres!$G$3),I1006,C1006)</f>
        <v>0</v>
      </c>
      <c r="O1006" s="152">
        <f>+IF(OR($Q1006=Parametres!$G$2,$Q1006=Parametres!$G$3),J1006,D1006)</f>
        <v>0</v>
      </c>
      <c r="P1006" s="152">
        <f>+IF(OR($Q1006=Parametres!$G$2,$Q1006=Parametres!$G$3),K1006,E1006)</f>
        <v>0</v>
      </c>
      <c r="Q1006" s="151">
        <f t="shared" si="70"/>
        <v>0</v>
      </c>
      <c r="R1006" s="150">
        <f t="shared" si="70"/>
        <v>0</v>
      </c>
      <c r="S1006" s="151">
        <f t="shared" si="70"/>
        <v>0</v>
      </c>
      <c r="T1006" s="153" t="e">
        <f>+VLOOKUP($L1006,Data_Validation!$A:$D,1,0)</f>
        <v>#N/A</v>
      </c>
      <c r="U1006" s="153" t="e">
        <f>+VLOOKUP($L1006,Data_Validation!$A:$D,3,0)</f>
        <v>#N/A</v>
      </c>
      <c r="V1006" s="153" t="e">
        <f>+VLOOKUP($L1006,Data_Validation!$A:$D,4,0)</f>
        <v>#N/A</v>
      </c>
      <c r="W1006" s="153" t="e">
        <f>+VLOOKUP($L1006,Data_Validation!$A:$E,5,0)</f>
        <v>#N/A</v>
      </c>
    </row>
    <row r="1007" spans="1:23" ht="15.75" customHeight="1">
      <c r="A1007" s="1113"/>
      <c r="B1007" s="1119"/>
      <c r="C1007" s="1120"/>
      <c r="D1007" s="1113"/>
      <c r="E1007" s="1113"/>
      <c r="F1007" s="1113"/>
      <c r="G1007" s="1113"/>
      <c r="H1007" s="1113"/>
      <c r="I1007" s="1113"/>
      <c r="J1007" s="1113"/>
      <c r="K1007" s="1113"/>
      <c r="L1007" s="150">
        <f t="shared" si="54"/>
        <v>0</v>
      </c>
      <c r="M1007" s="151">
        <f t="shared" si="55"/>
        <v>0</v>
      </c>
      <c r="N1007" s="152">
        <f>+IF(OR($Q1007=Parametres!$G$2,$Q1007=Parametres!$G$3),I1007,C1007)</f>
        <v>0</v>
      </c>
      <c r="O1007" s="152">
        <f>+IF(OR($Q1007=Parametres!$G$2,$Q1007=Parametres!$G$3),J1007,D1007)</f>
        <v>0</v>
      </c>
      <c r="P1007" s="152">
        <f>+IF(OR($Q1007=Parametres!$G$2,$Q1007=Parametres!$G$3),K1007,E1007)</f>
        <v>0</v>
      </c>
      <c r="Q1007" s="151">
        <f t="shared" si="70"/>
        <v>0</v>
      </c>
      <c r="R1007" s="150">
        <f t="shared" si="70"/>
        <v>0</v>
      </c>
      <c r="S1007" s="151">
        <f t="shared" si="70"/>
        <v>0</v>
      </c>
      <c r="T1007" s="153" t="e">
        <f>+VLOOKUP($L1007,Data_Validation!$A:$D,1,0)</f>
        <v>#N/A</v>
      </c>
      <c r="U1007" s="153" t="e">
        <f>+VLOOKUP($L1007,Data_Validation!$A:$D,3,0)</f>
        <v>#N/A</v>
      </c>
      <c r="V1007" s="153" t="e">
        <f>+VLOOKUP($L1007,Data_Validation!$A:$D,4,0)</f>
        <v>#N/A</v>
      </c>
      <c r="W1007" s="153" t="e">
        <f>+VLOOKUP($L1007,Data_Validation!$A:$E,5,0)</f>
        <v>#N/A</v>
      </c>
    </row>
    <row r="1008" spans="1:23" ht="15.75" customHeight="1">
      <c r="A1008" s="1113"/>
      <c r="B1008" s="1119"/>
      <c r="C1008" s="1120"/>
      <c r="D1008" s="1113"/>
      <c r="E1008" s="1113"/>
      <c r="F1008" s="1113"/>
      <c r="G1008" s="1113"/>
      <c r="H1008" s="1113"/>
      <c r="I1008" s="1113"/>
      <c r="J1008" s="1113"/>
      <c r="K1008" s="1113"/>
      <c r="L1008" s="150">
        <f t="shared" si="54"/>
        <v>0</v>
      </c>
      <c r="M1008" s="151">
        <f t="shared" si="55"/>
        <v>0</v>
      </c>
      <c r="N1008" s="152">
        <f>+IF(OR($Q1008=Parametres!$G$2,$Q1008=Parametres!$G$3),I1008,C1008)</f>
        <v>0</v>
      </c>
      <c r="O1008" s="152">
        <f>+IF(OR($Q1008=Parametres!$G$2,$Q1008=Parametres!$G$3),J1008,D1008)</f>
        <v>0</v>
      </c>
      <c r="P1008" s="152">
        <f>+IF(OR($Q1008=Parametres!$G$2,$Q1008=Parametres!$G$3),K1008,E1008)</f>
        <v>0</v>
      </c>
      <c r="Q1008" s="151">
        <f t="shared" si="70"/>
        <v>0</v>
      </c>
      <c r="R1008" s="150">
        <f t="shared" si="70"/>
        <v>0</v>
      </c>
      <c r="S1008" s="151">
        <f t="shared" si="70"/>
        <v>0</v>
      </c>
      <c r="T1008" s="153" t="e">
        <f>+VLOOKUP($L1008,Data_Validation!$A:$D,1,0)</f>
        <v>#N/A</v>
      </c>
      <c r="U1008" s="153" t="e">
        <f>+VLOOKUP($L1008,Data_Validation!$A:$D,3,0)</f>
        <v>#N/A</v>
      </c>
      <c r="V1008" s="153" t="e">
        <f>+VLOOKUP($L1008,Data_Validation!$A:$D,4,0)</f>
        <v>#N/A</v>
      </c>
      <c r="W1008" s="153" t="e">
        <f>+VLOOKUP($L1008,Data_Validation!$A:$E,5,0)</f>
        <v>#N/A</v>
      </c>
    </row>
    <row r="1009" spans="1:23" ht="15.75" customHeight="1">
      <c r="A1009" s="1113"/>
      <c r="B1009" s="1119"/>
      <c r="C1009" s="1120"/>
      <c r="D1009" s="1113"/>
      <c r="E1009" s="1113"/>
      <c r="F1009" s="1113"/>
      <c r="G1009" s="1113"/>
      <c r="H1009" s="1113"/>
      <c r="I1009" s="1113"/>
      <c r="J1009" s="1113"/>
      <c r="K1009" s="1113"/>
      <c r="L1009" s="150">
        <f t="shared" si="54"/>
        <v>0</v>
      </c>
      <c r="M1009" s="151">
        <f t="shared" si="55"/>
        <v>0</v>
      </c>
      <c r="N1009" s="152">
        <f>+IF(OR($Q1009=Parametres!$G$2,$Q1009=Parametres!$G$3),I1009,C1009)</f>
        <v>0</v>
      </c>
      <c r="O1009" s="152">
        <f>+IF(OR($Q1009=Parametres!$G$2,$Q1009=Parametres!$G$3),J1009,D1009)</f>
        <v>0</v>
      </c>
      <c r="P1009" s="152">
        <f>+IF(OR($Q1009=Parametres!$G$2,$Q1009=Parametres!$G$3),K1009,E1009)</f>
        <v>0</v>
      </c>
      <c r="Q1009" s="151">
        <f t="shared" si="70"/>
        <v>0</v>
      </c>
      <c r="R1009" s="150">
        <f t="shared" si="70"/>
        <v>0</v>
      </c>
      <c r="S1009" s="151">
        <f t="shared" si="70"/>
        <v>0</v>
      </c>
      <c r="T1009" s="153" t="e">
        <f>+VLOOKUP($L1009,Data_Validation!$A:$D,1,0)</f>
        <v>#N/A</v>
      </c>
      <c r="U1009" s="153" t="e">
        <f>+VLOOKUP($L1009,Data_Validation!$A:$D,3,0)</f>
        <v>#N/A</v>
      </c>
      <c r="V1009" s="153" t="e">
        <f>+VLOOKUP($L1009,Data_Validation!$A:$D,4,0)</f>
        <v>#N/A</v>
      </c>
      <c r="W1009" s="153" t="e">
        <f>+VLOOKUP($L1009,Data_Validation!$A:$E,5,0)</f>
        <v>#N/A</v>
      </c>
    </row>
    <row r="1010" spans="1:23" ht="15.75" customHeight="1">
      <c r="A1010" s="1113"/>
      <c r="B1010" s="1119"/>
      <c r="C1010" s="1120"/>
      <c r="D1010" s="1113"/>
      <c r="E1010" s="1113"/>
      <c r="F1010" s="1113"/>
      <c r="G1010" s="1113"/>
      <c r="H1010" s="1113"/>
      <c r="I1010" s="1113"/>
      <c r="J1010" s="1113"/>
      <c r="K1010" s="1113"/>
      <c r="L1010" s="150">
        <f t="shared" si="54"/>
        <v>0</v>
      </c>
      <c r="M1010" s="151">
        <f t="shared" si="55"/>
        <v>0</v>
      </c>
      <c r="N1010" s="152">
        <f>+IF(OR($Q1010=Parametres!$G$2,$Q1010=Parametres!$G$3),I1010,C1010)</f>
        <v>0</v>
      </c>
      <c r="O1010" s="152">
        <f>+IF(OR($Q1010=Parametres!$G$2,$Q1010=Parametres!$G$3),J1010,D1010)</f>
        <v>0</v>
      </c>
      <c r="P1010" s="152">
        <f>+IF(OR($Q1010=Parametres!$G$2,$Q1010=Parametres!$G$3),K1010,E1010)</f>
        <v>0</v>
      </c>
      <c r="Q1010" s="151">
        <f t="shared" ref="Q1010:S1025" si="71">+F1010</f>
        <v>0</v>
      </c>
      <c r="R1010" s="150">
        <f t="shared" si="71"/>
        <v>0</v>
      </c>
      <c r="S1010" s="151">
        <f t="shared" si="71"/>
        <v>0</v>
      </c>
      <c r="T1010" s="153" t="e">
        <f>+VLOOKUP($L1010,Data_Validation!$A:$D,1,0)</f>
        <v>#N/A</v>
      </c>
      <c r="U1010" s="153" t="e">
        <f>+VLOOKUP($L1010,Data_Validation!$A:$D,3,0)</f>
        <v>#N/A</v>
      </c>
      <c r="V1010" s="153" t="e">
        <f>+VLOOKUP($L1010,Data_Validation!$A:$D,4,0)</f>
        <v>#N/A</v>
      </c>
      <c r="W1010" s="153" t="e">
        <f>+VLOOKUP($L1010,Data_Validation!$A:$E,5,0)</f>
        <v>#N/A</v>
      </c>
    </row>
    <row r="1011" spans="1:23" ht="15.75" customHeight="1">
      <c r="A1011" s="1113"/>
      <c r="B1011" s="1119"/>
      <c r="C1011" s="1120"/>
      <c r="D1011" s="1113"/>
      <c r="E1011" s="1113"/>
      <c r="F1011" s="1113"/>
      <c r="G1011" s="1113"/>
      <c r="H1011" s="1113"/>
      <c r="I1011" s="1113"/>
      <c r="J1011" s="1113"/>
      <c r="K1011" s="1113"/>
      <c r="L1011" s="150">
        <f t="shared" si="54"/>
        <v>0</v>
      </c>
      <c r="M1011" s="151">
        <f t="shared" si="55"/>
        <v>0</v>
      </c>
      <c r="N1011" s="152">
        <f>+IF(OR($Q1011=Parametres!$G$2,$Q1011=Parametres!$G$3),I1011,C1011)</f>
        <v>0</v>
      </c>
      <c r="O1011" s="152">
        <f>+IF(OR($Q1011=Parametres!$G$2,$Q1011=Parametres!$G$3),J1011,D1011)</f>
        <v>0</v>
      </c>
      <c r="P1011" s="152">
        <f>+IF(OR($Q1011=Parametres!$G$2,$Q1011=Parametres!$G$3),K1011,E1011)</f>
        <v>0</v>
      </c>
      <c r="Q1011" s="151">
        <f t="shared" si="71"/>
        <v>0</v>
      </c>
      <c r="R1011" s="150">
        <f t="shared" si="71"/>
        <v>0</v>
      </c>
      <c r="S1011" s="151">
        <f t="shared" si="71"/>
        <v>0</v>
      </c>
      <c r="T1011" s="153" t="e">
        <f>+VLOOKUP($L1011,Data_Validation!$A:$D,1,0)</f>
        <v>#N/A</v>
      </c>
      <c r="U1011" s="153" t="e">
        <f>+VLOOKUP($L1011,Data_Validation!$A:$D,3,0)</f>
        <v>#N/A</v>
      </c>
      <c r="V1011" s="153" t="e">
        <f>+VLOOKUP($L1011,Data_Validation!$A:$D,4,0)</f>
        <v>#N/A</v>
      </c>
      <c r="W1011" s="153" t="e">
        <f>+VLOOKUP($L1011,Data_Validation!$A:$E,5,0)</f>
        <v>#N/A</v>
      </c>
    </row>
    <row r="1012" spans="1:23" ht="15.75" customHeight="1">
      <c r="A1012" s="1113"/>
      <c r="B1012" s="1119"/>
      <c r="C1012" s="1120"/>
      <c r="D1012" s="1113"/>
      <c r="E1012" s="1113"/>
      <c r="F1012" s="1113"/>
      <c r="G1012" s="1113"/>
      <c r="H1012" s="1113"/>
      <c r="I1012" s="1113"/>
      <c r="J1012" s="1113"/>
      <c r="K1012" s="1113"/>
      <c r="L1012" s="150">
        <f t="shared" si="54"/>
        <v>0</v>
      </c>
      <c r="M1012" s="151">
        <f t="shared" si="55"/>
        <v>0</v>
      </c>
      <c r="N1012" s="152">
        <f>+IF(OR($Q1012=Parametres!$G$2,$Q1012=Parametres!$G$3),I1012,C1012)</f>
        <v>0</v>
      </c>
      <c r="O1012" s="152">
        <f>+IF(OR($Q1012=Parametres!$G$2,$Q1012=Parametres!$G$3),J1012,D1012)</f>
        <v>0</v>
      </c>
      <c r="P1012" s="152">
        <f>+IF(OR($Q1012=Parametres!$G$2,$Q1012=Parametres!$G$3),K1012,E1012)</f>
        <v>0</v>
      </c>
      <c r="Q1012" s="151">
        <f t="shared" si="71"/>
        <v>0</v>
      </c>
      <c r="R1012" s="150">
        <f t="shared" si="71"/>
        <v>0</v>
      </c>
      <c r="S1012" s="151">
        <f t="shared" si="71"/>
        <v>0</v>
      </c>
      <c r="T1012" s="153" t="e">
        <f>+VLOOKUP($L1012,Data_Validation!$A:$D,1,0)</f>
        <v>#N/A</v>
      </c>
      <c r="U1012" s="153" t="e">
        <f>+VLOOKUP($L1012,Data_Validation!$A:$D,3,0)</f>
        <v>#N/A</v>
      </c>
      <c r="V1012" s="153" t="e">
        <f>+VLOOKUP($L1012,Data_Validation!$A:$D,4,0)</f>
        <v>#N/A</v>
      </c>
      <c r="W1012" s="153" t="e">
        <f>+VLOOKUP($L1012,Data_Validation!$A:$E,5,0)</f>
        <v>#N/A</v>
      </c>
    </row>
    <row r="1013" spans="1:23" ht="15.75" customHeight="1">
      <c r="A1013" s="1113"/>
      <c r="B1013" s="1119"/>
      <c r="C1013" s="1120"/>
      <c r="D1013" s="1113"/>
      <c r="E1013" s="1113"/>
      <c r="F1013" s="1113"/>
      <c r="G1013" s="1113"/>
      <c r="H1013" s="1113"/>
      <c r="I1013" s="1113"/>
      <c r="J1013" s="1113"/>
      <c r="K1013" s="1113"/>
      <c r="L1013" s="150">
        <f t="shared" si="54"/>
        <v>0</v>
      </c>
      <c r="M1013" s="151">
        <f t="shared" si="55"/>
        <v>0</v>
      </c>
      <c r="N1013" s="152">
        <f>+IF(OR($Q1013=Parametres!$G$2,$Q1013=Parametres!$G$3),I1013,C1013)</f>
        <v>0</v>
      </c>
      <c r="O1013" s="152">
        <f>+IF(OR($Q1013=Parametres!$G$2,$Q1013=Parametres!$G$3),J1013,D1013)</f>
        <v>0</v>
      </c>
      <c r="P1013" s="152">
        <f>+IF(OR($Q1013=Parametres!$G$2,$Q1013=Parametres!$G$3),K1013,E1013)</f>
        <v>0</v>
      </c>
      <c r="Q1013" s="151">
        <f t="shared" si="71"/>
        <v>0</v>
      </c>
      <c r="R1013" s="150">
        <f t="shared" si="71"/>
        <v>0</v>
      </c>
      <c r="S1013" s="151">
        <f t="shared" si="71"/>
        <v>0</v>
      </c>
      <c r="T1013" s="153" t="e">
        <f>+VLOOKUP($L1013,Data_Validation!$A:$D,1,0)</f>
        <v>#N/A</v>
      </c>
      <c r="U1013" s="153" t="e">
        <f>+VLOOKUP($L1013,Data_Validation!$A:$D,3,0)</f>
        <v>#N/A</v>
      </c>
      <c r="V1013" s="153" t="e">
        <f>+VLOOKUP($L1013,Data_Validation!$A:$D,4,0)</f>
        <v>#N/A</v>
      </c>
      <c r="W1013" s="153" t="e">
        <f>+VLOOKUP($L1013,Data_Validation!$A:$E,5,0)</f>
        <v>#N/A</v>
      </c>
    </row>
    <row r="1014" spans="1:23" ht="15.75" customHeight="1">
      <c r="A1014" s="1113"/>
      <c r="B1014" s="1119"/>
      <c r="C1014" s="1120"/>
      <c r="D1014" s="1113"/>
      <c r="E1014" s="1113"/>
      <c r="F1014" s="1113"/>
      <c r="G1014" s="1113"/>
      <c r="H1014" s="1113"/>
      <c r="I1014" s="1113"/>
      <c r="J1014" s="1113"/>
      <c r="K1014" s="1113"/>
      <c r="L1014" s="150">
        <f t="shared" si="54"/>
        <v>0</v>
      </c>
      <c r="M1014" s="151">
        <f t="shared" si="55"/>
        <v>0</v>
      </c>
      <c r="N1014" s="152">
        <f>+IF(OR($Q1014=Parametres!$G$2,$Q1014=Parametres!$G$3),I1014,C1014)</f>
        <v>0</v>
      </c>
      <c r="O1014" s="152">
        <f>+IF(OR($Q1014=Parametres!$G$2,$Q1014=Parametres!$G$3),J1014,D1014)</f>
        <v>0</v>
      </c>
      <c r="P1014" s="152">
        <f>+IF(OR($Q1014=Parametres!$G$2,$Q1014=Parametres!$G$3),K1014,E1014)</f>
        <v>0</v>
      </c>
      <c r="Q1014" s="151">
        <f t="shared" si="71"/>
        <v>0</v>
      </c>
      <c r="R1014" s="150">
        <f t="shared" si="71"/>
        <v>0</v>
      </c>
      <c r="S1014" s="151">
        <f t="shared" si="71"/>
        <v>0</v>
      </c>
      <c r="T1014" s="153" t="e">
        <f>+VLOOKUP($L1014,Data_Validation!$A:$D,1,0)</f>
        <v>#N/A</v>
      </c>
      <c r="U1014" s="153" t="e">
        <f>+VLOOKUP($L1014,Data_Validation!$A:$D,3,0)</f>
        <v>#N/A</v>
      </c>
      <c r="V1014" s="153" t="e">
        <f>+VLOOKUP($L1014,Data_Validation!$A:$D,4,0)</f>
        <v>#N/A</v>
      </c>
      <c r="W1014" s="153" t="e">
        <f>+VLOOKUP($L1014,Data_Validation!$A:$E,5,0)</f>
        <v>#N/A</v>
      </c>
    </row>
    <row r="1015" spans="1:23" ht="15.75" customHeight="1">
      <c r="A1015" s="1113"/>
      <c r="B1015" s="1119"/>
      <c r="C1015" s="1120"/>
      <c r="D1015" s="1113"/>
      <c r="E1015" s="1113"/>
      <c r="F1015" s="1113"/>
      <c r="G1015" s="1113"/>
      <c r="H1015" s="1113"/>
      <c r="I1015" s="1113"/>
      <c r="J1015" s="1113"/>
      <c r="K1015" s="1113"/>
      <c r="L1015" s="150">
        <f t="shared" si="54"/>
        <v>0</v>
      </c>
      <c r="M1015" s="151">
        <f t="shared" si="55"/>
        <v>0</v>
      </c>
      <c r="N1015" s="152">
        <f>+IF(OR($Q1015=Parametres!$G$2,$Q1015=Parametres!$G$3),I1015,C1015)</f>
        <v>0</v>
      </c>
      <c r="O1015" s="152">
        <f>+IF(OR($Q1015=Parametres!$G$2,$Q1015=Parametres!$G$3),J1015,D1015)</f>
        <v>0</v>
      </c>
      <c r="P1015" s="152">
        <f>+IF(OR($Q1015=Parametres!$G$2,$Q1015=Parametres!$G$3),K1015,E1015)</f>
        <v>0</v>
      </c>
      <c r="Q1015" s="151">
        <f t="shared" si="71"/>
        <v>0</v>
      </c>
      <c r="R1015" s="150">
        <f t="shared" si="71"/>
        <v>0</v>
      </c>
      <c r="S1015" s="151">
        <f t="shared" si="71"/>
        <v>0</v>
      </c>
      <c r="T1015" s="153" t="e">
        <f>+VLOOKUP($L1015,Data_Validation!$A:$D,1,0)</f>
        <v>#N/A</v>
      </c>
      <c r="U1015" s="153" t="e">
        <f>+VLOOKUP($L1015,Data_Validation!$A:$D,3,0)</f>
        <v>#N/A</v>
      </c>
      <c r="V1015" s="153" t="e">
        <f>+VLOOKUP($L1015,Data_Validation!$A:$D,4,0)</f>
        <v>#N/A</v>
      </c>
      <c r="W1015" s="153" t="e">
        <f>+VLOOKUP($L1015,Data_Validation!$A:$E,5,0)</f>
        <v>#N/A</v>
      </c>
    </row>
    <row r="1016" spans="1:23" ht="15.75" customHeight="1">
      <c r="A1016" s="1113"/>
      <c r="B1016" s="1119"/>
      <c r="C1016" s="1120"/>
      <c r="D1016" s="1113"/>
      <c r="E1016" s="1113"/>
      <c r="F1016" s="1113"/>
      <c r="G1016" s="1113"/>
      <c r="H1016" s="1113"/>
      <c r="I1016" s="1113"/>
      <c r="J1016" s="1113"/>
      <c r="K1016" s="1113"/>
      <c r="L1016" s="150">
        <f t="shared" si="54"/>
        <v>0</v>
      </c>
      <c r="M1016" s="151">
        <f t="shared" si="55"/>
        <v>0</v>
      </c>
      <c r="N1016" s="152">
        <f>+IF(OR($Q1016=Parametres!$G$2,$Q1016=Parametres!$G$3),I1016,C1016)</f>
        <v>0</v>
      </c>
      <c r="O1016" s="152">
        <f>+IF(OR($Q1016=Parametres!$G$2,$Q1016=Parametres!$G$3),J1016,D1016)</f>
        <v>0</v>
      </c>
      <c r="P1016" s="152">
        <f>+IF(OR($Q1016=Parametres!$G$2,$Q1016=Parametres!$G$3),K1016,E1016)</f>
        <v>0</v>
      </c>
      <c r="Q1016" s="151">
        <f t="shared" si="71"/>
        <v>0</v>
      </c>
      <c r="R1016" s="150">
        <f t="shared" si="71"/>
        <v>0</v>
      </c>
      <c r="S1016" s="151">
        <f t="shared" si="71"/>
        <v>0</v>
      </c>
      <c r="T1016" s="153" t="e">
        <f>+VLOOKUP($L1016,Data_Validation!$A:$D,1,0)</f>
        <v>#N/A</v>
      </c>
      <c r="U1016" s="153" t="e">
        <f>+VLOOKUP($L1016,Data_Validation!$A:$D,3,0)</f>
        <v>#N/A</v>
      </c>
      <c r="V1016" s="153" t="e">
        <f>+VLOOKUP($L1016,Data_Validation!$A:$D,4,0)</f>
        <v>#N/A</v>
      </c>
      <c r="W1016" s="153" t="e">
        <f>+VLOOKUP($L1016,Data_Validation!$A:$E,5,0)</f>
        <v>#N/A</v>
      </c>
    </row>
    <row r="1017" spans="1:23" ht="15.75" customHeight="1">
      <c r="A1017" s="1113"/>
      <c r="B1017" s="1119"/>
      <c r="C1017" s="1120"/>
      <c r="D1017" s="1113"/>
      <c r="E1017" s="1113"/>
      <c r="F1017" s="1113"/>
      <c r="G1017" s="1113"/>
      <c r="H1017" s="1113"/>
      <c r="I1017" s="1113"/>
      <c r="J1017" s="1113"/>
      <c r="K1017" s="1113"/>
      <c r="L1017" s="150">
        <f t="shared" si="54"/>
        <v>0</v>
      </c>
      <c r="M1017" s="151">
        <f t="shared" si="55"/>
        <v>0</v>
      </c>
      <c r="N1017" s="152">
        <f>+IF(OR($Q1017=Parametres!$G$2,$Q1017=Parametres!$G$3),I1017,C1017)</f>
        <v>0</v>
      </c>
      <c r="O1017" s="152">
        <f>+IF(OR($Q1017=Parametres!$G$2,$Q1017=Parametres!$G$3),J1017,D1017)</f>
        <v>0</v>
      </c>
      <c r="P1017" s="152">
        <f>+IF(OR($Q1017=Parametres!$G$2,$Q1017=Parametres!$G$3),K1017,E1017)</f>
        <v>0</v>
      </c>
      <c r="Q1017" s="151">
        <f t="shared" si="71"/>
        <v>0</v>
      </c>
      <c r="R1017" s="150">
        <f t="shared" si="71"/>
        <v>0</v>
      </c>
      <c r="S1017" s="151">
        <f t="shared" si="71"/>
        <v>0</v>
      </c>
      <c r="T1017" s="153" t="e">
        <f>+VLOOKUP($L1017,Data_Validation!$A:$D,1,0)</f>
        <v>#N/A</v>
      </c>
      <c r="U1017" s="153" t="e">
        <f>+VLOOKUP($L1017,Data_Validation!$A:$D,3,0)</f>
        <v>#N/A</v>
      </c>
      <c r="V1017" s="153" t="e">
        <f>+VLOOKUP($L1017,Data_Validation!$A:$D,4,0)</f>
        <v>#N/A</v>
      </c>
      <c r="W1017" s="153" t="e">
        <f>+VLOOKUP($L1017,Data_Validation!$A:$E,5,0)</f>
        <v>#N/A</v>
      </c>
    </row>
    <row r="1018" spans="1:23" ht="15.75" customHeight="1">
      <c r="A1018" s="1113"/>
      <c r="B1018" s="1119"/>
      <c r="C1018" s="1120"/>
      <c r="D1018" s="1113"/>
      <c r="E1018" s="1113"/>
      <c r="F1018" s="1113"/>
      <c r="G1018" s="1113"/>
      <c r="H1018" s="1113"/>
      <c r="I1018" s="1113"/>
      <c r="J1018" s="1113"/>
      <c r="K1018" s="1113"/>
      <c r="L1018" s="150">
        <f t="shared" si="54"/>
        <v>0</v>
      </c>
      <c r="M1018" s="151">
        <f t="shared" si="55"/>
        <v>0</v>
      </c>
      <c r="N1018" s="152">
        <f>+IF(OR($Q1018=Parametres!$G$2,$Q1018=Parametres!$G$3),I1018,C1018)</f>
        <v>0</v>
      </c>
      <c r="O1018" s="152">
        <f>+IF(OR($Q1018=Parametres!$G$2,$Q1018=Parametres!$G$3),J1018,D1018)</f>
        <v>0</v>
      </c>
      <c r="P1018" s="152">
        <f>+IF(OR($Q1018=Parametres!$G$2,$Q1018=Parametres!$G$3),K1018,E1018)</f>
        <v>0</v>
      </c>
      <c r="Q1018" s="151">
        <f t="shared" si="71"/>
        <v>0</v>
      </c>
      <c r="R1018" s="150">
        <f t="shared" si="71"/>
        <v>0</v>
      </c>
      <c r="S1018" s="151">
        <f t="shared" si="71"/>
        <v>0</v>
      </c>
      <c r="T1018" s="153" t="e">
        <f>+VLOOKUP($L1018,Data_Validation!$A:$D,1,0)</f>
        <v>#N/A</v>
      </c>
      <c r="U1018" s="153" t="e">
        <f>+VLOOKUP($L1018,Data_Validation!$A:$D,3,0)</f>
        <v>#N/A</v>
      </c>
      <c r="V1018" s="153" t="e">
        <f>+VLOOKUP($L1018,Data_Validation!$A:$D,4,0)</f>
        <v>#N/A</v>
      </c>
      <c r="W1018" s="153" t="e">
        <f>+VLOOKUP($L1018,Data_Validation!$A:$E,5,0)</f>
        <v>#N/A</v>
      </c>
    </row>
    <row r="1019" spans="1:23" ht="15.75" customHeight="1">
      <c r="A1019" s="1113"/>
      <c r="B1019" s="1119"/>
      <c r="C1019" s="1120"/>
      <c r="D1019" s="1113"/>
      <c r="E1019" s="1113"/>
      <c r="F1019" s="1113"/>
      <c r="G1019" s="1113"/>
      <c r="H1019" s="1113"/>
      <c r="I1019" s="1113"/>
      <c r="J1019" s="1113"/>
      <c r="K1019" s="1113"/>
      <c r="L1019" s="150">
        <f t="shared" si="54"/>
        <v>0</v>
      </c>
      <c r="M1019" s="151">
        <f t="shared" si="55"/>
        <v>0</v>
      </c>
      <c r="N1019" s="152">
        <f>+IF(OR($Q1019=Parametres!$G$2,$Q1019=Parametres!$G$3),I1019,C1019)</f>
        <v>0</v>
      </c>
      <c r="O1019" s="152">
        <f>+IF(OR($Q1019=Parametres!$G$2,$Q1019=Parametres!$G$3),J1019,D1019)</f>
        <v>0</v>
      </c>
      <c r="P1019" s="152">
        <f>+IF(OR($Q1019=Parametres!$G$2,$Q1019=Parametres!$G$3),K1019,E1019)</f>
        <v>0</v>
      </c>
      <c r="Q1019" s="151">
        <f t="shared" si="71"/>
        <v>0</v>
      </c>
      <c r="R1019" s="150">
        <f t="shared" si="71"/>
        <v>0</v>
      </c>
      <c r="S1019" s="151">
        <f t="shared" si="71"/>
        <v>0</v>
      </c>
      <c r="T1019" s="153" t="e">
        <f>+VLOOKUP($L1019,Data_Validation!$A:$D,1,0)</f>
        <v>#N/A</v>
      </c>
      <c r="U1019" s="153" t="e">
        <f>+VLOOKUP($L1019,Data_Validation!$A:$D,3,0)</f>
        <v>#N/A</v>
      </c>
      <c r="V1019" s="153" t="e">
        <f>+VLOOKUP($L1019,Data_Validation!$A:$D,4,0)</f>
        <v>#N/A</v>
      </c>
      <c r="W1019" s="153" t="e">
        <f>+VLOOKUP($L1019,Data_Validation!$A:$E,5,0)</f>
        <v>#N/A</v>
      </c>
    </row>
    <row r="1020" spans="1:23" ht="15.75" customHeight="1">
      <c r="A1020" s="1113"/>
      <c r="B1020" s="1119"/>
      <c r="C1020" s="1120"/>
      <c r="D1020" s="1113"/>
      <c r="E1020" s="1113"/>
      <c r="F1020" s="1113"/>
      <c r="G1020" s="1113"/>
      <c r="H1020" s="1113"/>
      <c r="I1020" s="1113"/>
      <c r="J1020" s="1113"/>
      <c r="K1020" s="1113"/>
      <c r="L1020" s="150">
        <f t="shared" si="54"/>
        <v>0</v>
      </c>
      <c r="M1020" s="151">
        <f t="shared" si="55"/>
        <v>0</v>
      </c>
      <c r="N1020" s="152">
        <f>+IF(OR($Q1020=Parametres!$G$2,$Q1020=Parametres!$G$3),I1020,C1020)</f>
        <v>0</v>
      </c>
      <c r="O1020" s="152">
        <f>+IF(OR($Q1020=Parametres!$G$2,$Q1020=Parametres!$G$3),J1020,D1020)</f>
        <v>0</v>
      </c>
      <c r="P1020" s="152">
        <f>+IF(OR($Q1020=Parametres!$G$2,$Q1020=Parametres!$G$3),K1020,E1020)</f>
        <v>0</v>
      </c>
      <c r="Q1020" s="151">
        <f t="shared" si="71"/>
        <v>0</v>
      </c>
      <c r="R1020" s="150">
        <f t="shared" si="71"/>
        <v>0</v>
      </c>
      <c r="S1020" s="151">
        <f t="shared" si="71"/>
        <v>0</v>
      </c>
      <c r="T1020" s="153" t="e">
        <f>+VLOOKUP($L1020,Data_Validation!$A:$D,1,0)</f>
        <v>#N/A</v>
      </c>
      <c r="U1020" s="153" t="e">
        <f>+VLOOKUP($L1020,Data_Validation!$A:$D,3,0)</f>
        <v>#N/A</v>
      </c>
      <c r="V1020" s="153" t="e">
        <f>+VLOOKUP($L1020,Data_Validation!$A:$D,4,0)</f>
        <v>#N/A</v>
      </c>
      <c r="W1020" s="153" t="e">
        <f>+VLOOKUP($L1020,Data_Validation!$A:$E,5,0)</f>
        <v>#N/A</v>
      </c>
    </row>
    <row r="1021" spans="1:23" ht="15.75" customHeight="1">
      <c r="A1021" s="1113"/>
      <c r="B1021" s="1119"/>
      <c r="C1021" s="1120"/>
      <c r="D1021" s="1113"/>
      <c r="E1021" s="1113"/>
      <c r="F1021" s="1113"/>
      <c r="G1021" s="1113"/>
      <c r="H1021" s="1113"/>
      <c r="I1021" s="1113"/>
      <c r="J1021" s="1113"/>
      <c r="K1021" s="1113"/>
      <c r="L1021" s="150">
        <f t="shared" si="54"/>
        <v>0</v>
      </c>
      <c r="M1021" s="151">
        <f t="shared" si="55"/>
        <v>0</v>
      </c>
      <c r="N1021" s="152">
        <f>+IF(OR($Q1021=Parametres!$G$2,$Q1021=Parametres!$G$3),I1021,C1021)</f>
        <v>0</v>
      </c>
      <c r="O1021" s="152">
        <f>+IF(OR($Q1021=Parametres!$G$2,$Q1021=Parametres!$G$3),J1021,D1021)</f>
        <v>0</v>
      </c>
      <c r="P1021" s="152">
        <f>+IF(OR($Q1021=Parametres!$G$2,$Q1021=Parametres!$G$3),K1021,E1021)</f>
        <v>0</v>
      </c>
      <c r="Q1021" s="151">
        <f t="shared" si="71"/>
        <v>0</v>
      </c>
      <c r="R1021" s="150">
        <f t="shared" si="71"/>
        <v>0</v>
      </c>
      <c r="S1021" s="151">
        <f t="shared" si="71"/>
        <v>0</v>
      </c>
      <c r="T1021" s="153" t="e">
        <f>+VLOOKUP($L1021,Data_Validation!$A:$D,1,0)</f>
        <v>#N/A</v>
      </c>
      <c r="U1021" s="153" t="e">
        <f>+VLOOKUP($L1021,Data_Validation!$A:$D,3,0)</f>
        <v>#N/A</v>
      </c>
      <c r="V1021" s="153" t="e">
        <f>+VLOOKUP($L1021,Data_Validation!$A:$D,4,0)</f>
        <v>#N/A</v>
      </c>
      <c r="W1021" s="153" t="e">
        <f>+VLOOKUP($L1021,Data_Validation!$A:$E,5,0)</f>
        <v>#N/A</v>
      </c>
    </row>
    <row r="1022" spans="1:23" ht="15.75" customHeight="1">
      <c r="A1022" s="1113"/>
      <c r="B1022" s="1119"/>
      <c r="C1022" s="1120"/>
      <c r="D1022" s="1113"/>
      <c r="E1022" s="1113"/>
      <c r="F1022" s="1113"/>
      <c r="G1022" s="1113"/>
      <c r="H1022" s="1113"/>
      <c r="I1022" s="1113"/>
      <c r="J1022" s="1113"/>
      <c r="K1022" s="1113"/>
      <c r="L1022" s="150">
        <f t="shared" ref="L1022:L1055" si="72">+B1022</f>
        <v>0</v>
      </c>
      <c r="M1022" s="151">
        <f t="shared" ref="M1022:M1055" si="73">+A1022</f>
        <v>0</v>
      </c>
      <c r="N1022" s="152">
        <f>+IF(OR($Q1022=Parametres!$G$2,$Q1022=Parametres!$G$3),I1022,C1022)</f>
        <v>0</v>
      </c>
      <c r="O1022" s="152">
        <f>+IF(OR($Q1022=Parametres!$G$2,$Q1022=Parametres!$G$3),J1022,D1022)</f>
        <v>0</v>
      </c>
      <c r="P1022" s="152">
        <f>+IF(OR($Q1022=Parametres!$G$2,$Q1022=Parametres!$G$3),K1022,E1022)</f>
        <v>0</v>
      </c>
      <c r="Q1022" s="151">
        <f t="shared" si="71"/>
        <v>0</v>
      </c>
      <c r="R1022" s="150">
        <f t="shared" si="71"/>
        <v>0</v>
      </c>
      <c r="S1022" s="151">
        <f t="shared" si="71"/>
        <v>0</v>
      </c>
      <c r="T1022" s="153" t="e">
        <f>+VLOOKUP($L1022,Data_Validation!$A:$D,1,0)</f>
        <v>#N/A</v>
      </c>
      <c r="U1022" s="153" t="e">
        <f>+VLOOKUP($L1022,Data_Validation!$A:$D,3,0)</f>
        <v>#N/A</v>
      </c>
      <c r="V1022" s="153" t="e">
        <f>+VLOOKUP($L1022,Data_Validation!$A:$D,4,0)</f>
        <v>#N/A</v>
      </c>
      <c r="W1022" s="153" t="e">
        <f>+VLOOKUP($L1022,Data_Validation!$A:$E,5,0)</f>
        <v>#N/A</v>
      </c>
    </row>
    <row r="1023" spans="1:23" ht="15.75" customHeight="1">
      <c r="A1023" s="1113"/>
      <c r="B1023" s="1119"/>
      <c r="C1023" s="1120"/>
      <c r="D1023" s="1113"/>
      <c r="E1023" s="1113"/>
      <c r="F1023" s="1113"/>
      <c r="G1023" s="1113"/>
      <c r="H1023" s="1113"/>
      <c r="I1023" s="1113"/>
      <c r="J1023" s="1113"/>
      <c r="K1023" s="1113"/>
      <c r="L1023" s="150">
        <f t="shared" si="72"/>
        <v>0</v>
      </c>
      <c r="M1023" s="151">
        <f t="shared" si="73"/>
        <v>0</v>
      </c>
      <c r="N1023" s="152">
        <f>+IF(OR($Q1023=Parametres!$G$2,$Q1023=Parametres!$G$3),I1023,C1023)</f>
        <v>0</v>
      </c>
      <c r="O1023" s="152">
        <f>+IF(OR($Q1023=Parametres!$G$2,$Q1023=Parametres!$G$3),J1023,D1023)</f>
        <v>0</v>
      </c>
      <c r="P1023" s="152">
        <f>+IF(OR($Q1023=Parametres!$G$2,$Q1023=Parametres!$G$3),K1023,E1023)</f>
        <v>0</v>
      </c>
      <c r="Q1023" s="151">
        <f t="shared" si="71"/>
        <v>0</v>
      </c>
      <c r="R1023" s="150">
        <f t="shared" si="71"/>
        <v>0</v>
      </c>
      <c r="S1023" s="151">
        <f t="shared" si="71"/>
        <v>0</v>
      </c>
      <c r="T1023" s="153" t="e">
        <f>+VLOOKUP($L1023,Data_Validation!$A:$D,1,0)</f>
        <v>#N/A</v>
      </c>
      <c r="U1023" s="153" t="e">
        <f>+VLOOKUP($L1023,Data_Validation!$A:$D,3,0)</f>
        <v>#N/A</v>
      </c>
      <c r="V1023" s="153" t="e">
        <f>+VLOOKUP($L1023,Data_Validation!$A:$D,4,0)</f>
        <v>#N/A</v>
      </c>
      <c r="W1023" s="153" t="e">
        <f>+VLOOKUP($L1023,Data_Validation!$A:$E,5,0)</f>
        <v>#N/A</v>
      </c>
    </row>
    <row r="1024" spans="1:23" ht="15.75" customHeight="1">
      <c r="A1024" s="1113"/>
      <c r="B1024" s="1119"/>
      <c r="C1024" s="1120"/>
      <c r="D1024" s="1113"/>
      <c r="E1024" s="1113"/>
      <c r="F1024" s="1113"/>
      <c r="G1024" s="1113"/>
      <c r="H1024" s="1113"/>
      <c r="I1024" s="1113"/>
      <c r="J1024" s="1113"/>
      <c r="K1024" s="1113"/>
      <c r="L1024" s="150">
        <f t="shared" si="72"/>
        <v>0</v>
      </c>
      <c r="M1024" s="151">
        <f t="shared" si="73"/>
        <v>0</v>
      </c>
      <c r="N1024" s="152">
        <f>+IF(OR($Q1024=Parametres!$G$2,$Q1024=Parametres!$G$3),I1024,C1024)</f>
        <v>0</v>
      </c>
      <c r="O1024" s="152">
        <f>+IF(OR($Q1024=Parametres!$G$2,$Q1024=Parametres!$G$3),J1024,D1024)</f>
        <v>0</v>
      </c>
      <c r="P1024" s="152">
        <f>+IF(OR($Q1024=Parametres!$G$2,$Q1024=Parametres!$G$3),K1024,E1024)</f>
        <v>0</v>
      </c>
      <c r="Q1024" s="151">
        <f t="shared" si="71"/>
        <v>0</v>
      </c>
      <c r="R1024" s="150">
        <f t="shared" si="71"/>
        <v>0</v>
      </c>
      <c r="S1024" s="151">
        <f t="shared" si="71"/>
        <v>0</v>
      </c>
      <c r="T1024" s="153" t="e">
        <f>+VLOOKUP($L1024,Data_Validation!$A:$D,1,0)</f>
        <v>#N/A</v>
      </c>
      <c r="U1024" s="153" t="e">
        <f>+VLOOKUP($L1024,Data_Validation!$A:$D,3,0)</f>
        <v>#N/A</v>
      </c>
      <c r="V1024" s="153" t="e">
        <f>+VLOOKUP($L1024,Data_Validation!$A:$D,4,0)</f>
        <v>#N/A</v>
      </c>
      <c r="W1024" s="153" t="e">
        <f>+VLOOKUP($L1024,Data_Validation!$A:$E,5,0)</f>
        <v>#N/A</v>
      </c>
    </row>
    <row r="1025" spans="1:23" ht="15.75" customHeight="1">
      <c r="A1025" s="1113"/>
      <c r="B1025" s="1119"/>
      <c r="C1025" s="1120"/>
      <c r="D1025" s="1113"/>
      <c r="E1025" s="1113"/>
      <c r="F1025" s="1113"/>
      <c r="G1025" s="1113"/>
      <c r="H1025" s="1113"/>
      <c r="I1025" s="1113"/>
      <c r="J1025" s="1113"/>
      <c r="K1025" s="1113"/>
      <c r="L1025" s="150">
        <f t="shared" si="72"/>
        <v>0</v>
      </c>
      <c r="M1025" s="151">
        <f t="shared" si="73"/>
        <v>0</v>
      </c>
      <c r="N1025" s="152">
        <f>+IF(OR($Q1025=Parametres!$G$2,$Q1025=Parametres!$G$3),I1025,C1025)</f>
        <v>0</v>
      </c>
      <c r="O1025" s="152">
        <f>+IF(OR($Q1025=Parametres!$G$2,$Q1025=Parametres!$G$3),J1025,D1025)</f>
        <v>0</v>
      </c>
      <c r="P1025" s="152">
        <f>+IF(OR($Q1025=Parametres!$G$2,$Q1025=Parametres!$G$3),K1025,E1025)</f>
        <v>0</v>
      </c>
      <c r="Q1025" s="151">
        <f t="shared" si="71"/>
        <v>0</v>
      </c>
      <c r="R1025" s="150">
        <f t="shared" si="71"/>
        <v>0</v>
      </c>
      <c r="S1025" s="151">
        <f t="shared" si="71"/>
        <v>0</v>
      </c>
      <c r="T1025" s="153" t="e">
        <f>+VLOOKUP($L1025,Data_Validation!$A:$D,1,0)</f>
        <v>#N/A</v>
      </c>
      <c r="U1025" s="153" t="e">
        <f>+VLOOKUP($L1025,Data_Validation!$A:$D,3,0)</f>
        <v>#N/A</v>
      </c>
      <c r="V1025" s="153" t="e">
        <f>+VLOOKUP($L1025,Data_Validation!$A:$D,4,0)</f>
        <v>#N/A</v>
      </c>
      <c r="W1025" s="153" t="e">
        <f>+VLOOKUP($L1025,Data_Validation!$A:$E,5,0)</f>
        <v>#N/A</v>
      </c>
    </row>
    <row r="1026" spans="1:23" ht="15.75" customHeight="1">
      <c r="A1026" s="1113"/>
      <c r="B1026" s="1119"/>
      <c r="C1026" s="1120"/>
      <c r="D1026" s="1113"/>
      <c r="E1026" s="1113"/>
      <c r="F1026" s="1113"/>
      <c r="G1026" s="1113"/>
      <c r="H1026" s="1113"/>
      <c r="I1026" s="1113"/>
      <c r="J1026" s="1113"/>
      <c r="K1026" s="1113"/>
      <c r="L1026" s="150">
        <f t="shared" si="72"/>
        <v>0</v>
      </c>
      <c r="M1026" s="151">
        <f t="shared" si="73"/>
        <v>0</v>
      </c>
      <c r="N1026" s="152">
        <f>+IF(OR($Q1026=Parametres!$G$2,$Q1026=Parametres!$G$3),I1026,C1026)</f>
        <v>0</v>
      </c>
      <c r="O1026" s="152">
        <f>+IF(OR($Q1026=Parametres!$G$2,$Q1026=Parametres!$G$3),J1026,D1026)</f>
        <v>0</v>
      </c>
      <c r="P1026" s="152">
        <f>+IF(OR($Q1026=Parametres!$G$2,$Q1026=Parametres!$G$3),K1026,E1026)</f>
        <v>0</v>
      </c>
      <c r="Q1026" s="151">
        <f t="shared" ref="Q1026:S1041" si="74">+F1026</f>
        <v>0</v>
      </c>
      <c r="R1026" s="150">
        <f t="shared" si="74"/>
        <v>0</v>
      </c>
      <c r="S1026" s="151">
        <f t="shared" si="74"/>
        <v>0</v>
      </c>
      <c r="T1026" s="153" t="e">
        <f>+VLOOKUP($L1026,Data_Validation!$A:$D,1,0)</f>
        <v>#N/A</v>
      </c>
      <c r="U1026" s="153" t="e">
        <f>+VLOOKUP($L1026,Data_Validation!$A:$D,3,0)</f>
        <v>#N/A</v>
      </c>
      <c r="V1026" s="153" t="e">
        <f>+VLOOKUP($L1026,Data_Validation!$A:$D,4,0)</f>
        <v>#N/A</v>
      </c>
      <c r="W1026" s="153" t="e">
        <f>+VLOOKUP($L1026,Data_Validation!$A:$E,5,0)</f>
        <v>#N/A</v>
      </c>
    </row>
    <row r="1027" spans="1:23" ht="15.75" customHeight="1">
      <c r="A1027" s="1113"/>
      <c r="B1027" s="1119"/>
      <c r="C1027" s="1120"/>
      <c r="D1027" s="1113"/>
      <c r="E1027" s="1113"/>
      <c r="F1027" s="1113"/>
      <c r="G1027" s="1113"/>
      <c r="H1027" s="1113"/>
      <c r="I1027" s="1113"/>
      <c r="J1027" s="1113"/>
      <c r="K1027" s="1113"/>
      <c r="L1027" s="150">
        <f t="shared" si="72"/>
        <v>0</v>
      </c>
      <c r="M1027" s="151">
        <f t="shared" si="73"/>
        <v>0</v>
      </c>
      <c r="N1027" s="152">
        <f>+IF(OR($Q1027=Parametres!$G$2,$Q1027=Parametres!$G$3),I1027,C1027)</f>
        <v>0</v>
      </c>
      <c r="O1027" s="152">
        <f>+IF(OR($Q1027=Parametres!$G$2,$Q1027=Parametres!$G$3),J1027,D1027)</f>
        <v>0</v>
      </c>
      <c r="P1027" s="152">
        <f>+IF(OR($Q1027=Parametres!$G$2,$Q1027=Parametres!$G$3),K1027,E1027)</f>
        <v>0</v>
      </c>
      <c r="Q1027" s="151">
        <f t="shared" si="74"/>
        <v>0</v>
      </c>
      <c r="R1027" s="150">
        <f t="shared" si="74"/>
        <v>0</v>
      </c>
      <c r="S1027" s="151">
        <f t="shared" si="74"/>
        <v>0</v>
      </c>
      <c r="T1027" s="153" t="e">
        <f>+VLOOKUP($L1027,Data_Validation!$A:$D,1,0)</f>
        <v>#N/A</v>
      </c>
      <c r="U1027" s="153" t="e">
        <f>+VLOOKUP($L1027,Data_Validation!$A:$D,3,0)</f>
        <v>#N/A</v>
      </c>
      <c r="V1027" s="153" t="e">
        <f>+VLOOKUP($L1027,Data_Validation!$A:$D,4,0)</f>
        <v>#N/A</v>
      </c>
      <c r="W1027" s="153" t="e">
        <f>+VLOOKUP($L1027,Data_Validation!$A:$E,5,0)</f>
        <v>#N/A</v>
      </c>
    </row>
    <row r="1028" spans="1:23" ht="15.75" customHeight="1">
      <c r="A1028" s="1113"/>
      <c r="B1028" s="1119"/>
      <c r="C1028" s="1120"/>
      <c r="D1028" s="1113"/>
      <c r="E1028" s="1113"/>
      <c r="F1028" s="1113"/>
      <c r="G1028" s="1113"/>
      <c r="H1028" s="1113"/>
      <c r="I1028" s="1113"/>
      <c r="J1028" s="1113"/>
      <c r="K1028" s="1113"/>
      <c r="L1028" s="150">
        <f t="shared" si="72"/>
        <v>0</v>
      </c>
      <c r="M1028" s="151">
        <f t="shared" si="73"/>
        <v>0</v>
      </c>
      <c r="N1028" s="152">
        <f>+IF(OR($Q1028=Parametres!$G$2,$Q1028=Parametres!$G$3),I1028,C1028)</f>
        <v>0</v>
      </c>
      <c r="O1028" s="152">
        <f>+IF(OR($Q1028=Parametres!$G$2,$Q1028=Parametres!$G$3),J1028,D1028)</f>
        <v>0</v>
      </c>
      <c r="P1028" s="152">
        <f>+IF(OR($Q1028=Parametres!$G$2,$Q1028=Parametres!$G$3),K1028,E1028)</f>
        <v>0</v>
      </c>
      <c r="Q1028" s="151">
        <f t="shared" si="74"/>
        <v>0</v>
      </c>
      <c r="R1028" s="150">
        <f t="shared" si="74"/>
        <v>0</v>
      </c>
      <c r="S1028" s="151">
        <f t="shared" si="74"/>
        <v>0</v>
      </c>
      <c r="T1028" s="153" t="e">
        <f>+VLOOKUP($L1028,Data_Validation!$A:$D,1,0)</f>
        <v>#N/A</v>
      </c>
      <c r="U1028" s="153" t="e">
        <f>+VLOOKUP($L1028,Data_Validation!$A:$D,3,0)</f>
        <v>#N/A</v>
      </c>
      <c r="V1028" s="153" t="e">
        <f>+VLOOKUP($L1028,Data_Validation!$A:$D,4,0)</f>
        <v>#N/A</v>
      </c>
      <c r="W1028" s="153" t="e">
        <f>+VLOOKUP($L1028,Data_Validation!$A:$E,5,0)</f>
        <v>#N/A</v>
      </c>
    </row>
    <row r="1029" spans="1:23" ht="15.75" customHeight="1">
      <c r="A1029" s="1113"/>
      <c r="B1029" s="1119"/>
      <c r="C1029" s="1120"/>
      <c r="D1029" s="1113"/>
      <c r="E1029" s="1113"/>
      <c r="F1029" s="1113"/>
      <c r="G1029" s="1113"/>
      <c r="H1029" s="1113"/>
      <c r="I1029" s="1113"/>
      <c r="J1029" s="1113"/>
      <c r="K1029" s="1113"/>
      <c r="L1029" s="150">
        <f t="shared" si="72"/>
        <v>0</v>
      </c>
      <c r="M1029" s="151">
        <f t="shared" si="73"/>
        <v>0</v>
      </c>
      <c r="N1029" s="152">
        <f>+IF(OR($Q1029=Parametres!$G$2,$Q1029=Parametres!$G$3),I1029,C1029)</f>
        <v>0</v>
      </c>
      <c r="O1029" s="152">
        <f>+IF(OR($Q1029=Parametres!$G$2,$Q1029=Parametres!$G$3),J1029,D1029)</f>
        <v>0</v>
      </c>
      <c r="P1029" s="152">
        <f>+IF(OR($Q1029=Parametres!$G$2,$Q1029=Parametres!$G$3),K1029,E1029)</f>
        <v>0</v>
      </c>
      <c r="Q1029" s="151">
        <f t="shared" si="74"/>
        <v>0</v>
      </c>
      <c r="R1029" s="150">
        <f t="shared" si="74"/>
        <v>0</v>
      </c>
      <c r="S1029" s="151">
        <f t="shared" si="74"/>
        <v>0</v>
      </c>
      <c r="T1029" s="153" t="e">
        <f>+VLOOKUP($L1029,Data_Validation!$A:$D,1,0)</f>
        <v>#N/A</v>
      </c>
      <c r="U1029" s="153" t="e">
        <f>+VLOOKUP($L1029,Data_Validation!$A:$D,3,0)</f>
        <v>#N/A</v>
      </c>
      <c r="V1029" s="153" t="e">
        <f>+VLOOKUP($L1029,Data_Validation!$A:$D,4,0)</f>
        <v>#N/A</v>
      </c>
      <c r="W1029" s="153" t="e">
        <f>+VLOOKUP($L1029,Data_Validation!$A:$E,5,0)</f>
        <v>#N/A</v>
      </c>
    </row>
    <row r="1030" spans="1:23" ht="15.75" customHeight="1">
      <c r="A1030" s="1113"/>
      <c r="B1030" s="1119"/>
      <c r="C1030" s="1120"/>
      <c r="D1030" s="1113"/>
      <c r="E1030" s="1113"/>
      <c r="F1030" s="1113"/>
      <c r="G1030" s="1113"/>
      <c r="H1030" s="1113"/>
      <c r="I1030" s="1113"/>
      <c r="J1030" s="1113"/>
      <c r="K1030" s="1113"/>
      <c r="L1030" s="150">
        <f t="shared" si="72"/>
        <v>0</v>
      </c>
      <c r="M1030" s="151">
        <f t="shared" si="73"/>
        <v>0</v>
      </c>
      <c r="N1030" s="152">
        <f>+IF(OR($Q1030=Parametres!$G$2,$Q1030=Parametres!$G$3),I1030,C1030)</f>
        <v>0</v>
      </c>
      <c r="O1030" s="152">
        <f>+IF(OR($Q1030=Parametres!$G$2,$Q1030=Parametres!$G$3),J1030,D1030)</f>
        <v>0</v>
      </c>
      <c r="P1030" s="152">
        <f>+IF(OR($Q1030=Parametres!$G$2,$Q1030=Parametres!$G$3),K1030,E1030)</f>
        <v>0</v>
      </c>
      <c r="Q1030" s="151">
        <f t="shared" si="74"/>
        <v>0</v>
      </c>
      <c r="R1030" s="150">
        <f t="shared" si="74"/>
        <v>0</v>
      </c>
      <c r="S1030" s="151">
        <f t="shared" si="74"/>
        <v>0</v>
      </c>
      <c r="T1030" s="153" t="e">
        <f>+VLOOKUP($L1030,Data_Validation!$A:$D,1,0)</f>
        <v>#N/A</v>
      </c>
      <c r="U1030" s="153" t="e">
        <f>+VLOOKUP($L1030,Data_Validation!$A:$D,3,0)</f>
        <v>#N/A</v>
      </c>
      <c r="V1030" s="153" t="e">
        <f>+VLOOKUP($L1030,Data_Validation!$A:$D,4,0)</f>
        <v>#N/A</v>
      </c>
      <c r="W1030" s="153" t="e">
        <f>+VLOOKUP($L1030,Data_Validation!$A:$E,5,0)</f>
        <v>#N/A</v>
      </c>
    </row>
    <row r="1031" spans="1:23" ht="15.75" customHeight="1">
      <c r="A1031" s="1113"/>
      <c r="B1031" s="1119"/>
      <c r="C1031" s="1120"/>
      <c r="D1031" s="1113"/>
      <c r="E1031" s="1113"/>
      <c r="F1031" s="1113"/>
      <c r="G1031" s="1113"/>
      <c r="H1031" s="1113"/>
      <c r="I1031" s="1113"/>
      <c r="J1031" s="1113"/>
      <c r="K1031" s="1113"/>
      <c r="L1031" s="150">
        <f t="shared" si="72"/>
        <v>0</v>
      </c>
      <c r="M1031" s="151">
        <f t="shared" si="73"/>
        <v>0</v>
      </c>
      <c r="N1031" s="152">
        <f>+IF(OR($Q1031=Parametres!$G$2,$Q1031=Parametres!$G$3),I1031,C1031)</f>
        <v>0</v>
      </c>
      <c r="O1031" s="152">
        <f>+IF(OR($Q1031=Parametres!$G$2,$Q1031=Parametres!$G$3),J1031,D1031)</f>
        <v>0</v>
      </c>
      <c r="P1031" s="152">
        <f>+IF(OR($Q1031=Parametres!$G$2,$Q1031=Parametres!$G$3),K1031,E1031)</f>
        <v>0</v>
      </c>
      <c r="Q1031" s="151">
        <f t="shared" si="74"/>
        <v>0</v>
      </c>
      <c r="R1031" s="150">
        <f t="shared" si="74"/>
        <v>0</v>
      </c>
      <c r="S1031" s="151">
        <f t="shared" si="74"/>
        <v>0</v>
      </c>
      <c r="T1031" s="153" t="e">
        <f>+VLOOKUP($L1031,Data_Validation!$A:$D,1,0)</f>
        <v>#N/A</v>
      </c>
      <c r="U1031" s="153" t="e">
        <f>+VLOOKUP($L1031,Data_Validation!$A:$D,3,0)</f>
        <v>#N/A</v>
      </c>
      <c r="V1031" s="153" t="e">
        <f>+VLOOKUP($L1031,Data_Validation!$A:$D,4,0)</f>
        <v>#N/A</v>
      </c>
      <c r="W1031" s="153" t="e">
        <f>+VLOOKUP($L1031,Data_Validation!$A:$E,5,0)</f>
        <v>#N/A</v>
      </c>
    </row>
    <row r="1032" spans="1:23" ht="15.75" customHeight="1">
      <c r="A1032" s="1113"/>
      <c r="B1032" s="1119"/>
      <c r="C1032" s="1120"/>
      <c r="D1032" s="1113"/>
      <c r="E1032" s="1113"/>
      <c r="F1032" s="1113"/>
      <c r="G1032" s="1113"/>
      <c r="H1032" s="1113"/>
      <c r="I1032" s="1113"/>
      <c r="J1032" s="1113"/>
      <c r="K1032" s="1113"/>
      <c r="L1032" s="150">
        <f t="shared" si="72"/>
        <v>0</v>
      </c>
      <c r="M1032" s="151">
        <f t="shared" si="73"/>
        <v>0</v>
      </c>
      <c r="N1032" s="152">
        <f>+IF(OR($Q1032=Parametres!$G$2,$Q1032=Parametres!$G$3),I1032,C1032)</f>
        <v>0</v>
      </c>
      <c r="O1032" s="152">
        <f>+IF(OR($Q1032=Parametres!$G$2,$Q1032=Parametres!$G$3),J1032,D1032)</f>
        <v>0</v>
      </c>
      <c r="P1032" s="152">
        <f>+IF(OR($Q1032=Parametres!$G$2,$Q1032=Parametres!$G$3),K1032,E1032)</f>
        <v>0</v>
      </c>
      <c r="Q1032" s="151">
        <f t="shared" si="74"/>
        <v>0</v>
      </c>
      <c r="R1032" s="150">
        <f t="shared" si="74"/>
        <v>0</v>
      </c>
      <c r="S1032" s="151">
        <f t="shared" si="74"/>
        <v>0</v>
      </c>
      <c r="T1032" s="153" t="e">
        <f>+VLOOKUP($L1032,Data_Validation!$A:$D,1,0)</f>
        <v>#N/A</v>
      </c>
      <c r="U1032" s="153" t="e">
        <f>+VLOOKUP($L1032,Data_Validation!$A:$D,3,0)</f>
        <v>#N/A</v>
      </c>
      <c r="V1032" s="153" t="e">
        <f>+VLOOKUP($L1032,Data_Validation!$A:$D,4,0)</f>
        <v>#N/A</v>
      </c>
      <c r="W1032" s="153" t="e">
        <f>+VLOOKUP($L1032,Data_Validation!$A:$E,5,0)</f>
        <v>#N/A</v>
      </c>
    </row>
    <row r="1033" spans="1:23" ht="15.75" customHeight="1">
      <c r="A1033" s="1113"/>
      <c r="B1033" s="1119"/>
      <c r="C1033" s="1120"/>
      <c r="D1033" s="1113"/>
      <c r="E1033" s="1113"/>
      <c r="F1033" s="1113"/>
      <c r="G1033" s="1113"/>
      <c r="H1033" s="1113"/>
      <c r="I1033" s="1113"/>
      <c r="J1033" s="1113"/>
      <c r="K1033" s="1113"/>
      <c r="L1033" s="150">
        <f t="shared" si="72"/>
        <v>0</v>
      </c>
      <c r="M1033" s="151">
        <f t="shared" si="73"/>
        <v>0</v>
      </c>
      <c r="N1033" s="152">
        <f>+IF(OR($Q1033=Parametres!$G$2,$Q1033=Parametres!$G$3),I1033,C1033)</f>
        <v>0</v>
      </c>
      <c r="O1033" s="152">
        <f>+IF(OR($Q1033=Parametres!$G$2,$Q1033=Parametres!$G$3),J1033,D1033)</f>
        <v>0</v>
      </c>
      <c r="P1033" s="152">
        <f>+IF(OR($Q1033=Parametres!$G$2,$Q1033=Parametres!$G$3),K1033,E1033)</f>
        <v>0</v>
      </c>
      <c r="Q1033" s="151">
        <f t="shared" si="74"/>
        <v>0</v>
      </c>
      <c r="R1033" s="150">
        <f t="shared" si="74"/>
        <v>0</v>
      </c>
      <c r="S1033" s="151">
        <f t="shared" si="74"/>
        <v>0</v>
      </c>
      <c r="T1033" s="153" t="e">
        <f>+VLOOKUP($L1033,Data_Validation!$A:$D,1,0)</f>
        <v>#N/A</v>
      </c>
      <c r="U1033" s="153" t="e">
        <f>+VLOOKUP($L1033,Data_Validation!$A:$D,3,0)</f>
        <v>#N/A</v>
      </c>
      <c r="V1033" s="153" t="e">
        <f>+VLOOKUP($L1033,Data_Validation!$A:$D,4,0)</f>
        <v>#N/A</v>
      </c>
      <c r="W1033" s="153" t="e">
        <f>+VLOOKUP($L1033,Data_Validation!$A:$E,5,0)</f>
        <v>#N/A</v>
      </c>
    </row>
    <row r="1034" spans="1:23" ht="15.75" customHeight="1">
      <c r="A1034" s="1113"/>
      <c r="B1034" s="1119"/>
      <c r="C1034" s="1120"/>
      <c r="D1034" s="1113"/>
      <c r="E1034" s="1113"/>
      <c r="F1034" s="1113"/>
      <c r="G1034" s="1113"/>
      <c r="H1034" s="1113"/>
      <c r="I1034" s="1113"/>
      <c r="J1034" s="1113"/>
      <c r="K1034" s="1113"/>
      <c r="L1034" s="150">
        <f t="shared" si="72"/>
        <v>0</v>
      </c>
      <c r="M1034" s="151">
        <f t="shared" si="73"/>
        <v>0</v>
      </c>
      <c r="N1034" s="152">
        <f>+IF(OR($Q1034=Parametres!$G$2,$Q1034=Parametres!$G$3),I1034,C1034)</f>
        <v>0</v>
      </c>
      <c r="O1034" s="152">
        <f>+IF(OR($Q1034=Parametres!$G$2,$Q1034=Parametres!$G$3),J1034,D1034)</f>
        <v>0</v>
      </c>
      <c r="P1034" s="152">
        <f>+IF(OR($Q1034=Parametres!$G$2,$Q1034=Parametres!$G$3),K1034,E1034)</f>
        <v>0</v>
      </c>
      <c r="Q1034" s="151">
        <f t="shared" si="74"/>
        <v>0</v>
      </c>
      <c r="R1034" s="150">
        <f t="shared" si="74"/>
        <v>0</v>
      </c>
      <c r="S1034" s="151">
        <f t="shared" si="74"/>
        <v>0</v>
      </c>
      <c r="T1034" s="153" t="e">
        <f>+VLOOKUP($L1034,Data_Validation!$A:$D,1,0)</f>
        <v>#N/A</v>
      </c>
      <c r="U1034" s="153" t="e">
        <f>+VLOOKUP($L1034,Data_Validation!$A:$D,3,0)</f>
        <v>#N/A</v>
      </c>
      <c r="V1034" s="153" t="e">
        <f>+VLOOKUP($L1034,Data_Validation!$A:$D,4,0)</f>
        <v>#N/A</v>
      </c>
      <c r="W1034" s="153" t="e">
        <f>+VLOOKUP($L1034,Data_Validation!$A:$E,5,0)</f>
        <v>#N/A</v>
      </c>
    </row>
    <row r="1035" spans="1:23" ht="15.75" customHeight="1">
      <c r="A1035" s="1113"/>
      <c r="B1035" s="1119"/>
      <c r="C1035" s="1120"/>
      <c r="D1035" s="1113"/>
      <c r="E1035" s="1113"/>
      <c r="F1035" s="1113"/>
      <c r="G1035" s="1113"/>
      <c r="H1035" s="1113"/>
      <c r="I1035" s="1113"/>
      <c r="J1035" s="1113"/>
      <c r="K1035" s="1113"/>
      <c r="L1035" s="150">
        <f t="shared" si="72"/>
        <v>0</v>
      </c>
      <c r="M1035" s="151">
        <f t="shared" si="73"/>
        <v>0</v>
      </c>
      <c r="N1035" s="152">
        <f>+IF(OR($Q1035=Parametres!$G$2,$Q1035=Parametres!$G$3),I1035,C1035)</f>
        <v>0</v>
      </c>
      <c r="O1035" s="152">
        <f>+IF(OR($Q1035=Parametres!$G$2,$Q1035=Parametres!$G$3),J1035,D1035)</f>
        <v>0</v>
      </c>
      <c r="P1035" s="152">
        <f>+IF(OR($Q1035=Parametres!$G$2,$Q1035=Parametres!$G$3),K1035,E1035)</f>
        <v>0</v>
      </c>
      <c r="Q1035" s="151">
        <f t="shared" si="74"/>
        <v>0</v>
      </c>
      <c r="R1035" s="150">
        <f t="shared" si="74"/>
        <v>0</v>
      </c>
      <c r="S1035" s="151">
        <f t="shared" si="74"/>
        <v>0</v>
      </c>
      <c r="T1035" s="153" t="e">
        <f>+VLOOKUP($L1035,Data_Validation!$A:$D,1,0)</f>
        <v>#N/A</v>
      </c>
      <c r="U1035" s="153" t="e">
        <f>+VLOOKUP($L1035,Data_Validation!$A:$D,3,0)</f>
        <v>#N/A</v>
      </c>
      <c r="V1035" s="153" t="e">
        <f>+VLOOKUP($L1035,Data_Validation!$A:$D,4,0)</f>
        <v>#N/A</v>
      </c>
      <c r="W1035" s="153" t="e">
        <f>+VLOOKUP($L1035,Data_Validation!$A:$E,5,0)</f>
        <v>#N/A</v>
      </c>
    </row>
    <row r="1036" spans="1:23" ht="15.75" customHeight="1">
      <c r="A1036" s="1113"/>
      <c r="B1036" s="1119"/>
      <c r="C1036" s="1120"/>
      <c r="D1036" s="1113"/>
      <c r="E1036" s="1113"/>
      <c r="F1036" s="1113"/>
      <c r="G1036" s="1113"/>
      <c r="H1036" s="1113"/>
      <c r="I1036" s="1113"/>
      <c r="J1036" s="1113"/>
      <c r="K1036" s="1113"/>
      <c r="L1036" s="150">
        <f t="shared" si="72"/>
        <v>0</v>
      </c>
      <c r="M1036" s="151">
        <f t="shared" si="73"/>
        <v>0</v>
      </c>
      <c r="N1036" s="152">
        <f>+IF(OR($Q1036=Parametres!$G$2,$Q1036=Parametres!$G$3),I1036,C1036)</f>
        <v>0</v>
      </c>
      <c r="O1036" s="152">
        <f>+IF(OR($Q1036=Parametres!$G$2,$Q1036=Parametres!$G$3),J1036,D1036)</f>
        <v>0</v>
      </c>
      <c r="P1036" s="152">
        <f>+IF(OR($Q1036=Parametres!$G$2,$Q1036=Parametres!$G$3),K1036,E1036)</f>
        <v>0</v>
      </c>
      <c r="Q1036" s="151">
        <f t="shared" si="74"/>
        <v>0</v>
      </c>
      <c r="R1036" s="150">
        <f t="shared" si="74"/>
        <v>0</v>
      </c>
      <c r="S1036" s="151">
        <f t="shared" si="74"/>
        <v>0</v>
      </c>
      <c r="T1036" s="153" t="e">
        <f>+VLOOKUP($L1036,Data_Validation!$A:$D,1,0)</f>
        <v>#N/A</v>
      </c>
      <c r="U1036" s="153" t="e">
        <f>+VLOOKUP($L1036,Data_Validation!$A:$D,3,0)</f>
        <v>#N/A</v>
      </c>
      <c r="V1036" s="153" t="e">
        <f>+VLOOKUP($L1036,Data_Validation!$A:$D,4,0)</f>
        <v>#N/A</v>
      </c>
      <c r="W1036" s="153" t="e">
        <f>+VLOOKUP($L1036,Data_Validation!$A:$E,5,0)</f>
        <v>#N/A</v>
      </c>
    </row>
    <row r="1037" spans="1:23" ht="15.75" customHeight="1">
      <c r="A1037" s="1113"/>
      <c r="B1037" s="1119"/>
      <c r="C1037" s="1120"/>
      <c r="D1037" s="1113"/>
      <c r="E1037" s="1113"/>
      <c r="F1037" s="1113"/>
      <c r="G1037" s="1113"/>
      <c r="H1037" s="1113"/>
      <c r="I1037" s="1113"/>
      <c r="J1037" s="1113"/>
      <c r="K1037" s="1113"/>
      <c r="L1037" s="150">
        <f t="shared" si="72"/>
        <v>0</v>
      </c>
      <c r="M1037" s="151">
        <f t="shared" si="73"/>
        <v>0</v>
      </c>
      <c r="N1037" s="152">
        <f>+IF(OR($Q1037=Parametres!$G$2,$Q1037=Parametres!$G$3),I1037,C1037)</f>
        <v>0</v>
      </c>
      <c r="O1037" s="152">
        <f>+IF(OR($Q1037=Parametres!$G$2,$Q1037=Parametres!$G$3),J1037,D1037)</f>
        <v>0</v>
      </c>
      <c r="P1037" s="152">
        <f>+IF(OR($Q1037=Parametres!$G$2,$Q1037=Parametres!$G$3),K1037,E1037)</f>
        <v>0</v>
      </c>
      <c r="Q1037" s="151">
        <f t="shared" si="74"/>
        <v>0</v>
      </c>
      <c r="R1037" s="150">
        <f t="shared" si="74"/>
        <v>0</v>
      </c>
      <c r="S1037" s="151">
        <f t="shared" si="74"/>
        <v>0</v>
      </c>
      <c r="T1037" s="153" t="e">
        <f>+VLOOKUP($L1037,Data_Validation!$A:$D,1,0)</f>
        <v>#N/A</v>
      </c>
      <c r="U1037" s="153" t="e">
        <f>+VLOOKUP($L1037,Data_Validation!$A:$D,3,0)</f>
        <v>#N/A</v>
      </c>
      <c r="V1037" s="153" t="e">
        <f>+VLOOKUP($L1037,Data_Validation!$A:$D,4,0)</f>
        <v>#N/A</v>
      </c>
      <c r="W1037" s="153" t="e">
        <f>+VLOOKUP($L1037,Data_Validation!$A:$E,5,0)</f>
        <v>#N/A</v>
      </c>
    </row>
    <row r="1038" spans="1:23" ht="15.75" customHeight="1">
      <c r="A1038" s="1113"/>
      <c r="B1038" s="1119"/>
      <c r="C1038" s="1120"/>
      <c r="D1038" s="1113"/>
      <c r="E1038" s="1113"/>
      <c r="F1038" s="1113"/>
      <c r="G1038" s="1113"/>
      <c r="H1038" s="1113"/>
      <c r="I1038" s="1113"/>
      <c r="J1038" s="1113"/>
      <c r="K1038" s="1113"/>
      <c r="L1038" s="150">
        <f t="shared" si="72"/>
        <v>0</v>
      </c>
      <c r="M1038" s="151">
        <f t="shared" si="73"/>
        <v>0</v>
      </c>
      <c r="N1038" s="152">
        <f>+IF(OR($Q1038=Parametres!$G$2,$Q1038=Parametres!$G$3),I1038,C1038)</f>
        <v>0</v>
      </c>
      <c r="O1038" s="152">
        <f>+IF(OR($Q1038=Parametres!$G$2,$Q1038=Parametres!$G$3),J1038,D1038)</f>
        <v>0</v>
      </c>
      <c r="P1038" s="152">
        <f>+IF(OR($Q1038=Parametres!$G$2,$Q1038=Parametres!$G$3),K1038,E1038)</f>
        <v>0</v>
      </c>
      <c r="Q1038" s="151">
        <f t="shared" si="74"/>
        <v>0</v>
      </c>
      <c r="R1038" s="150">
        <f t="shared" si="74"/>
        <v>0</v>
      </c>
      <c r="S1038" s="151">
        <f t="shared" si="74"/>
        <v>0</v>
      </c>
      <c r="T1038" s="153" t="e">
        <f>+VLOOKUP($L1038,Data_Validation!$A:$D,1,0)</f>
        <v>#N/A</v>
      </c>
      <c r="U1038" s="153" t="e">
        <f>+VLOOKUP($L1038,Data_Validation!$A:$D,3,0)</f>
        <v>#N/A</v>
      </c>
      <c r="V1038" s="153" t="e">
        <f>+VLOOKUP($L1038,Data_Validation!$A:$D,4,0)</f>
        <v>#N/A</v>
      </c>
      <c r="W1038" s="153" t="e">
        <f>+VLOOKUP($L1038,Data_Validation!$A:$E,5,0)</f>
        <v>#N/A</v>
      </c>
    </row>
    <row r="1039" spans="1:23" ht="15.75" customHeight="1">
      <c r="A1039" s="1113"/>
      <c r="B1039" s="1119"/>
      <c r="C1039" s="1120"/>
      <c r="D1039" s="1113"/>
      <c r="E1039" s="1113"/>
      <c r="F1039" s="1113"/>
      <c r="G1039" s="1113"/>
      <c r="H1039" s="1113"/>
      <c r="I1039" s="1113"/>
      <c r="J1039" s="1113"/>
      <c r="K1039" s="1113"/>
      <c r="L1039" s="150">
        <f t="shared" si="72"/>
        <v>0</v>
      </c>
      <c r="M1039" s="151">
        <f t="shared" si="73"/>
        <v>0</v>
      </c>
      <c r="N1039" s="152">
        <f>+IF(OR($Q1039=Parametres!$G$2,$Q1039=Parametres!$G$3),I1039,C1039)</f>
        <v>0</v>
      </c>
      <c r="O1039" s="152">
        <f>+IF(OR($Q1039=Parametres!$G$2,$Q1039=Parametres!$G$3),J1039,D1039)</f>
        <v>0</v>
      </c>
      <c r="P1039" s="152">
        <f>+IF(OR($Q1039=Parametres!$G$2,$Q1039=Parametres!$G$3),K1039,E1039)</f>
        <v>0</v>
      </c>
      <c r="Q1039" s="151">
        <f t="shared" si="74"/>
        <v>0</v>
      </c>
      <c r="R1039" s="150">
        <f t="shared" si="74"/>
        <v>0</v>
      </c>
      <c r="S1039" s="151">
        <f t="shared" si="74"/>
        <v>0</v>
      </c>
      <c r="T1039" s="153" t="e">
        <f>+VLOOKUP($L1039,Data_Validation!$A:$D,1,0)</f>
        <v>#N/A</v>
      </c>
      <c r="U1039" s="153" t="e">
        <f>+VLOOKUP($L1039,Data_Validation!$A:$D,3,0)</f>
        <v>#N/A</v>
      </c>
      <c r="V1039" s="153" t="e">
        <f>+VLOOKUP($L1039,Data_Validation!$A:$D,4,0)</f>
        <v>#N/A</v>
      </c>
      <c r="W1039" s="153" t="e">
        <f>+VLOOKUP($L1039,Data_Validation!$A:$E,5,0)</f>
        <v>#N/A</v>
      </c>
    </row>
    <row r="1040" spans="1:23" ht="15.75" customHeight="1">
      <c r="A1040" s="1113"/>
      <c r="B1040" s="1119"/>
      <c r="C1040" s="1120"/>
      <c r="D1040" s="1113"/>
      <c r="E1040" s="1113"/>
      <c r="F1040" s="1113"/>
      <c r="G1040" s="1113"/>
      <c r="H1040" s="1113"/>
      <c r="I1040" s="1113"/>
      <c r="J1040" s="1113"/>
      <c r="K1040" s="1113"/>
      <c r="L1040" s="150">
        <f t="shared" si="72"/>
        <v>0</v>
      </c>
      <c r="M1040" s="151">
        <f t="shared" si="73"/>
        <v>0</v>
      </c>
      <c r="N1040" s="152">
        <f>+IF(OR($Q1040=Parametres!$G$2,$Q1040=Parametres!$G$3),I1040,C1040)</f>
        <v>0</v>
      </c>
      <c r="O1040" s="152">
        <f>+IF(OR($Q1040=Parametres!$G$2,$Q1040=Parametres!$G$3),J1040,D1040)</f>
        <v>0</v>
      </c>
      <c r="P1040" s="152">
        <f>+IF(OR($Q1040=Parametres!$G$2,$Q1040=Parametres!$G$3),K1040,E1040)</f>
        <v>0</v>
      </c>
      <c r="Q1040" s="151">
        <f t="shared" si="74"/>
        <v>0</v>
      </c>
      <c r="R1040" s="150">
        <f t="shared" si="74"/>
        <v>0</v>
      </c>
      <c r="S1040" s="151">
        <f t="shared" si="74"/>
        <v>0</v>
      </c>
      <c r="T1040" s="153" t="e">
        <f>+VLOOKUP($L1040,Data_Validation!$A:$D,1,0)</f>
        <v>#N/A</v>
      </c>
      <c r="U1040" s="153" t="e">
        <f>+VLOOKUP($L1040,Data_Validation!$A:$D,3,0)</f>
        <v>#N/A</v>
      </c>
      <c r="V1040" s="153" t="e">
        <f>+VLOOKUP($L1040,Data_Validation!$A:$D,4,0)</f>
        <v>#N/A</v>
      </c>
      <c r="W1040" s="153" t="e">
        <f>+VLOOKUP($L1040,Data_Validation!$A:$E,5,0)</f>
        <v>#N/A</v>
      </c>
    </row>
    <row r="1041" spans="1:23" ht="15.75" customHeight="1">
      <c r="A1041" s="1113"/>
      <c r="B1041" s="1119"/>
      <c r="C1041" s="1120"/>
      <c r="D1041" s="1113"/>
      <c r="E1041" s="1113"/>
      <c r="F1041" s="1113"/>
      <c r="G1041" s="1113"/>
      <c r="H1041" s="1113"/>
      <c r="I1041" s="1113"/>
      <c r="J1041" s="1113"/>
      <c r="K1041" s="1113"/>
      <c r="L1041" s="150">
        <f t="shared" si="72"/>
        <v>0</v>
      </c>
      <c r="M1041" s="151">
        <f t="shared" si="73"/>
        <v>0</v>
      </c>
      <c r="N1041" s="152">
        <f>+IF(OR($Q1041=Parametres!$G$2,$Q1041=Parametres!$G$3),I1041,C1041)</f>
        <v>0</v>
      </c>
      <c r="O1041" s="152">
        <f>+IF(OR($Q1041=Parametres!$G$2,$Q1041=Parametres!$G$3),J1041,D1041)</f>
        <v>0</v>
      </c>
      <c r="P1041" s="152">
        <f>+IF(OR($Q1041=Parametres!$G$2,$Q1041=Parametres!$G$3),K1041,E1041)</f>
        <v>0</v>
      </c>
      <c r="Q1041" s="151">
        <f t="shared" si="74"/>
        <v>0</v>
      </c>
      <c r="R1041" s="150">
        <f t="shared" si="74"/>
        <v>0</v>
      </c>
      <c r="S1041" s="151">
        <f t="shared" si="74"/>
        <v>0</v>
      </c>
      <c r="T1041" s="153" t="e">
        <f>+VLOOKUP($L1041,Data_Validation!$A:$D,1,0)</f>
        <v>#N/A</v>
      </c>
      <c r="U1041" s="153" t="e">
        <f>+VLOOKUP($L1041,Data_Validation!$A:$D,3,0)</f>
        <v>#N/A</v>
      </c>
      <c r="V1041" s="153" t="e">
        <f>+VLOOKUP($L1041,Data_Validation!$A:$D,4,0)</f>
        <v>#N/A</v>
      </c>
      <c r="W1041" s="153" t="e">
        <f>+VLOOKUP($L1041,Data_Validation!$A:$E,5,0)</f>
        <v>#N/A</v>
      </c>
    </row>
    <row r="1042" spans="1:23" ht="15.75" customHeight="1">
      <c r="A1042" s="1113"/>
      <c r="B1042" s="1119"/>
      <c r="C1042" s="1120"/>
      <c r="D1042" s="1113"/>
      <c r="E1042" s="1113"/>
      <c r="F1042" s="1113"/>
      <c r="G1042" s="1113"/>
      <c r="H1042" s="1113"/>
      <c r="I1042" s="1113"/>
      <c r="J1042" s="1113"/>
      <c r="K1042" s="1113"/>
      <c r="L1042" s="150">
        <f t="shared" si="72"/>
        <v>0</v>
      </c>
      <c r="M1042" s="151">
        <f t="shared" si="73"/>
        <v>0</v>
      </c>
      <c r="N1042" s="152">
        <f>+IF(OR($Q1042=Parametres!$G$2,$Q1042=Parametres!$G$3),I1042,C1042)</f>
        <v>0</v>
      </c>
      <c r="O1042" s="152">
        <f>+IF(OR($Q1042=Parametres!$G$2,$Q1042=Parametres!$G$3),J1042,D1042)</f>
        <v>0</v>
      </c>
      <c r="P1042" s="152">
        <f>+IF(OR($Q1042=Parametres!$G$2,$Q1042=Parametres!$G$3),K1042,E1042)</f>
        <v>0</v>
      </c>
      <c r="Q1042" s="151">
        <f t="shared" ref="Q1042:S1055" si="75">+F1042</f>
        <v>0</v>
      </c>
      <c r="R1042" s="150">
        <f t="shared" si="75"/>
        <v>0</v>
      </c>
      <c r="S1042" s="151">
        <f t="shared" si="75"/>
        <v>0</v>
      </c>
      <c r="T1042" s="153" t="e">
        <f>+VLOOKUP($L1042,Data_Validation!$A:$D,1,0)</f>
        <v>#N/A</v>
      </c>
      <c r="U1042" s="153" t="e">
        <f>+VLOOKUP($L1042,Data_Validation!$A:$D,3,0)</f>
        <v>#N/A</v>
      </c>
      <c r="V1042" s="153" t="e">
        <f>+VLOOKUP($L1042,Data_Validation!$A:$D,4,0)</f>
        <v>#N/A</v>
      </c>
      <c r="W1042" s="153" t="e">
        <f>+VLOOKUP($L1042,Data_Validation!$A:$E,5,0)</f>
        <v>#N/A</v>
      </c>
    </row>
    <row r="1043" spans="1:23" ht="15.75" customHeight="1">
      <c r="A1043" s="1113"/>
      <c r="B1043" s="1119"/>
      <c r="C1043" s="1120"/>
      <c r="D1043" s="1113"/>
      <c r="E1043" s="1113"/>
      <c r="F1043" s="1113"/>
      <c r="G1043" s="1113"/>
      <c r="H1043" s="1113"/>
      <c r="I1043" s="1113"/>
      <c r="J1043" s="1113"/>
      <c r="K1043" s="1113"/>
      <c r="L1043" s="150">
        <f t="shared" si="72"/>
        <v>0</v>
      </c>
      <c r="M1043" s="151">
        <f t="shared" si="73"/>
        <v>0</v>
      </c>
      <c r="N1043" s="152">
        <f>+IF(OR($Q1043=Parametres!$G$2,$Q1043=Parametres!$G$3),I1043,C1043)</f>
        <v>0</v>
      </c>
      <c r="O1043" s="152">
        <f>+IF(OR($Q1043=Parametres!$G$2,$Q1043=Parametres!$G$3),J1043,D1043)</f>
        <v>0</v>
      </c>
      <c r="P1043" s="152">
        <f>+IF(OR($Q1043=Parametres!$G$2,$Q1043=Parametres!$G$3),K1043,E1043)</f>
        <v>0</v>
      </c>
      <c r="Q1043" s="151">
        <f t="shared" si="75"/>
        <v>0</v>
      </c>
      <c r="R1043" s="150">
        <f t="shared" si="75"/>
        <v>0</v>
      </c>
      <c r="S1043" s="151">
        <f t="shared" si="75"/>
        <v>0</v>
      </c>
      <c r="T1043" s="153" t="e">
        <f>+VLOOKUP($L1043,Data_Validation!$A:$D,1,0)</f>
        <v>#N/A</v>
      </c>
      <c r="U1043" s="153" t="e">
        <f>+VLOOKUP($L1043,Data_Validation!$A:$D,3,0)</f>
        <v>#N/A</v>
      </c>
      <c r="V1043" s="153" t="e">
        <f>+VLOOKUP($L1043,Data_Validation!$A:$D,4,0)</f>
        <v>#N/A</v>
      </c>
      <c r="W1043" s="153" t="e">
        <f>+VLOOKUP($L1043,Data_Validation!$A:$E,5,0)</f>
        <v>#N/A</v>
      </c>
    </row>
    <row r="1044" spans="1:23" ht="15.75" customHeight="1">
      <c r="A1044" s="1113"/>
      <c r="B1044" s="1119"/>
      <c r="C1044" s="1120"/>
      <c r="D1044" s="1113"/>
      <c r="E1044" s="1113"/>
      <c r="F1044" s="1113"/>
      <c r="G1044" s="1113"/>
      <c r="H1044" s="1113"/>
      <c r="I1044" s="1113"/>
      <c r="J1044" s="1113"/>
      <c r="K1044" s="1113"/>
      <c r="L1044" s="150">
        <f t="shared" si="72"/>
        <v>0</v>
      </c>
      <c r="M1044" s="151">
        <f t="shared" si="73"/>
        <v>0</v>
      </c>
      <c r="N1044" s="152">
        <f>+IF(OR($Q1044=Parametres!$G$2,$Q1044=Parametres!$G$3),I1044,C1044)</f>
        <v>0</v>
      </c>
      <c r="O1044" s="152">
        <f>+IF(OR($Q1044=Parametres!$G$2,$Q1044=Parametres!$G$3),J1044,D1044)</f>
        <v>0</v>
      </c>
      <c r="P1044" s="152">
        <f>+IF(OR($Q1044=Parametres!$G$2,$Q1044=Parametres!$G$3),K1044,E1044)</f>
        <v>0</v>
      </c>
      <c r="Q1044" s="151">
        <f t="shared" si="75"/>
        <v>0</v>
      </c>
      <c r="R1044" s="150">
        <f t="shared" si="75"/>
        <v>0</v>
      </c>
      <c r="S1044" s="151">
        <f t="shared" si="75"/>
        <v>0</v>
      </c>
      <c r="T1044" s="153" t="e">
        <f>+VLOOKUP($L1044,Data_Validation!$A:$D,1,0)</f>
        <v>#N/A</v>
      </c>
      <c r="U1044" s="153" t="e">
        <f>+VLOOKUP($L1044,Data_Validation!$A:$D,3,0)</f>
        <v>#N/A</v>
      </c>
      <c r="V1044" s="153" t="e">
        <f>+VLOOKUP($L1044,Data_Validation!$A:$D,4,0)</f>
        <v>#N/A</v>
      </c>
      <c r="W1044" s="153" t="e">
        <f>+VLOOKUP($L1044,Data_Validation!$A:$E,5,0)</f>
        <v>#N/A</v>
      </c>
    </row>
    <row r="1045" spans="1:23" ht="15.75" customHeight="1">
      <c r="A1045" s="1113"/>
      <c r="B1045" s="1119"/>
      <c r="C1045" s="1120"/>
      <c r="D1045" s="1113"/>
      <c r="E1045" s="1113"/>
      <c r="F1045" s="1113"/>
      <c r="G1045" s="1113"/>
      <c r="H1045" s="1113"/>
      <c r="I1045" s="1113"/>
      <c r="J1045" s="1113"/>
      <c r="K1045" s="1113"/>
      <c r="L1045" s="150">
        <f t="shared" si="72"/>
        <v>0</v>
      </c>
      <c r="M1045" s="151">
        <f t="shared" si="73"/>
        <v>0</v>
      </c>
      <c r="N1045" s="152">
        <f>+IF(OR($Q1045=Parametres!$G$2,$Q1045=Parametres!$G$3),I1045,C1045)</f>
        <v>0</v>
      </c>
      <c r="O1045" s="152">
        <f>+IF(OR($Q1045=Parametres!$G$2,$Q1045=Parametres!$G$3),J1045,D1045)</f>
        <v>0</v>
      </c>
      <c r="P1045" s="152">
        <f>+IF(OR($Q1045=Parametres!$G$2,$Q1045=Parametres!$G$3),K1045,E1045)</f>
        <v>0</v>
      </c>
      <c r="Q1045" s="151">
        <f t="shared" si="75"/>
        <v>0</v>
      </c>
      <c r="R1045" s="150">
        <f t="shared" si="75"/>
        <v>0</v>
      </c>
      <c r="S1045" s="151">
        <f t="shared" si="75"/>
        <v>0</v>
      </c>
      <c r="T1045" s="153" t="e">
        <f>+VLOOKUP($L1045,Data_Validation!$A:$D,1,0)</f>
        <v>#N/A</v>
      </c>
      <c r="U1045" s="153" t="e">
        <f>+VLOOKUP($L1045,Data_Validation!$A:$D,3,0)</f>
        <v>#N/A</v>
      </c>
      <c r="V1045" s="153" t="e">
        <f>+VLOOKUP($L1045,Data_Validation!$A:$D,4,0)</f>
        <v>#N/A</v>
      </c>
      <c r="W1045" s="153" t="e">
        <f>+VLOOKUP($L1045,Data_Validation!$A:$E,5,0)</f>
        <v>#N/A</v>
      </c>
    </row>
    <row r="1046" spans="1:23" ht="15.75" customHeight="1">
      <c r="A1046" s="1113"/>
      <c r="B1046" s="1119"/>
      <c r="C1046" s="1120"/>
      <c r="D1046" s="1113"/>
      <c r="E1046" s="1113"/>
      <c r="F1046" s="1113"/>
      <c r="G1046" s="1113"/>
      <c r="H1046" s="1113"/>
      <c r="I1046" s="1113"/>
      <c r="J1046" s="1113"/>
      <c r="K1046" s="1113"/>
      <c r="L1046" s="150">
        <f t="shared" si="72"/>
        <v>0</v>
      </c>
      <c r="M1046" s="151">
        <f t="shared" si="73"/>
        <v>0</v>
      </c>
      <c r="N1046" s="152">
        <f>+IF(OR($Q1046=Parametres!$G$2,$Q1046=Parametres!$G$3),I1046,C1046)</f>
        <v>0</v>
      </c>
      <c r="O1046" s="152">
        <f>+IF(OR($Q1046=Parametres!$G$2,$Q1046=Parametres!$G$3),J1046,D1046)</f>
        <v>0</v>
      </c>
      <c r="P1046" s="152">
        <f>+IF(OR($Q1046=Parametres!$G$2,$Q1046=Parametres!$G$3),K1046,E1046)</f>
        <v>0</v>
      </c>
      <c r="Q1046" s="151">
        <f t="shared" si="75"/>
        <v>0</v>
      </c>
      <c r="R1046" s="150">
        <f t="shared" si="75"/>
        <v>0</v>
      </c>
      <c r="S1046" s="151">
        <f t="shared" si="75"/>
        <v>0</v>
      </c>
      <c r="T1046" s="153" t="e">
        <f>+VLOOKUP($L1046,Data_Validation!$A:$D,1,0)</f>
        <v>#N/A</v>
      </c>
      <c r="U1046" s="153" t="e">
        <f>+VLOOKUP($L1046,Data_Validation!$A:$D,3,0)</f>
        <v>#N/A</v>
      </c>
      <c r="V1046" s="153" t="e">
        <f>+VLOOKUP($L1046,Data_Validation!$A:$D,4,0)</f>
        <v>#N/A</v>
      </c>
      <c r="W1046" s="153" t="e">
        <f>+VLOOKUP($L1046,Data_Validation!$A:$E,5,0)</f>
        <v>#N/A</v>
      </c>
    </row>
    <row r="1047" spans="1:23" ht="15.75" customHeight="1">
      <c r="A1047" s="1113"/>
      <c r="B1047" s="1119"/>
      <c r="C1047" s="1120"/>
      <c r="D1047" s="1113"/>
      <c r="E1047" s="1113"/>
      <c r="F1047" s="1113"/>
      <c r="G1047" s="1113"/>
      <c r="H1047" s="1113"/>
      <c r="I1047" s="1113"/>
      <c r="J1047" s="1113"/>
      <c r="K1047" s="1113"/>
      <c r="L1047" s="150">
        <f t="shared" si="72"/>
        <v>0</v>
      </c>
      <c r="M1047" s="151">
        <f t="shared" si="73"/>
        <v>0</v>
      </c>
      <c r="N1047" s="152">
        <f>+IF(OR($Q1047=Parametres!$G$2,$Q1047=Parametres!$G$3),I1047,C1047)</f>
        <v>0</v>
      </c>
      <c r="O1047" s="152">
        <f>+IF(OR($Q1047=Parametres!$G$2,$Q1047=Parametres!$G$3),J1047,D1047)</f>
        <v>0</v>
      </c>
      <c r="P1047" s="152">
        <f>+IF(OR($Q1047=Parametres!$G$2,$Q1047=Parametres!$G$3),K1047,E1047)</f>
        <v>0</v>
      </c>
      <c r="Q1047" s="151">
        <f t="shared" si="75"/>
        <v>0</v>
      </c>
      <c r="R1047" s="150">
        <f t="shared" si="75"/>
        <v>0</v>
      </c>
      <c r="S1047" s="151">
        <f t="shared" si="75"/>
        <v>0</v>
      </c>
      <c r="T1047" s="153" t="e">
        <f>+VLOOKUP($L1047,Data_Validation!$A:$D,1,0)</f>
        <v>#N/A</v>
      </c>
      <c r="U1047" s="153" t="e">
        <f>+VLOOKUP($L1047,Data_Validation!$A:$D,3,0)</f>
        <v>#N/A</v>
      </c>
      <c r="V1047" s="153" t="e">
        <f>+VLOOKUP($L1047,Data_Validation!$A:$D,4,0)</f>
        <v>#N/A</v>
      </c>
      <c r="W1047" s="153" t="e">
        <f>+VLOOKUP($L1047,Data_Validation!$A:$E,5,0)</f>
        <v>#N/A</v>
      </c>
    </row>
    <row r="1048" spans="1:23" ht="15.75" customHeight="1">
      <c r="A1048" s="1113"/>
      <c r="B1048" s="1119"/>
      <c r="C1048" s="1120"/>
      <c r="D1048" s="1113"/>
      <c r="E1048" s="1113"/>
      <c r="F1048" s="1113"/>
      <c r="G1048" s="1113"/>
      <c r="H1048" s="1113"/>
      <c r="I1048" s="1113"/>
      <c r="J1048" s="1113"/>
      <c r="K1048" s="1113"/>
      <c r="L1048" s="150">
        <f t="shared" si="72"/>
        <v>0</v>
      </c>
      <c r="M1048" s="151">
        <f t="shared" si="73"/>
        <v>0</v>
      </c>
      <c r="N1048" s="152">
        <f>+IF(OR($Q1048=Parametres!$G$2,$Q1048=Parametres!$G$3),I1048,C1048)</f>
        <v>0</v>
      </c>
      <c r="O1048" s="152">
        <f>+IF(OR($Q1048=Parametres!$G$2,$Q1048=Parametres!$G$3),J1048,D1048)</f>
        <v>0</v>
      </c>
      <c r="P1048" s="152">
        <f>+IF(OR($Q1048=Parametres!$G$2,$Q1048=Parametres!$G$3),K1048,E1048)</f>
        <v>0</v>
      </c>
      <c r="Q1048" s="151">
        <f t="shared" si="75"/>
        <v>0</v>
      </c>
      <c r="R1048" s="150">
        <f t="shared" si="75"/>
        <v>0</v>
      </c>
      <c r="S1048" s="151">
        <f t="shared" si="75"/>
        <v>0</v>
      </c>
      <c r="T1048" s="153" t="e">
        <f>+VLOOKUP($L1048,Data_Validation!$A:$D,1,0)</f>
        <v>#N/A</v>
      </c>
      <c r="U1048" s="153" t="e">
        <f>+VLOOKUP($L1048,Data_Validation!$A:$D,3,0)</f>
        <v>#N/A</v>
      </c>
      <c r="V1048" s="153" t="e">
        <f>+VLOOKUP($L1048,Data_Validation!$A:$D,4,0)</f>
        <v>#N/A</v>
      </c>
      <c r="W1048" s="153" t="e">
        <f>+VLOOKUP($L1048,Data_Validation!$A:$E,5,0)</f>
        <v>#N/A</v>
      </c>
    </row>
    <row r="1049" spans="1:23" ht="15.75" customHeight="1">
      <c r="A1049" s="1113"/>
      <c r="B1049" s="1119"/>
      <c r="C1049" s="1120"/>
      <c r="D1049" s="1113"/>
      <c r="E1049" s="1113"/>
      <c r="F1049" s="1113"/>
      <c r="G1049" s="1113"/>
      <c r="H1049" s="1113"/>
      <c r="I1049" s="1113"/>
      <c r="J1049" s="1113"/>
      <c r="K1049" s="1113"/>
      <c r="L1049" s="150">
        <f t="shared" si="72"/>
        <v>0</v>
      </c>
      <c r="M1049" s="151">
        <f t="shared" si="73"/>
        <v>0</v>
      </c>
      <c r="N1049" s="152">
        <f>+IF(OR($Q1049=Parametres!$G$2,$Q1049=Parametres!$G$3),I1049,C1049)</f>
        <v>0</v>
      </c>
      <c r="O1049" s="152">
        <f>+IF(OR($Q1049=Parametres!$G$2,$Q1049=Parametres!$G$3),J1049,D1049)</f>
        <v>0</v>
      </c>
      <c r="P1049" s="152">
        <f>+IF(OR($Q1049=Parametres!$G$2,$Q1049=Parametres!$G$3),K1049,E1049)</f>
        <v>0</v>
      </c>
      <c r="Q1049" s="151">
        <f t="shared" si="75"/>
        <v>0</v>
      </c>
      <c r="R1049" s="150">
        <f t="shared" si="75"/>
        <v>0</v>
      </c>
      <c r="S1049" s="151">
        <f t="shared" si="75"/>
        <v>0</v>
      </c>
      <c r="T1049" s="153" t="e">
        <f>+VLOOKUP($L1049,Data_Validation!$A:$D,1,0)</f>
        <v>#N/A</v>
      </c>
      <c r="U1049" s="153" t="e">
        <f>+VLOOKUP($L1049,Data_Validation!$A:$D,3,0)</f>
        <v>#N/A</v>
      </c>
      <c r="V1049" s="153" t="e">
        <f>+VLOOKUP($L1049,Data_Validation!$A:$D,4,0)</f>
        <v>#N/A</v>
      </c>
      <c r="W1049" s="153" t="e">
        <f>+VLOOKUP($L1049,Data_Validation!$A:$E,5,0)</f>
        <v>#N/A</v>
      </c>
    </row>
    <row r="1050" spans="1:23" ht="15.75" customHeight="1">
      <c r="A1050" s="1113"/>
      <c r="B1050" s="1119"/>
      <c r="C1050" s="1120"/>
      <c r="D1050" s="1113"/>
      <c r="E1050" s="1113"/>
      <c r="F1050" s="1113"/>
      <c r="G1050" s="1113"/>
      <c r="H1050" s="1113"/>
      <c r="I1050" s="1113"/>
      <c r="J1050" s="1113"/>
      <c r="K1050" s="1113"/>
      <c r="L1050" s="150">
        <f t="shared" si="72"/>
        <v>0</v>
      </c>
      <c r="M1050" s="151">
        <f t="shared" si="73"/>
        <v>0</v>
      </c>
      <c r="N1050" s="152">
        <f>+IF(OR($Q1050=Parametres!$G$2,$Q1050=Parametres!$G$3),I1050,C1050)</f>
        <v>0</v>
      </c>
      <c r="O1050" s="152">
        <f>+IF(OR($Q1050=Parametres!$G$2,$Q1050=Parametres!$G$3),J1050,D1050)</f>
        <v>0</v>
      </c>
      <c r="P1050" s="152">
        <f>+IF(OR($Q1050=Parametres!$G$2,$Q1050=Parametres!$G$3),K1050,E1050)</f>
        <v>0</v>
      </c>
      <c r="Q1050" s="151">
        <f t="shared" si="75"/>
        <v>0</v>
      </c>
      <c r="R1050" s="150">
        <f t="shared" si="75"/>
        <v>0</v>
      </c>
      <c r="S1050" s="151">
        <f t="shared" si="75"/>
        <v>0</v>
      </c>
      <c r="T1050" s="153" t="e">
        <f>+VLOOKUP($L1050,Data_Validation!$A:$D,1,0)</f>
        <v>#N/A</v>
      </c>
      <c r="U1050" s="153" t="e">
        <f>+VLOOKUP($L1050,Data_Validation!$A:$D,3,0)</f>
        <v>#N/A</v>
      </c>
      <c r="V1050" s="153" t="e">
        <f>+VLOOKUP($L1050,Data_Validation!$A:$D,4,0)</f>
        <v>#N/A</v>
      </c>
      <c r="W1050" s="153" t="e">
        <f>+VLOOKUP($L1050,Data_Validation!$A:$E,5,0)</f>
        <v>#N/A</v>
      </c>
    </row>
    <row r="1051" spans="1:23" ht="15.75" customHeight="1">
      <c r="A1051" s="1113"/>
      <c r="B1051" s="1119"/>
      <c r="C1051" s="1120"/>
      <c r="D1051" s="1113"/>
      <c r="E1051" s="1113"/>
      <c r="F1051" s="1113"/>
      <c r="G1051" s="1113"/>
      <c r="H1051" s="1113"/>
      <c r="I1051" s="1113"/>
      <c r="J1051" s="1113"/>
      <c r="K1051" s="1113"/>
      <c r="L1051" s="150">
        <f t="shared" si="72"/>
        <v>0</v>
      </c>
      <c r="M1051" s="151">
        <f t="shared" si="73"/>
        <v>0</v>
      </c>
      <c r="N1051" s="152">
        <f>+IF(OR($Q1051=Parametres!$G$2,$Q1051=Parametres!$G$3),I1051,C1051)</f>
        <v>0</v>
      </c>
      <c r="O1051" s="152">
        <f>+IF(OR($Q1051=Parametres!$G$2,$Q1051=Parametres!$G$3),J1051,D1051)</f>
        <v>0</v>
      </c>
      <c r="P1051" s="152">
        <f>+IF(OR($Q1051=Parametres!$G$2,$Q1051=Parametres!$G$3),K1051,E1051)</f>
        <v>0</v>
      </c>
      <c r="Q1051" s="151">
        <f t="shared" si="75"/>
        <v>0</v>
      </c>
      <c r="R1051" s="150">
        <f t="shared" si="75"/>
        <v>0</v>
      </c>
      <c r="S1051" s="151">
        <f t="shared" si="75"/>
        <v>0</v>
      </c>
      <c r="T1051" s="153" t="e">
        <f>+VLOOKUP($L1051,Data_Validation!$A:$D,1,0)</f>
        <v>#N/A</v>
      </c>
      <c r="U1051" s="153" t="e">
        <f>+VLOOKUP($L1051,Data_Validation!$A:$D,3,0)</f>
        <v>#N/A</v>
      </c>
      <c r="V1051" s="153" t="e">
        <f>+VLOOKUP($L1051,Data_Validation!$A:$D,4,0)</f>
        <v>#N/A</v>
      </c>
      <c r="W1051" s="153" t="e">
        <f>+VLOOKUP($L1051,Data_Validation!$A:$E,5,0)</f>
        <v>#N/A</v>
      </c>
    </row>
    <row r="1052" spans="1:23" ht="15.75" customHeight="1">
      <c r="A1052" s="1113"/>
      <c r="B1052" s="1119"/>
      <c r="C1052" s="1120"/>
      <c r="D1052" s="1113"/>
      <c r="E1052" s="1113"/>
      <c r="F1052" s="1113"/>
      <c r="G1052" s="1113"/>
      <c r="H1052" s="1113"/>
      <c r="I1052" s="1113"/>
      <c r="J1052" s="1113"/>
      <c r="K1052" s="1113"/>
      <c r="L1052" s="150">
        <f t="shared" si="72"/>
        <v>0</v>
      </c>
      <c r="M1052" s="151">
        <f t="shared" si="73"/>
        <v>0</v>
      </c>
      <c r="N1052" s="152">
        <f>+IF(OR($Q1052=Parametres!$G$2,$Q1052=Parametres!$G$3),I1052,C1052)</f>
        <v>0</v>
      </c>
      <c r="O1052" s="152">
        <f>+IF(OR($Q1052=Parametres!$G$2,$Q1052=Parametres!$G$3),J1052,D1052)</f>
        <v>0</v>
      </c>
      <c r="P1052" s="152">
        <f>+IF(OR($Q1052=Parametres!$G$2,$Q1052=Parametres!$G$3),K1052,E1052)</f>
        <v>0</v>
      </c>
      <c r="Q1052" s="151">
        <f t="shared" si="75"/>
        <v>0</v>
      </c>
      <c r="R1052" s="150">
        <f t="shared" si="75"/>
        <v>0</v>
      </c>
      <c r="S1052" s="151">
        <f t="shared" si="75"/>
        <v>0</v>
      </c>
      <c r="T1052" s="153" t="e">
        <f>+VLOOKUP($L1052,Data_Validation!$A:$D,1,0)</f>
        <v>#N/A</v>
      </c>
      <c r="U1052" s="153" t="e">
        <f>+VLOOKUP($L1052,Data_Validation!$A:$D,3,0)</f>
        <v>#N/A</v>
      </c>
      <c r="V1052" s="153" t="e">
        <f>+VLOOKUP($L1052,Data_Validation!$A:$D,4,0)</f>
        <v>#N/A</v>
      </c>
      <c r="W1052" s="153" t="e">
        <f>+VLOOKUP($L1052,Data_Validation!$A:$E,5,0)</f>
        <v>#N/A</v>
      </c>
    </row>
    <row r="1053" spans="1:23" ht="15.75" customHeight="1">
      <c r="A1053" s="1113"/>
      <c r="B1053" s="1119"/>
      <c r="C1053" s="1120"/>
      <c r="D1053" s="1113"/>
      <c r="E1053" s="1113"/>
      <c r="F1053" s="1113"/>
      <c r="G1053" s="1113"/>
      <c r="H1053" s="1113"/>
      <c r="I1053" s="1113"/>
      <c r="J1053" s="1113"/>
      <c r="K1053" s="1113"/>
      <c r="L1053" s="150">
        <f t="shared" si="72"/>
        <v>0</v>
      </c>
      <c r="M1053" s="151">
        <f t="shared" si="73"/>
        <v>0</v>
      </c>
      <c r="N1053" s="152">
        <f>+IF(OR($Q1053=Parametres!$G$2,$Q1053=Parametres!$G$3),I1053,C1053)</f>
        <v>0</v>
      </c>
      <c r="O1053" s="152">
        <f>+IF(OR($Q1053=Parametres!$G$2,$Q1053=Parametres!$G$3),J1053,D1053)</f>
        <v>0</v>
      </c>
      <c r="P1053" s="152">
        <f>+IF(OR($Q1053=Parametres!$G$2,$Q1053=Parametres!$G$3),K1053,E1053)</f>
        <v>0</v>
      </c>
      <c r="Q1053" s="151">
        <f t="shared" si="75"/>
        <v>0</v>
      </c>
      <c r="R1053" s="150">
        <f t="shared" si="75"/>
        <v>0</v>
      </c>
      <c r="S1053" s="151">
        <f t="shared" si="75"/>
        <v>0</v>
      </c>
      <c r="T1053" s="153" t="e">
        <f>+VLOOKUP($L1053,Data_Validation!$A:$D,1,0)</f>
        <v>#N/A</v>
      </c>
      <c r="U1053" s="153" t="e">
        <f>+VLOOKUP($L1053,Data_Validation!$A:$D,3,0)</f>
        <v>#N/A</v>
      </c>
      <c r="V1053" s="153" t="e">
        <f>+VLOOKUP($L1053,Data_Validation!$A:$D,4,0)</f>
        <v>#N/A</v>
      </c>
      <c r="W1053" s="153" t="e">
        <f>+VLOOKUP($L1053,Data_Validation!$A:$E,5,0)</f>
        <v>#N/A</v>
      </c>
    </row>
    <row r="1054" spans="1:23" ht="15.75" customHeight="1">
      <c r="A1054" s="1113"/>
      <c r="B1054" s="1119"/>
      <c r="C1054" s="1120"/>
      <c r="D1054" s="1113"/>
      <c r="E1054" s="1113"/>
      <c r="F1054" s="1113"/>
      <c r="G1054" s="1113"/>
      <c r="H1054" s="1113"/>
      <c r="I1054" s="1113"/>
      <c r="J1054" s="1113"/>
      <c r="K1054" s="1113"/>
      <c r="L1054" s="150">
        <f t="shared" si="72"/>
        <v>0</v>
      </c>
      <c r="M1054" s="151">
        <f t="shared" si="73"/>
        <v>0</v>
      </c>
      <c r="N1054" s="152">
        <f>+IF(OR($Q1054=Parametres!$G$2,$Q1054=Parametres!$G$3),I1054,C1054)</f>
        <v>0</v>
      </c>
      <c r="O1054" s="152">
        <f>+IF(OR($Q1054=Parametres!$G$2,$Q1054=Parametres!$G$3),J1054,D1054)</f>
        <v>0</v>
      </c>
      <c r="P1054" s="152">
        <f>+IF(OR($Q1054=Parametres!$G$2,$Q1054=Parametres!$G$3),K1054,E1054)</f>
        <v>0</v>
      </c>
      <c r="Q1054" s="151">
        <f t="shared" si="75"/>
        <v>0</v>
      </c>
      <c r="R1054" s="150">
        <f t="shared" si="75"/>
        <v>0</v>
      </c>
      <c r="S1054" s="151">
        <f t="shared" si="75"/>
        <v>0</v>
      </c>
      <c r="T1054" s="153" t="e">
        <f>+VLOOKUP($L1054,Data_Validation!$A:$D,1,0)</f>
        <v>#N/A</v>
      </c>
      <c r="U1054" s="153" t="e">
        <f>+VLOOKUP($L1054,Data_Validation!$A:$D,3,0)</f>
        <v>#N/A</v>
      </c>
      <c r="V1054" s="153" t="e">
        <f>+VLOOKUP($L1054,Data_Validation!$A:$D,4,0)</f>
        <v>#N/A</v>
      </c>
      <c r="W1054" s="153" t="e">
        <f>+VLOOKUP($L1054,Data_Validation!$A:$E,5,0)</f>
        <v>#N/A</v>
      </c>
    </row>
    <row r="1055" spans="1:23" ht="15.75" customHeight="1">
      <c r="A1055" s="1113"/>
      <c r="B1055" s="1119"/>
      <c r="C1055" s="1120"/>
      <c r="D1055" s="1113"/>
      <c r="E1055" s="1113"/>
      <c r="F1055" s="1113"/>
      <c r="G1055" s="1113"/>
      <c r="H1055" s="1113"/>
      <c r="I1055" s="1113"/>
      <c r="J1055" s="1113"/>
      <c r="K1055" s="1113"/>
      <c r="L1055" s="150">
        <f t="shared" si="72"/>
        <v>0</v>
      </c>
      <c r="M1055" s="151">
        <f t="shared" si="73"/>
        <v>0</v>
      </c>
      <c r="N1055" s="152">
        <f>+IF(OR($Q1055=Parametres!$G$2,$Q1055=Parametres!$G$3),I1055,C1055)</f>
        <v>0</v>
      </c>
      <c r="O1055" s="152">
        <f>+IF(OR($Q1055=Parametres!$G$2,$Q1055=Parametres!$G$3),J1055,D1055)</f>
        <v>0</v>
      </c>
      <c r="P1055" s="152">
        <f>+IF(OR($Q1055=Parametres!$G$2,$Q1055=Parametres!$G$3),K1055,E1055)</f>
        <v>0</v>
      </c>
      <c r="Q1055" s="151">
        <f t="shared" si="75"/>
        <v>0</v>
      </c>
      <c r="R1055" s="150">
        <f t="shared" si="75"/>
        <v>0</v>
      </c>
      <c r="S1055" s="151">
        <f t="shared" si="75"/>
        <v>0</v>
      </c>
      <c r="T1055" s="153" t="e">
        <f>+VLOOKUP($L1055,Data_Validation!$A:$D,1,0)</f>
        <v>#N/A</v>
      </c>
      <c r="U1055" s="153" t="e">
        <f>+VLOOKUP($L1055,Data_Validation!$A:$D,3,0)</f>
        <v>#N/A</v>
      </c>
      <c r="V1055" s="153" t="e">
        <f>+VLOOKUP($L1055,Data_Validation!$A:$D,4,0)</f>
        <v>#N/A</v>
      </c>
      <c r="W1055" s="153" t="e">
        <f>+VLOOKUP($L1055,Data_Validation!$A:$E,5,0)</f>
        <v>#N/A</v>
      </c>
    </row>
  </sheetData>
  <autoFilter ref="A1:X1055" xr:uid="{00000000-0009-0000-0000-00000C000000}"/>
  <dataValidations disablePrompts="1" count="1">
    <dataValidation type="list" allowBlank="1" showErrorMessage="1" sqref="U1" xr:uid="{00000000-0002-0000-0C00-000000000000}">
      <formula1>$D$1:$D$26</formula1>
    </dataValidation>
  </dataValidations>
  <pageMargins left="0.7" right="0.7" top="0.75" bottom="0.75" header="0" footer="0"/>
  <pageSetup scale="63"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12"/>
  <sheetViews>
    <sheetView workbookViewId="0"/>
  </sheetViews>
  <sheetFormatPr baseColWidth="10" defaultRowHeight="13.8"/>
  <cols>
    <col min="1" max="1" width="19.19921875" customWidth="1"/>
    <col min="2" max="2" width="42.5" bestFit="1" customWidth="1"/>
    <col min="3" max="3" width="13.09765625" bestFit="1" customWidth="1"/>
    <col min="4" max="4" width="33.3984375" bestFit="1" customWidth="1"/>
    <col min="6" max="6" width="11" style="564"/>
    <col min="7" max="7" width="43.8984375" bestFit="1" customWidth="1"/>
  </cols>
  <sheetData>
    <row r="1" spans="1:8">
      <c r="A1" s="935" t="s">
        <v>1634</v>
      </c>
      <c r="B1" s="935" t="s">
        <v>265</v>
      </c>
      <c r="C1" s="935" t="s">
        <v>1636</v>
      </c>
      <c r="D1" s="935" t="s">
        <v>275</v>
      </c>
    </row>
    <row r="2" spans="1:8" ht="14.4">
      <c r="A2" s="162" t="s">
        <v>565</v>
      </c>
      <c r="B2" s="163" t="s">
        <v>564</v>
      </c>
      <c r="C2" s="934" t="s">
        <v>75</v>
      </c>
      <c r="D2" s="934" t="s">
        <v>29</v>
      </c>
      <c r="G2" s="926" t="s">
        <v>2198</v>
      </c>
      <c r="H2" s="926" t="s">
        <v>2199</v>
      </c>
    </row>
    <row r="3" spans="1:8" ht="14.4">
      <c r="A3" s="162" t="s">
        <v>567</v>
      </c>
      <c r="B3" s="163" t="s">
        <v>566</v>
      </c>
      <c r="C3" s="934" t="s">
        <v>144</v>
      </c>
      <c r="D3" s="934" t="s">
        <v>31</v>
      </c>
      <c r="G3" s="926" t="s">
        <v>2217</v>
      </c>
      <c r="H3" s="926" t="s">
        <v>2218</v>
      </c>
    </row>
    <row r="4" spans="1:8" ht="14.4">
      <c r="A4" s="162" t="s">
        <v>569</v>
      </c>
      <c r="B4" s="163" t="s">
        <v>568</v>
      </c>
      <c r="C4" s="934" t="s">
        <v>75</v>
      </c>
      <c r="D4" s="934" t="s">
        <v>29</v>
      </c>
      <c r="G4" s="926" t="s">
        <v>2219</v>
      </c>
      <c r="H4" s="926" t="s">
        <v>2220</v>
      </c>
    </row>
    <row r="5" spans="1:8" ht="14.4">
      <c r="A5" s="162" t="s">
        <v>571</v>
      </c>
      <c r="B5" s="163" t="s">
        <v>570</v>
      </c>
      <c r="C5" s="934" t="s">
        <v>144</v>
      </c>
      <c r="D5" s="934" t="s">
        <v>31</v>
      </c>
      <c r="G5" s="926" t="s">
        <v>2845</v>
      </c>
      <c r="H5" s="926" t="s">
        <v>2384</v>
      </c>
    </row>
    <row r="6" spans="1:8" ht="14.4">
      <c r="A6" s="162" t="s">
        <v>573</v>
      </c>
      <c r="B6" s="163" t="s">
        <v>572</v>
      </c>
      <c r="C6" s="934" t="s">
        <v>75</v>
      </c>
      <c r="D6" s="934" t="s">
        <v>29</v>
      </c>
      <c r="G6" s="926" t="s">
        <v>2380</v>
      </c>
      <c r="H6" s="926" t="s">
        <v>2381</v>
      </c>
    </row>
    <row r="7" spans="1:8" ht="14.4">
      <c r="A7" s="162" t="s">
        <v>575</v>
      </c>
      <c r="B7" s="163" t="s">
        <v>574</v>
      </c>
      <c r="C7" s="934" t="s">
        <v>144</v>
      </c>
      <c r="D7" s="934" t="s">
        <v>31</v>
      </c>
      <c r="G7" s="926" t="s">
        <v>2382</v>
      </c>
      <c r="H7" s="926" t="s">
        <v>2383</v>
      </c>
    </row>
    <row r="8" spans="1:8" ht="14.4">
      <c r="A8" s="162" t="s">
        <v>577</v>
      </c>
      <c r="B8" s="163" t="s">
        <v>576</v>
      </c>
      <c r="C8" s="934" t="s">
        <v>75</v>
      </c>
      <c r="D8" s="934" t="s">
        <v>29</v>
      </c>
      <c r="G8" s="926" t="s">
        <v>2176</v>
      </c>
      <c r="H8" s="926" t="s">
        <v>2177</v>
      </c>
    </row>
    <row r="9" spans="1:8" ht="14.4">
      <c r="A9" s="162" t="s">
        <v>579</v>
      </c>
      <c r="B9" s="163" t="s">
        <v>578</v>
      </c>
      <c r="C9" s="934" t="s">
        <v>144</v>
      </c>
      <c r="D9" s="934" t="s">
        <v>31</v>
      </c>
      <c r="G9" s="926" t="s">
        <v>2020</v>
      </c>
      <c r="H9" s="926" t="s">
        <v>2010</v>
      </c>
    </row>
    <row r="10" spans="1:8" ht="14.4">
      <c r="A10" s="162" t="s">
        <v>581</v>
      </c>
      <c r="B10" s="163" t="s">
        <v>580</v>
      </c>
      <c r="C10" s="934" t="s">
        <v>75</v>
      </c>
      <c r="D10" s="934" t="s">
        <v>29</v>
      </c>
      <c r="G10" s="926" t="s">
        <v>2008</v>
      </c>
      <c r="H10" s="926" t="s">
        <v>2009</v>
      </c>
    </row>
    <row r="11" spans="1:8" ht="14.4">
      <c r="A11" s="162" t="s">
        <v>583</v>
      </c>
      <c r="B11" s="163" t="s">
        <v>582</v>
      </c>
      <c r="C11" s="934" t="s">
        <v>144</v>
      </c>
      <c r="D11" s="934" t="s">
        <v>31</v>
      </c>
      <c r="G11" s="926" t="s">
        <v>2095</v>
      </c>
      <c r="H11" s="926" t="s">
        <v>2096</v>
      </c>
    </row>
    <row r="12" spans="1:8" ht="14.4">
      <c r="A12" s="162" t="s">
        <v>585</v>
      </c>
      <c r="B12" s="163" t="s">
        <v>584</v>
      </c>
      <c r="C12" s="934" t="s">
        <v>75</v>
      </c>
      <c r="D12" s="934" t="s">
        <v>29</v>
      </c>
      <c r="G12" s="926" t="s">
        <v>2728</v>
      </c>
      <c r="H12" s="926" t="s">
        <v>2729</v>
      </c>
    </row>
    <row r="13" spans="1:8" ht="14.4">
      <c r="A13" s="162" t="s">
        <v>587</v>
      </c>
      <c r="B13" s="163" t="s">
        <v>586</v>
      </c>
      <c r="C13" s="934" t="s">
        <v>144</v>
      </c>
      <c r="D13" s="934" t="s">
        <v>31</v>
      </c>
      <c r="G13" s="926" t="s">
        <v>2825</v>
      </c>
      <c r="H13" s="926" t="s">
        <v>2826</v>
      </c>
    </row>
    <row r="14" spans="1:8" ht="14.4">
      <c r="A14" s="162" t="s">
        <v>589</v>
      </c>
      <c r="B14" s="163" t="s">
        <v>588</v>
      </c>
      <c r="C14" s="934" t="s">
        <v>75</v>
      </c>
      <c r="D14" s="934" t="s">
        <v>29</v>
      </c>
      <c r="G14" s="926" t="s">
        <v>2053</v>
      </c>
      <c r="H14" s="926" t="s">
        <v>2054</v>
      </c>
    </row>
    <row r="15" spans="1:8" ht="14.4">
      <c r="A15" s="162" t="s">
        <v>591</v>
      </c>
      <c r="B15" s="163" t="s">
        <v>590</v>
      </c>
      <c r="C15" s="934" t="s">
        <v>144</v>
      </c>
      <c r="D15" s="934" t="s">
        <v>31</v>
      </c>
      <c r="G15" s="926" t="s">
        <v>2774</v>
      </c>
      <c r="H15" s="926" t="s">
        <v>2775</v>
      </c>
    </row>
    <row r="16" spans="1:8" ht="14.4">
      <c r="A16" s="162" t="s">
        <v>593</v>
      </c>
      <c r="B16" s="163" t="s">
        <v>592</v>
      </c>
      <c r="C16" s="934" t="s">
        <v>75</v>
      </c>
      <c r="D16" s="934" t="s">
        <v>29</v>
      </c>
      <c r="G16" s="926" t="s">
        <v>2013</v>
      </c>
      <c r="H16" s="926" t="s">
        <v>2014</v>
      </c>
    </row>
    <row r="17" spans="1:8" ht="14.4">
      <c r="A17" s="162" t="s">
        <v>595</v>
      </c>
      <c r="B17" s="163" t="s">
        <v>594</v>
      </c>
      <c r="C17" s="934" t="s">
        <v>144</v>
      </c>
      <c r="D17" s="934" t="s">
        <v>31</v>
      </c>
      <c r="G17" s="926" t="s">
        <v>2612</v>
      </c>
      <c r="H17" s="926" t="s">
        <v>2613</v>
      </c>
    </row>
    <row r="18" spans="1:8" ht="14.4">
      <c r="A18" s="162" t="s">
        <v>751</v>
      </c>
      <c r="B18" s="163" t="s">
        <v>750</v>
      </c>
      <c r="C18" s="934" t="s">
        <v>1638</v>
      </c>
      <c r="D18" s="934"/>
      <c r="G18" s="926" t="s">
        <v>2813</v>
      </c>
      <c r="H18" s="926" t="s">
        <v>2814</v>
      </c>
    </row>
    <row r="19" spans="1:8" ht="14.4">
      <c r="A19" s="162" t="s">
        <v>753</v>
      </c>
      <c r="B19" s="163" t="s">
        <v>752</v>
      </c>
      <c r="C19" s="934" t="s">
        <v>1638</v>
      </c>
      <c r="D19" s="934"/>
      <c r="G19" s="926" t="s">
        <v>2102</v>
      </c>
      <c r="H19" s="926" t="s">
        <v>2103</v>
      </c>
    </row>
    <row r="20" spans="1:8" ht="14.4">
      <c r="A20" s="162" t="s">
        <v>755</v>
      </c>
      <c r="B20" s="163" t="s">
        <v>754</v>
      </c>
      <c r="C20" s="934" t="s">
        <v>1638</v>
      </c>
      <c r="D20" s="934"/>
      <c r="G20" s="926" t="s">
        <v>2468</v>
      </c>
      <c r="H20" s="926" t="s">
        <v>2469</v>
      </c>
    </row>
    <row r="21" spans="1:8" ht="14.4">
      <c r="A21" s="162" t="s">
        <v>757</v>
      </c>
      <c r="B21" s="163" t="s">
        <v>756</v>
      </c>
      <c r="C21" s="934" t="s">
        <v>1638</v>
      </c>
      <c r="D21" s="934"/>
      <c r="G21" s="926" t="s">
        <v>2111</v>
      </c>
      <c r="H21" s="926" t="s">
        <v>2112</v>
      </c>
    </row>
    <row r="22" spans="1:8" ht="14.4">
      <c r="A22" s="162" t="s">
        <v>759</v>
      </c>
      <c r="B22" s="163" t="s">
        <v>758</v>
      </c>
      <c r="C22" s="934" t="s">
        <v>1638</v>
      </c>
      <c r="D22" s="934"/>
      <c r="G22" s="926" t="s">
        <v>2752</v>
      </c>
      <c r="H22" s="926" t="s">
        <v>2753</v>
      </c>
    </row>
    <row r="23" spans="1:8" ht="14.4">
      <c r="A23" s="162" t="s">
        <v>761</v>
      </c>
      <c r="B23" s="163" t="s">
        <v>760</v>
      </c>
      <c r="C23" s="934" t="s">
        <v>1638</v>
      </c>
      <c r="D23" s="934"/>
      <c r="G23" s="926" t="s">
        <v>2817</v>
      </c>
      <c r="H23" s="926" t="s">
        <v>2472</v>
      </c>
    </row>
    <row r="24" spans="1:8" ht="14.4">
      <c r="A24" s="162" t="s">
        <v>763</v>
      </c>
      <c r="B24" s="163" t="s">
        <v>762</v>
      </c>
      <c r="C24" s="934" t="s">
        <v>1638</v>
      </c>
      <c r="D24" s="934"/>
      <c r="G24" s="926" t="s">
        <v>2470</v>
      </c>
      <c r="H24" s="926" t="s">
        <v>2471</v>
      </c>
    </row>
    <row r="25" spans="1:8" ht="14.4">
      <c r="A25" s="162" t="s">
        <v>765</v>
      </c>
      <c r="B25" s="163" t="s">
        <v>764</v>
      </c>
      <c r="C25" s="934" t="s">
        <v>1638</v>
      </c>
      <c r="D25" s="934"/>
      <c r="G25" s="926" t="s">
        <v>2025</v>
      </c>
      <c r="H25" s="926" t="s">
        <v>2026</v>
      </c>
    </row>
    <row r="26" spans="1:8" ht="14.4">
      <c r="A26" s="162" t="s">
        <v>767</v>
      </c>
      <c r="B26" s="163" t="s">
        <v>766</v>
      </c>
      <c r="C26" s="934" t="s">
        <v>1638</v>
      </c>
      <c r="D26" s="934"/>
      <c r="G26" s="926" t="s">
        <v>2815</v>
      </c>
      <c r="H26" s="926" t="s">
        <v>2816</v>
      </c>
    </row>
    <row r="27" spans="1:8" ht="14.4">
      <c r="A27" s="162" t="s">
        <v>769</v>
      </c>
      <c r="B27" s="163" t="s">
        <v>768</v>
      </c>
      <c r="C27" s="934" t="s">
        <v>1638</v>
      </c>
      <c r="D27" s="934"/>
      <c r="G27" s="926" t="s">
        <v>2731</v>
      </c>
      <c r="H27" s="926" t="s">
        <v>2732</v>
      </c>
    </row>
    <row r="28" spans="1:8" ht="14.4">
      <c r="A28" s="162" t="s">
        <v>771</v>
      </c>
      <c r="B28" s="163" t="s">
        <v>770</v>
      </c>
      <c r="C28" s="934" t="s">
        <v>1638</v>
      </c>
      <c r="D28" s="934"/>
      <c r="G28" s="926" t="s">
        <v>2580</v>
      </c>
      <c r="H28" s="926" t="s">
        <v>2581</v>
      </c>
    </row>
    <row r="29" spans="1:8" ht="14.4">
      <c r="A29" s="162" t="s">
        <v>773</v>
      </c>
      <c r="B29" s="163" t="s">
        <v>772</v>
      </c>
      <c r="C29" s="934" t="s">
        <v>1638</v>
      </c>
      <c r="D29" s="934"/>
      <c r="G29" s="926" t="s">
        <v>2754</v>
      </c>
      <c r="H29" s="926" t="s">
        <v>2755</v>
      </c>
    </row>
    <row r="30" spans="1:8" ht="14.4">
      <c r="A30" s="162" t="s">
        <v>775</v>
      </c>
      <c r="B30" s="163" t="s">
        <v>774</v>
      </c>
      <c r="C30" s="934" t="s">
        <v>1638</v>
      </c>
      <c r="D30" s="934"/>
      <c r="G30" s="926" t="s">
        <v>2133</v>
      </c>
      <c r="H30" s="926" t="s">
        <v>2134</v>
      </c>
    </row>
    <row r="31" spans="1:8" ht="14.4">
      <c r="A31" s="162" t="s">
        <v>777</v>
      </c>
      <c r="B31" s="163" t="s">
        <v>776</v>
      </c>
      <c r="C31" s="934" t="s">
        <v>1638</v>
      </c>
      <c r="D31" s="934"/>
      <c r="G31" s="926" t="s">
        <v>2682</v>
      </c>
      <c r="H31" s="926" t="s">
        <v>2683</v>
      </c>
    </row>
    <row r="32" spans="1:8" ht="14.4">
      <c r="A32" s="162" t="s">
        <v>779</v>
      </c>
      <c r="B32" s="163" t="s">
        <v>778</v>
      </c>
      <c r="C32" s="934" t="s">
        <v>1638</v>
      </c>
      <c r="D32" s="934"/>
      <c r="G32" s="926" t="s">
        <v>2097</v>
      </c>
      <c r="H32" s="926" t="s">
        <v>2098</v>
      </c>
    </row>
    <row r="33" spans="1:8" ht="14.4">
      <c r="A33" s="162" t="s">
        <v>781</v>
      </c>
      <c r="B33" s="163" t="s">
        <v>780</v>
      </c>
      <c r="C33" s="934" t="s">
        <v>1638</v>
      </c>
      <c r="D33" s="934"/>
      <c r="G33" s="926" t="s">
        <v>2123</v>
      </c>
      <c r="H33" s="926" t="s">
        <v>2124</v>
      </c>
    </row>
    <row r="34" spans="1:8" ht="14.4">
      <c r="A34" s="160" t="s">
        <v>549</v>
      </c>
      <c r="B34" s="160" t="s">
        <v>548</v>
      </c>
      <c r="C34" s="934" t="s">
        <v>1642</v>
      </c>
      <c r="D34" s="934"/>
      <c r="G34" s="926" t="s">
        <v>2797</v>
      </c>
      <c r="H34" s="926" t="s">
        <v>2798</v>
      </c>
    </row>
    <row r="35" spans="1:8" ht="14.4">
      <c r="A35" s="160" t="s">
        <v>551</v>
      </c>
      <c r="B35" s="160" t="s">
        <v>550</v>
      </c>
      <c r="C35" s="934" t="s">
        <v>1642</v>
      </c>
      <c r="D35" s="934"/>
      <c r="G35" s="926" t="s">
        <v>2385</v>
      </c>
      <c r="H35" s="926" t="s">
        <v>2386</v>
      </c>
    </row>
    <row r="36" spans="1:8" ht="14.4">
      <c r="A36" s="160" t="s">
        <v>553</v>
      </c>
      <c r="B36" s="160" t="s">
        <v>552</v>
      </c>
      <c r="C36" s="934" t="s">
        <v>1642</v>
      </c>
      <c r="D36" s="934"/>
      <c r="G36" s="926" t="s">
        <v>2633</v>
      </c>
      <c r="H36" s="926" t="s">
        <v>2634</v>
      </c>
    </row>
    <row r="37" spans="1:8" ht="14.4">
      <c r="A37" s="162" t="s">
        <v>555</v>
      </c>
      <c r="B37" s="163" t="s">
        <v>554</v>
      </c>
      <c r="C37" s="934" t="s">
        <v>1642</v>
      </c>
      <c r="D37" s="934"/>
      <c r="G37" s="926" t="s">
        <v>2145</v>
      </c>
      <c r="H37" s="926" t="s">
        <v>2146</v>
      </c>
    </row>
    <row r="38" spans="1:8" ht="14.4">
      <c r="A38" s="162" t="s">
        <v>557</v>
      </c>
      <c r="B38" s="163" t="s">
        <v>556</v>
      </c>
      <c r="C38" s="934" t="s">
        <v>1642</v>
      </c>
      <c r="D38" s="934"/>
      <c r="G38" s="926" t="s">
        <v>2387</v>
      </c>
      <c r="H38" s="926" t="s">
        <v>2388</v>
      </c>
    </row>
    <row r="39" spans="1:8" ht="14.4">
      <c r="A39" s="162" t="s">
        <v>559</v>
      </c>
      <c r="B39" s="163" t="s">
        <v>558</v>
      </c>
      <c r="C39" s="934" t="s">
        <v>1642</v>
      </c>
      <c r="D39" s="934"/>
      <c r="G39" s="926" t="s">
        <v>2117</v>
      </c>
      <c r="H39" s="926" t="s">
        <v>2118</v>
      </c>
    </row>
    <row r="40" spans="1:8" ht="14.4">
      <c r="A40" s="162" t="s">
        <v>561</v>
      </c>
      <c r="B40" s="163" t="s">
        <v>560</v>
      </c>
      <c r="C40" s="934" t="s">
        <v>1642</v>
      </c>
      <c r="D40" s="934"/>
      <c r="G40" s="926" t="s">
        <v>2596</v>
      </c>
      <c r="H40" s="926" t="s">
        <v>2597</v>
      </c>
    </row>
    <row r="41" spans="1:8" ht="14.4">
      <c r="A41" s="162" t="s">
        <v>563</v>
      </c>
      <c r="B41" s="163" t="s">
        <v>562</v>
      </c>
      <c r="C41" s="934" t="s">
        <v>1642</v>
      </c>
      <c r="D41" s="934"/>
      <c r="G41" s="926" t="s">
        <v>2174</v>
      </c>
      <c r="H41" s="926" t="s">
        <v>2175</v>
      </c>
    </row>
    <row r="42" spans="1:8" ht="14.4">
      <c r="A42" s="162" t="s">
        <v>597</v>
      </c>
      <c r="B42" s="163" t="s">
        <v>596</v>
      </c>
      <c r="C42" s="934" t="s">
        <v>155</v>
      </c>
      <c r="D42" s="934"/>
      <c r="G42" s="926" t="s">
        <v>2192</v>
      </c>
      <c r="H42" s="926" t="s">
        <v>2193</v>
      </c>
    </row>
    <row r="43" spans="1:8" ht="14.4">
      <c r="A43" s="162" t="s">
        <v>599</v>
      </c>
      <c r="B43" s="163" t="s">
        <v>598</v>
      </c>
      <c r="C43" s="934" t="s">
        <v>155</v>
      </c>
      <c r="D43" s="934"/>
      <c r="G43" s="926" t="s">
        <v>2389</v>
      </c>
      <c r="H43" s="926" t="s">
        <v>2390</v>
      </c>
    </row>
    <row r="44" spans="1:8" ht="14.4">
      <c r="A44" s="162" t="s">
        <v>601</v>
      </c>
      <c r="B44" s="163" t="s">
        <v>600</v>
      </c>
      <c r="C44" s="934" t="s">
        <v>155</v>
      </c>
      <c r="D44" s="934"/>
      <c r="G44" s="926" t="s">
        <v>2673</v>
      </c>
      <c r="H44" s="926" t="s">
        <v>2674</v>
      </c>
    </row>
    <row r="45" spans="1:8" ht="14.4">
      <c r="A45" s="162" t="s">
        <v>603</v>
      </c>
      <c r="B45" s="163" t="s">
        <v>602</v>
      </c>
      <c r="C45" s="934" t="s">
        <v>1642</v>
      </c>
      <c r="D45" s="934" t="s">
        <v>159</v>
      </c>
      <c r="G45" s="926" t="s">
        <v>2776</v>
      </c>
      <c r="H45" s="926" t="s">
        <v>2777</v>
      </c>
    </row>
    <row r="46" spans="1:8" ht="14.4">
      <c r="A46" s="162" t="s">
        <v>605</v>
      </c>
      <c r="B46" s="163" t="s">
        <v>604</v>
      </c>
      <c r="C46" s="934" t="s">
        <v>1642</v>
      </c>
      <c r="D46" s="934" t="s">
        <v>161</v>
      </c>
      <c r="G46" s="926" t="s">
        <v>2194</v>
      </c>
      <c r="H46" s="926" t="s">
        <v>2195</v>
      </c>
    </row>
    <row r="47" spans="1:8" ht="14.4">
      <c r="A47" s="162" t="s">
        <v>607</v>
      </c>
      <c r="B47" s="163" t="s">
        <v>606</v>
      </c>
      <c r="C47" s="934" t="s">
        <v>155</v>
      </c>
      <c r="D47" s="934" t="s">
        <v>162</v>
      </c>
      <c r="G47" s="926" t="s">
        <v>2179</v>
      </c>
      <c r="H47" s="926" t="s">
        <v>2180</v>
      </c>
    </row>
    <row r="48" spans="1:8" ht="14.4">
      <c r="A48" s="162" t="s">
        <v>609</v>
      </c>
      <c r="B48" s="163" t="s">
        <v>608</v>
      </c>
      <c r="C48" s="934" t="s">
        <v>171</v>
      </c>
      <c r="D48" s="934" t="s">
        <v>173</v>
      </c>
      <c r="G48" s="926" t="s">
        <v>2115</v>
      </c>
      <c r="H48" s="926" t="s">
        <v>2116</v>
      </c>
    </row>
    <row r="49" spans="1:8" ht="14.4">
      <c r="A49" s="162" t="s">
        <v>611</v>
      </c>
      <c r="B49" s="163" t="s">
        <v>610</v>
      </c>
      <c r="C49" s="934" t="s">
        <v>155</v>
      </c>
      <c r="D49" s="934"/>
      <c r="G49" s="926" t="s">
        <v>2109</v>
      </c>
      <c r="H49" s="926" t="s">
        <v>2110</v>
      </c>
    </row>
    <row r="50" spans="1:8" ht="14.4">
      <c r="A50" s="162" t="s">
        <v>613</v>
      </c>
      <c r="B50" s="163" t="s">
        <v>612</v>
      </c>
      <c r="C50" s="934" t="s">
        <v>1642</v>
      </c>
      <c r="D50" s="934"/>
      <c r="G50" s="926" t="s">
        <v>2135</v>
      </c>
      <c r="H50" s="926" t="s">
        <v>2136</v>
      </c>
    </row>
    <row r="51" spans="1:8" ht="14.4">
      <c r="A51" s="162" t="s">
        <v>615</v>
      </c>
      <c r="B51" s="163" t="s">
        <v>614</v>
      </c>
      <c r="C51" s="934" t="s">
        <v>1638</v>
      </c>
      <c r="D51" s="934"/>
      <c r="G51" s="926" t="s">
        <v>2170</v>
      </c>
      <c r="H51" s="926" t="s">
        <v>2171</v>
      </c>
    </row>
    <row r="52" spans="1:8" ht="14.4">
      <c r="A52" s="162" t="s">
        <v>617</v>
      </c>
      <c r="B52" s="163" t="s">
        <v>616</v>
      </c>
      <c r="C52" s="934" t="s">
        <v>1638</v>
      </c>
      <c r="D52" s="934"/>
      <c r="G52" s="926" t="s">
        <v>2794</v>
      </c>
      <c r="H52" s="926" t="s">
        <v>2795</v>
      </c>
    </row>
    <row r="53" spans="1:8" ht="14.4">
      <c r="A53" s="162" t="s">
        <v>619</v>
      </c>
      <c r="B53" s="163" t="s">
        <v>618</v>
      </c>
      <c r="C53" s="934" t="s">
        <v>1642</v>
      </c>
      <c r="D53" s="934"/>
      <c r="G53" s="926" t="s">
        <v>475</v>
      </c>
      <c r="H53" s="926" t="s">
        <v>2122</v>
      </c>
    </row>
    <row r="54" spans="1:8" ht="14.4">
      <c r="A54" s="162" t="s">
        <v>621</v>
      </c>
      <c r="B54" s="163" t="s">
        <v>620</v>
      </c>
      <c r="C54" s="934" t="s">
        <v>1638</v>
      </c>
      <c r="D54" s="934"/>
      <c r="G54" s="926" t="s">
        <v>2567</v>
      </c>
      <c r="H54" s="926" t="s">
        <v>2568</v>
      </c>
    </row>
    <row r="55" spans="1:8" ht="14.4">
      <c r="A55" s="162" t="s">
        <v>623</v>
      </c>
      <c r="B55" s="163" t="s">
        <v>622</v>
      </c>
      <c r="C55" s="934" t="s">
        <v>1638</v>
      </c>
      <c r="D55" s="934"/>
      <c r="G55" s="926" t="s">
        <v>2565</v>
      </c>
      <c r="H55" s="926" t="s">
        <v>2566</v>
      </c>
    </row>
    <row r="56" spans="1:8" ht="14.4">
      <c r="A56" s="162" t="s">
        <v>625</v>
      </c>
      <c r="B56" s="163" t="s">
        <v>624</v>
      </c>
      <c r="C56" s="934" t="s">
        <v>1642</v>
      </c>
      <c r="D56" s="934"/>
      <c r="G56" s="926" t="s">
        <v>2391</v>
      </c>
      <c r="H56" s="926" t="s">
        <v>2392</v>
      </c>
    </row>
    <row r="57" spans="1:8" ht="14.4">
      <c r="A57" s="162" t="s">
        <v>627</v>
      </c>
      <c r="B57" s="163" t="s">
        <v>626</v>
      </c>
      <c r="C57" s="934" t="s">
        <v>1638</v>
      </c>
      <c r="D57" s="934"/>
      <c r="G57" s="926" t="s">
        <v>2149</v>
      </c>
      <c r="H57" s="926" t="s">
        <v>2150</v>
      </c>
    </row>
    <row r="58" spans="1:8" ht="14.4">
      <c r="A58" s="162" t="s">
        <v>629</v>
      </c>
      <c r="B58" s="163" t="s">
        <v>628</v>
      </c>
      <c r="C58" s="934" t="s">
        <v>144</v>
      </c>
      <c r="D58" s="934"/>
      <c r="G58" s="926" t="s">
        <v>2393</v>
      </c>
      <c r="H58" s="926" t="s">
        <v>2394</v>
      </c>
    </row>
    <row r="59" spans="1:8" ht="14.4">
      <c r="A59" s="162" t="s">
        <v>631</v>
      </c>
      <c r="B59" s="163" t="s">
        <v>630</v>
      </c>
      <c r="C59" s="934" t="s">
        <v>144</v>
      </c>
      <c r="D59" s="934"/>
      <c r="G59" s="926" t="s">
        <v>2119</v>
      </c>
      <c r="H59" s="926" t="s">
        <v>2120</v>
      </c>
    </row>
    <row r="60" spans="1:8" ht="14.4">
      <c r="A60" s="162" t="s">
        <v>633</v>
      </c>
      <c r="B60" s="163" t="s">
        <v>632</v>
      </c>
      <c r="C60" s="934" t="s">
        <v>1642</v>
      </c>
      <c r="D60" s="934"/>
      <c r="G60" s="926" t="s">
        <v>2395</v>
      </c>
      <c r="H60" s="926" t="s">
        <v>2396</v>
      </c>
    </row>
    <row r="61" spans="1:8" ht="14.4">
      <c r="A61" s="162" t="s">
        <v>635</v>
      </c>
      <c r="B61" s="163" t="s">
        <v>634</v>
      </c>
      <c r="C61" s="934" t="s">
        <v>1642</v>
      </c>
      <c r="D61" s="934"/>
      <c r="G61" s="926" t="s">
        <v>2190</v>
      </c>
      <c r="H61" s="926" t="s">
        <v>2191</v>
      </c>
    </row>
    <row r="62" spans="1:8" ht="14.4">
      <c r="A62" s="162" t="s">
        <v>637</v>
      </c>
      <c r="B62" s="163" t="s">
        <v>636</v>
      </c>
      <c r="C62" s="934" t="s">
        <v>75</v>
      </c>
      <c r="D62" s="934" t="s">
        <v>181</v>
      </c>
      <c r="G62" s="926" t="s">
        <v>2397</v>
      </c>
      <c r="H62" s="926" t="s">
        <v>2398</v>
      </c>
    </row>
    <row r="63" spans="1:8" ht="14.4">
      <c r="A63" s="162" t="s">
        <v>639</v>
      </c>
      <c r="B63" s="163" t="s">
        <v>638</v>
      </c>
      <c r="C63" s="934" t="s">
        <v>75</v>
      </c>
      <c r="D63" s="934" t="s">
        <v>181</v>
      </c>
      <c r="G63" s="926" t="s">
        <v>2561</v>
      </c>
      <c r="H63" s="926" t="s">
        <v>2562</v>
      </c>
    </row>
    <row r="64" spans="1:8" ht="14.4">
      <c r="A64" s="162" t="s">
        <v>641</v>
      </c>
      <c r="B64" s="163" t="s">
        <v>640</v>
      </c>
      <c r="C64" s="934" t="s">
        <v>75</v>
      </c>
      <c r="D64" s="934" t="s">
        <v>181</v>
      </c>
      <c r="G64" s="926" t="s">
        <v>2399</v>
      </c>
      <c r="H64" s="926" t="s">
        <v>2400</v>
      </c>
    </row>
    <row r="65" spans="1:8" ht="14.4">
      <c r="A65" s="162" t="s">
        <v>643</v>
      </c>
      <c r="B65" s="163" t="s">
        <v>642</v>
      </c>
      <c r="C65" s="934" t="s">
        <v>75</v>
      </c>
      <c r="D65" s="934" t="s">
        <v>181</v>
      </c>
      <c r="G65" s="926" t="s">
        <v>2156</v>
      </c>
      <c r="H65" s="926" t="s">
        <v>2157</v>
      </c>
    </row>
    <row r="66" spans="1:8" ht="14.4">
      <c r="A66" s="162" t="s">
        <v>645</v>
      </c>
      <c r="B66" s="163" t="s">
        <v>644</v>
      </c>
      <c r="C66" s="934" t="s">
        <v>75</v>
      </c>
      <c r="D66" s="934" t="s">
        <v>181</v>
      </c>
      <c r="G66" s="926" t="s">
        <v>2401</v>
      </c>
      <c r="H66" s="926" t="s">
        <v>2402</v>
      </c>
    </row>
    <row r="67" spans="1:8" ht="14.4">
      <c r="A67" s="162" t="s">
        <v>647</v>
      </c>
      <c r="B67" s="163" t="s">
        <v>646</v>
      </c>
      <c r="C67" s="934" t="s">
        <v>75</v>
      </c>
      <c r="D67" s="934" t="s">
        <v>181</v>
      </c>
      <c r="G67" s="926" t="s">
        <v>2403</v>
      </c>
      <c r="H67" s="926" t="s">
        <v>2404</v>
      </c>
    </row>
    <row r="68" spans="1:8" ht="14.4">
      <c r="A68" s="162" t="s">
        <v>649</v>
      </c>
      <c r="B68" s="163" t="s">
        <v>648</v>
      </c>
      <c r="C68" s="934" t="s">
        <v>75</v>
      </c>
      <c r="D68" s="934" t="s">
        <v>181</v>
      </c>
      <c r="G68" s="926" t="s">
        <v>2559</v>
      </c>
      <c r="H68" s="926" t="s">
        <v>2560</v>
      </c>
    </row>
    <row r="69" spans="1:8" ht="14.4">
      <c r="A69" s="162" t="s">
        <v>651</v>
      </c>
      <c r="B69" s="163" t="s">
        <v>650</v>
      </c>
      <c r="C69" s="934" t="s">
        <v>75</v>
      </c>
      <c r="D69" s="934" t="s">
        <v>181</v>
      </c>
      <c r="G69" s="926" t="s">
        <v>2147</v>
      </c>
      <c r="H69" s="926" t="s">
        <v>2148</v>
      </c>
    </row>
    <row r="70" spans="1:8" ht="14.4">
      <c r="A70" s="162" t="s">
        <v>653</v>
      </c>
      <c r="B70" s="163" t="s">
        <v>652</v>
      </c>
      <c r="C70" s="934" t="s">
        <v>144</v>
      </c>
      <c r="D70" s="934" t="s">
        <v>181</v>
      </c>
      <c r="G70" s="926" t="s">
        <v>819</v>
      </c>
      <c r="H70" s="926" t="s">
        <v>2405</v>
      </c>
    </row>
    <row r="71" spans="1:8" ht="14.4">
      <c r="A71" s="162" t="s">
        <v>655</v>
      </c>
      <c r="B71" s="163" t="s">
        <v>654</v>
      </c>
      <c r="C71" s="934" t="s">
        <v>144</v>
      </c>
      <c r="D71" s="934" t="s">
        <v>181</v>
      </c>
      <c r="G71" s="926" t="s">
        <v>2188</v>
      </c>
      <c r="H71" s="926" t="s">
        <v>2189</v>
      </c>
    </row>
    <row r="72" spans="1:8" ht="14.4">
      <c r="A72" s="162" t="s">
        <v>657</v>
      </c>
      <c r="B72" s="163" t="s">
        <v>656</v>
      </c>
      <c r="C72" s="934" t="s">
        <v>144</v>
      </c>
      <c r="D72" s="934" t="s">
        <v>181</v>
      </c>
      <c r="G72" s="926" t="s">
        <v>2406</v>
      </c>
      <c r="H72" s="926" t="s">
        <v>2407</v>
      </c>
    </row>
    <row r="73" spans="1:8" ht="14.4">
      <c r="A73" s="162" t="s">
        <v>659</v>
      </c>
      <c r="B73" s="163" t="s">
        <v>658</v>
      </c>
      <c r="C73" s="934" t="s">
        <v>144</v>
      </c>
      <c r="D73" s="934" t="s">
        <v>181</v>
      </c>
      <c r="G73" s="926" t="s">
        <v>2743</v>
      </c>
      <c r="H73" s="926" t="s">
        <v>2744</v>
      </c>
    </row>
    <row r="74" spans="1:8" ht="14.4">
      <c r="A74" s="162" t="s">
        <v>661</v>
      </c>
      <c r="B74" s="163" t="s">
        <v>660</v>
      </c>
      <c r="C74" s="934" t="s">
        <v>144</v>
      </c>
      <c r="D74" s="934" t="s">
        <v>181</v>
      </c>
      <c r="G74" s="926" t="s">
        <v>2201</v>
      </c>
      <c r="H74" s="926" t="s">
        <v>2202</v>
      </c>
    </row>
    <row r="75" spans="1:8" ht="14.4">
      <c r="A75" s="162" t="s">
        <v>663</v>
      </c>
      <c r="B75" s="163" t="s">
        <v>662</v>
      </c>
      <c r="C75" s="934" t="s">
        <v>144</v>
      </c>
      <c r="D75" s="934" t="s">
        <v>181</v>
      </c>
      <c r="G75" s="926" t="s">
        <v>2837</v>
      </c>
      <c r="H75" s="926" t="s">
        <v>2838</v>
      </c>
    </row>
    <row r="76" spans="1:8" ht="14.4">
      <c r="A76" s="162" t="s">
        <v>665</v>
      </c>
      <c r="B76" s="163" t="s">
        <v>664</v>
      </c>
      <c r="C76" s="934" t="s">
        <v>144</v>
      </c>
      <c r="D76" s="934" t="s">
        <v>181</v>
      </c>
      <c r="G76" s="926" t="s">
        <v>2029</v>
      </c>
      <c r="H76" s="926" t="s">
        <v>2030</v>
      </c>
    </row>
    <row r="77" spans="1:8" ht="14.4">
      <c r="A77" s="162" t="s">
        <v>667</v>
      </c>
      <c r="B77" s="163" t="s">
        <v>666</v>
      </c>
      <c r="C77" s="934" t="s">
        <v>144</v>
      </c>
      <c r="D77" s="934" t="s">
        <v>181</v>
      </c>
      <c r="G77" s="926" t="s">
        <v>2408</v>
      </c>
      <c r="H77" s="926" t="s">
        <v>2409</v>
      </c>
    </row>
    <row r="78" spans="1:8" ht="14.4">
      <c r="A78" s="163" t="s">
        <v>669</v>
      </c>
      <c r="B78" s="163" t="s">
        <v>668</v>
      </c>
      <c r="C78" s="934" t="s">
        <v>75</v>
      </c>
      <c r="D78" s="934" t="s">
        <v>1734</v>
      </c>
      <c r="G78" s="926" t="s">
        <v>2196</v>
      </c>
      <c r="H78" s="926" t="s">
        <v>2197</v>
      </c>
    </row>
    <row r="79" spans="1:8" ht="14.4">
      <c r="A79" s="163" t="s">
        <v>671</v>
      </c>
      <c r="B79" s="163" t="s">
        <v>670</v>
      </c>
      <c r="C79" s="934" t="s">
        <v>75</v>
      </c>
      <c r="D79" s="934" t="s">
        <v>1734</v>
      </c>
      <c r="G79" s="926" t="s">
        <v>2049</v>
      </c>
      <c r="H79" s="926" t="s">
        <v>2050</v>
      </c>
    </row>
    <row r="80" spans="1:8" ht="14.4">
      <c r="A80" s="163" t="s">
        <v>673</v>
      </c>
      <c r="B80" s="163" t="s">
        <v>672</v>
      </c>
      <c r="C80" s="934" t="s">
        <v>75</v>
      </c>
      <c r="D80" s="934" t="s">
        <v>1734</v>
      </c>
      <c r="G80" s="926" t="s">
        <v>2787</v>
      </c>
      <c r="H80" s="926" t="s">
        <v>2788</v>
      </c>
    </row>
    <row r="81" spans="1:8" ht="14.4">
      <c r="A81" s="163" t="s">
        <v>675</v>
      </c>
      <c r="B81" s="163" t="s">
        <v>674</v>
      </c>
      <c r="C81" s="934" t="s">
        <v>75</v>
      </c>
      <c r="D81" s="934" t="s">
        <v>1734</v>
      </c>
      <c r="G81" s="926" t="s">
        <v>2804</v>
      </c>
      <c r="H81" s="926" t="s">
        <v>2059</v>
      </c>
    </row>
    <row r="82" spans="1:8" ht="14.4">
      <c r="A82" s="163" t="s">
        <v>677</v>
      </c>
      <c r="B82" s="163" t="s">
        <v>676</v>
      </c>
      <c r="C82" s="934" t="s">
        <v>75</v>
      </c>
      <c r="D82" s="934" t="s">
        <v>1734</v>
      </c>
      <c r="G82" s="926" t="s">
        <v>2057</v>
      </c>
      <c r="H82" s="926" t="s">
        <v>2058</v>
      </c>
    </row>
    <row r="83" spans="1:8" ht="14.4">
      <c r="A83" s="163" t="s">
        <v>679</v>
      </c>
      <c r="B83" s="163" t="s">
        <v>678</v>
      </c>
      <c r="C83" s="934" t="s">
        <v>75</v>
      </c>
      <c r="D83" s="934" t="s">
        <v>1734</v>
      </c>
      <c r="G83" s="926" t="s">
        <v>2607</v>
      </c>
      <c r="H83" s="926" t="s">
        <v>2608</v>
      </c>
    </row>
    <row r="84" spans="1:8" ht="14.4">
      <c r="A84" s="163" t="s">
        <v>681</v>
      </c>
      <c r="B84" s="163" t="s">
        <v>680</v>
      </c>
      <c r="C84" s="934" t="s">
        <v>75</v>
      </c>
      <c r="D84" s="934" t="s">
        <v>1734</v>
      </c>
      <c r="G84" s="926" t="s">
        <v>2809</v>
      </c>
      <c r="H84" s="926" t="s">
        <v>2810</v>
      </c>
    </row>
    <row r="85" spans="1:8" ht="14.4">
      <c r="A85" s="163" t="s">
        <v>683</v>
      </c>
      <c r="B85" s="163" t="s">
        <v>682</v>
      </c>
      <c r="C85" s="934" t="s">
        <v>75</v>
      </c>
      <c r="D85" s="934" t="s">
        <v>1734</v>
      </c>
      <c r="G85" s="926" t="s">
        <v>2166</v>
      </c>
      <c r="H85" s="926" t="s">
        <v>2127</v>
      </c>
    </row>
    <row r="86" spans="1:8" ht="14.4">
      <c r="A86" s="162" t="s">
        <v>685</v>
      </c>
      <c r="B86" s="163" t="s">
        <v>684</v>
      </c>
      <c r="C86" s="934" t="s">
        <v>75</v>
      </c>
      <c r="D86" s="934"/>
      <c r="G86" s="926" t="s">
        <v>2763</v>
      </c>
      <c r="H86" s="926" t="s">
        <v>2764</v>
      </c>
    </row>
    <row r="87" spans="1:8" ht="14.4">
      <c r="A87" s="162" t="s">
        <v>687</v>
      </c>
      <c r="B87" s="163" t="s">
        <v>686</v>
      </c>
      <c r="C87" s="934" t="s">
        <v>144</v>
      </c>
      <c r="D87" s="934"/>
      <c r="G87" s="926" t="s">
        <v>2737</v>
      </c>
      <c r="H87" s="926" t="s">
        <v>2738</v>
      </c>
    </row>
    <row r="88" spans="1:8" ht="14.4">
      <c r="A88" s="162" t="s">
        <v>689</v>
      </c>
      <c r="B88" s="163" t="s">
        <v>688</v>
      </c>
      <c r="C88" s="934" t="s">
        <v>155</v>
      </c>
      <c r="D88" s="934"/>
      <c r="G88" s="926" t="s">
        <v>2221</v>
      </c>
      <c r="H88" s="926" t="s">
        <v>2222</v>
      </c>
    </row>
    <row r="89" spans="1:8" ht="14.4">
      <c r="A89" s="162" t="s">
        <v>691</v>
      </c>
      <c r="B89" s="163" t="s">
        <v>690</v>
      </c>
      <c r="C89" s="934" t="s">
        <v>171</v>
      </c>
      <c r="D89" s="934"/>
      <c r="G89" s="926" t="s">
        <v>2002</v>
      </c>
      <c r="H89" s="926" t="s">
        <v>2003</v>
      </c>
    </row>
    <row r="90" spans="1:8" ht="14.4">
      <c r="A90" s="162" t="s">
        <v>693</v>
      </c>
      <c r="B90" s="163" t="s">
        <v>692</v>
      </c>
      <c r="C90" s="934" t="s">
        <v>175</v>
      </c>
      <c r="D90" s="934"/>
      <c r="G90" s="926" t="s">
        <v>2042</v>
      </c>
      <c r="H90" s="926" t="s">
        <v>2043</v>
      </c>
    </row>
    <row r="91" spans="1:8" ht="14.4">
      <c r="A91" s="162" t="s">
        <v>695</v>
      </c>
      <c r="B91" s="163" t="s">
        <v>694</v>
      </c>
      <c r="C91" s="934" t="s">
        <v>75</v>
      </c>
      <c r="D91" s="934"/>
      <c r="G91" s="926" t="s">
        <v>2125</v>
      </c>
      <c r="H91" s="926" t="s">
        <v>2126</v>
      </c>
    </row>
    <row r="92" spans="1:8" ht="14.4">
      <c r="A92" s="162" t="s">
        <v>697</v>
      </c>
      <c r="B92" s="163" t="s">
        <v>696</v>
      </c>
      <c r="C92" s="934" t="s">
        <v>144</v>
      </c>
      <c r="D92" s="934"/>
      <c r="G92" s="926" t="s">
        <v>2410</v>
      </c>
      <c r="H92" s="926" t="s">
        <v>2411</v>
      </c>
    </row>
    <row r="93" spans="1:8" ht="14.4">
      <c r="A93" s="162" t="s">
        <v>699</v>
      </c>
      <c r="B93" s="163" t="s">
        <v>698</v>
      </c>
      <c r="C93" s="934" t="s">
        <v>155</v>
      </c>
      <c r="D93" s="934"/>
      <c r="G93" s="926" t="s">
        <v>2139</v>
      </c>
      <c r="H93" s="926" t="s">
        <v>2140</v>
      </c>
    </row>
    <row r="94" spans="1:8" ht="14.4">
      <c r="A94" s="162" t="s">
        <v>701</v>
      </c>
      <c r="B94" s="163" t="s">
        <v>700</v>
      </c>
      <c r="C94" s="934" t="s">
        <v>175</v>
      </c>
      <c r="D94" s="934"/>
      <c r="G94" s="926" t="s">
        <v>2224</v>
      </c>
      <c r="H94" s="926" t="s">
        <v>2225</v>
      </c>
    </row>
    <row r="95" spans="1:8" ht="14.4">
      <c r="A95" s="162" t="s">
        <v>703</v>
      </c>
      <c r="B95" s="163" t="s">
        <v>702</v>
      </c>
      <c r="C95" s="934" t="s">
        <v>144</v>
      </c>
      <c r="D95" s="934"/>
      <c r="G95" s="926" t="s">
        <v>2701</v>
      </c>
      <c r="H95" s="926" t="s">
        <v>2155</v>
      </c>
    </row>
    <row r="96" spans="1:8" ht="14.4">
      <c r="A96" s="162" t="s">
        <v>705</v>
      </c>
      <c r="B96" s="163" t="s">
        <v>704</v>
      </c>
      <c r="C96" s="934" t="s">
        <v>75</v>
      </c>
      <c r="D96" s="934" t="s">
        <v>163</v>
      </c>
      <c r="G96" s="926" t="s">
        <v>2153</v>
      </c>
      <c r="H96" s="926" t="s">
        <v>2154</v>
      </c>
    </row>
    <row r="97" spans="1:8" ht="14.4">
      <c r="A97" s="162" t="s">
        <v>707</v>
      </c>
      <c r="B97" s="163" t="s">
        <v>706</v>
      </c>
      <c r="C97" s="934" t="s">
        <v>75</v>
      </c>
      <c r="D97" s="934"/>
      <c r="G97" s="926" t="s">
        <v>2226</v>
      </c>
      <c r="H97" s="926" t="s">
        <v>2227</v>
      </c>
    </row>
    <row r="98" spans="1:8" ht="14.4">
      <c r="A98" s="162" t="s">
        <v>709</v>
      </c>
      <c r="B98" s="163" t="s">
        <v>708</v>
      </c>
      <c r="C98" s="934" t="s">
        <v>144</v>
      </c>
      <c r="D98" s="934"/>
      <c r="G98" s="926" t="s">
        <v>2740</v>
      </c>
      <c r="H98" s="926" t="s">
        <v>2741</v>
      </c>
    </row>
    <row r="99" spans="1:8" ht="14.4">
      <c r="A99" s="162" t="s">
        <v>711</v>
      </c>
      <c r="B99" s="163" t="s">
        <v>710</v>
      </c>
      <c r="C99" s="934" t="s">
        <v>75</v>
      </c>
      <c r="D99" s="934"/>
      <c r="G99" s="926" t="s">
        <v>2573</v>
      </c>
      <c r="H99" s="926" t="s">
        <v>2574</v>
      </c>
    </row>
    <row r="100" spans="1:8" ht="14.4">
      <c r="A100" s="162" t="s">
        <v>713</v>
      </c>
      <c r="B100" s="163" t="s">
        <v>712</v>
      </c>
      <c r="C100" s="934" t="s">
        <v>144</v>
      </c>
      <c r="D100" s="934"/>
      <c r="G100" s="926" t="s">
        <v>533</v>
      </c>
      <c r="H100" s="926" t="s">
        <v>2178</v>
      </c>
    </row>
    <row r="101" spans="1:8" ht="14.4">
      <c r="A101" s="162" t="s">
        <v>715</v>
      </c>
      <c r="B101" s="163" t="s">
        <v>714</v>
      </c>
      <c r="C101" s="934" t="s">
        <v>155</v>
      </c>
      <c r="D101" s="934"/>
      <c r="G101" s="926" t="s">
        <v>2228</v>
      </c>
      <c r="H101" s="926" t="s">
        <v>2229</v>
      </c>
    </row>
    <row r="102" spans="1:8" ht="14.4">
      <c r="A102" s="162" t="s">
        <v>717</v>
      </c>
      <c r="B102" s="163" t="s">
        <v>716</v>
      </c>
      <c r="C102" s="934" t="s">
        <v>175</v>
      </c>
      <c r="D102" s="934"/>
      <c r="G102" s="926" t="s">
        <v>2230</v>
      </c>
      <c r="H102" s="926" t="s">
        <v>2231</v>
      </c>
    </row>
    <row r="103" spans="1:8" ht="14.4">
      <c r="A103" s="162" t="s">
        <v>719</v>
      </c>
      <c r="B103" s="163" t="s">
        <v>718</v>
      </c>
      <c r="C103" s="934" t="s">
        <v>75</v>
      </c>
      <c r="D103" s="934"/>
      <c r="G103" s="926" t="s">
        <v>2186</v>
      </c>
      <c r="H103" s="926" t="s">
        <v>2187</v>
      </c>
    </row>
    <row r="104" spans="1:8" ht="14.4">
      <c r="A104" s="162" t="s">
        <v>721</v>
      </c>
      <c r="B104" s="163" t="s">
        <v>720</v>
      </c>
      <c r="C104" s="934" t="s">
        <v>144</v>
      </c>
      <c r="D104" s="934"/>
      <c r="G104" s="926" t="s">
        <v>2232</v>
      </c>
      <c r="H104" s="926" t="s">
        <v>2233</v>
      </c>
    </row>
    <row r="105" spans="1:8" ht="14.4">
      <c r="A105" s="162" t="s">
        <v>723</v>
      </c>
      <c r="B105" s="163" t="s">
        <v>722</v>
      </c>
      <c r="C105" s="934" t="s">
        <v>155</v>
      </c>
      <c r="D105" s="934"/>
      <c r="G105" s="926" t="s">
        <v>2235</v>
      </c>
      <c r="H105" s="926" t="s">
        <v>2236</v>
      </c>
    </row>
    <row r="106" spans="1:8" ht="14.4">
      <c r="A106" s="162" t="s">
        <v>725</v>
      </c>
      <c r="B106" s="163" t="s">
        <v>724</v>
      </c>
      <c r="C106" s="934" t="s">
        <v>155</v>
      </c>
      <c r="D106" s="934" t="s">
        <v>163</v>
      </c>
      <c r="G106" s="926" t="s">
        <v>2237</v>
      </c>
      <c r="H106" s="926" t="s">
        <v>2238</v>
      </c>
    </row>
    <row r="107" spans="1:8" ht="14.4">
      <c r="A107" s="162" t="s">
        <v>727</v>
      </c>
      <c r="B107" s="163" t="s">
        <v>726</v>
      </c>
      <c r="C107" s="934" t="s">
        <v>155</v>
      </c>
      <c r="D107" s="934"/>
      <c r="G107" s="926" t="s">
        <v>2239</v>
      </c>
      <c r="H107" s="926" t="s">
        <v>2240</v>
      </c>
    </row>
    <row r="108" spans="1:8" ht="14.4">
      <c r="A108" s="162" t="s">
        <v>729</v>
      </c>
      <c r="B108" s="163" t="s">
        <v>728</v>
      </c>
      <c r="C108" s="934" t="s">
        <v>75</v>
      </c>
      <c r="D108" s="934"/>
      <c r="G108" s="926" t="s">
        <v>2591</v>
      </c>
      <c r="H108" s="926" t="s">
        <v>2592</v>
      </c>
    </row>
    <row r="109" spans="1:8" ht="14.4">
      <c r="A109" s="162" t="s">
        <v>731</v>
      </c>
      <c r="B109" s="163" t="s">
        <v>730</v>
      </c>
      <c r="C109" s="934" t="s">
        <v>144</v>
      </c>
      <c r="D109" s="934"/>
      <c r="G109" s="926" t="s">
        <v>2051</v>
      </c>
      <c r="H109" s="926" t="s">
        <v>2052</v>
      </c>
    </row>
    <row r="110" spans="1:8" ht="14.4">
      <c r="A110" s="162" t="s">
        <v>733</v>
      </c>
      <c r="B110" s="163" t="s">
        <v>732</v>
      </c>
      <c r="C110" s="934" t="s">
        <v>155</v>
      </c>
      <c r="D110" s="934"/>
      <c r="G110" s="926" t="s">
        <v>2091</v>
      </c>
      <c r="H110" s="926" t="s">
        <v>2092</v>
      </c>
    </row>
    <row r="111" spans="1:8" ht="14.4">
      <c r="A111" s="162" t="s">
        <v>735</v>
      </c>
      <c r="B111" s="163" t="s">
        <v>734</v>
      </c>
      <c r="C111" s="934" t="s">
        <v>171</v>
      </c>
      <c r="D111" s="934"/>
      <c r="G111" s="926" t="s">
        <v>2412</v>
      </c>
      <c r="H111" s="926" t="s">
        <v>2413</v>
      </c>
    </row>
    <row r="112" spans="1:8" ht="14.4">
      <c r="A112" s="162" t="s">
        <v>737</v>
      </c>
      <c r="B112" s="163" t="s">
        <v>736</v>
      </c>
      <c r="C112" s="934" t="s">
        <v>175</v>
      </c>
      <c r="D112" s="934"/>
      <c r="G112" s="926" t="s">
        <v>2087</v>
      </c>
      <c r="H112" s="926" t="s">
        <v>2088</v>
      </c>
    </row>
    <row r="113" spans="1:8" ht="14.4">
      <c r="A113" s="162" t="s">
        <v>739</v>
      </c>
      <c r="B113" s="163" t="s">
        <v>738</v>
      </c>
      <c r="C113" s="934" t="s">
        <v>1642</v>
      </c>
      <c r="D113" s="934" t="s">
        <v>113</v>
      </c>
      <c r="G113" s="926" t="s">
        <v>2181</v>
      </c>
      <c r="H113" s="926" t="s">
        <v>2182</v>
      </c>
    </row>
    <row r="114" spans="1:8" ht="14.4">
      <c r="A114" s="162" t="s">
        <v>741</v>
      </c>
      <c r="B114" s="163" t="s">
        <v>740</v>
      </c>
      <c r="C114" s="934" t="s">
        <v>1642</v>
      </c>
      <c r="D114" s="934" t="s">
        <v>113</v>
      </c>
      <c r="G114" s="926" t="s">
        <v>2241</v>
      </c>
      <c r="H114" s="926" t="s">
        <v>2242</v>
      </c>
    </row>
    <row r="115" spans="1:8" ht="14.4">
      <c r="A115" s="162" t="s">
        <v>743</v>
      </c>
      <c r="B115" s="163" t="s">
        <v>742</v>
      </c>
      <c r="C115" s="934" t="s">
        <v>155</v>
      </c>
      <c r="D115" s="934" t="s">
        <v>113</v>
      </c>
      <c r="G115" s="926" t="s">
        <v>2243</v>
      </c>
      <c r="H115" s="926" t="s">
        <v>2244</v>
      </c>
    </row>
    <row r="116" spans="1:8" ht="14.4">
      <c r="A116" s="162" t="s">
        <v>745</v>
      </c>
      <c r="B116" s="163" t="s">
        <v>744</v>
      </c>
      <c r="C116" s="934" t="s">
        <v>171</v>
      </c>
      <c r="D116" s="934" t="s">
        <v>113</v>
      </c>
      <c r="G116" s="926" t="s">
        <v>2245</v>
      </c>
      <c r="H116" s="926" t="s">
        <v>2246</v>
      </c>
    </row>
    <row r="117" spans="1:8" ht="14.4">
      <c r="A117" s="162" t="s">
        <v>747</v>
      </c>
      <c r="B117" s="163" t="s">
        <v>746</v>
      </c>
      <c r="C117" s="934" t="s">
        <v>175</v>
      </c>
      <c r="D117" s="934" t="s">
        <v>113</v>
      </c>
      <c r="G117" s="926" t="s">
        <v>2247</v>
      </c>
      <c r="H117" s="926" t="s">
        <v>2248</v>
      </c>
    </row>
    <row r="118" spans="1:8" ht="14.4">
      <c r="A118" s="162" t="s">
        <v>749</v>
      </c>
      <c r="B118" s="163" t="s">
        <v>748</v>
      </c>
      <c r="C118" s="934" t="s">
        <v>175</v>
      </c>
      <c r="D118" s="934"/>
      <c r="G118" s="926" t="s">
        <v>2680</v>
      </c>
      <c r="H118" s="926" t="s">
        <v>2681</v>
      </c>
    </row>
    <row r="119" spans="1:8" ht="14.4">
      <c r="A119" s="162" t="s">
        <v>517</v>
      </c>
      <c r="B119" s="163" t="s">
        <v>1564</v>
      </c>
      <c r="C119" s="934" t="s">
        <v>1638</v>
      </c>
      <c r="D119" s="934" t="s">
        <v>8</v>
      </c>
      <c r="G119" s="926" t="s">
        <v>824</v>
      </c>
      <c r="H119" s="926" t="s">
        <v>2183</v>
      </c>
    </row>
    <row r="120" spans="1:8" ht="14.4">
      <c r="A120" s="162" t="s">
        <v>1141</v>
      </c>
      <c r="B120" s="163" t="s">
        <v>1140</v>
      </c>
      <c r="C120" s="934" t="s">
        <v>1638</v>
      </c>
      <c r="D120" s="934" t="s">
        <v>8</v>
      </c>
      <c r="G120" s="926" t="s">
        <v>2203</v>
      </c>
      <c r="H120" s="926" t="s">
        <v>2204</v>
      </c>
    </row>
    <row r="121" spans="1:8" ht="14.4">
      <c r="A121" s="162" t="s">
        <v>516</v>
      </c>
      <c r="B121" s="163" t="s">
        <v>515</v>
      </c>
      <c r="C121" s="934" t="s">
        <v>1638</v>
      </c>
      <c r="D121" s="934" t="s">
        <v>1920</v>
      </c>
      <c r="G121" s="926" t="s">
        <v>2249</v>
      </c>
      <c r="H121" s="926" t="s">
        <v>2250</v>
      </c>
    </row>
    <row r="122" spans="1:8" ht="14.4">
      <c r="A122" s="162" t="s">
        <v>783</v>
      </c>
      <c r="B122" s="163" t="s">
        <v>782</v>
      </c>
      <c r="C122" s="934" t="s">
        <v>1638</v>
      </c>
      <c r="D122" s="934" t="s">
        <v>8</v>
      </c>
      <c r="G122" s="926" t="s">
        <v>2414</v>
      </c>
      <c r="H122" s="926" t="s">
        <v>2415</v>
      </c>
    </row>
    <row r="123" spans="1:8" ht="14.4">
      <c r="A123" s="162" t="s">
        <v>785</v>
      </c>
      <c r="B123" s="163" t="s">
        <v>784</v>
      </c>
      <c r="C123" s="934" t="s">
        <v>1638</v>
      </c>
      <c r="D123" s="934" t="s">
        <v>8</v>
      </c>
      <c r="G123" s="926" t="s">
        <v>2416</v>
      </c>
      <c r="H123" s="926" t="s">
        <v>2417</v>
      </c>
    </row>
    <row r="124" spans="1:8" ht="14.4">
      <c r="A124" s="162" t="s">
        <v>1139</v>
      </c>
      <c r="B124" s="163" t="s">
        <v>1138</v>
      </c>
      <c r="C124" s="934" t="s">
        <v>1638</v>
      </c>
      <c r="D124" s="934" t="s">
        <v>8</v>
      </c>
      <c r="G124" s="926" t="s">
        <v>2418</v>
      </c>
      <c r="H124" s="926" t="s">
        <v>2419</v>
      </c>
    </row>
    <row r="125" spans="1:8" ht="14.4">
      <c r="A125" s="162" t="s">
        <v>523</v>
      </c>
      <c r="B125" s="163" t="s">
        <v>522</v>
      </c>
      <c r="C125" s="934" t="s">
        <v>1638</v>
      </c>
      <c r="D125" s="934" t="s">
        <v>8</v>
      </c>
      <c r="G125" s="926" t="s">
        <v>2251</v>
      </c>
      <c r="H125" s="926" t="s">
        <v>2252</v>
      </c>
    </row>
    <row r="126" spans="1:8" ht="14.4">
      <c r="A126" s="162" t="s">
        <v>289</v>
      </c>
      <c r="B126" s="163" t="s">
        <v>288</v>
      </c>
      <c r="C126" s="934" t="s">
        <v>1638</v>
      </c>
      <c r="D126" s="934" t="s">
        <v>12</v>
      </c>
      <c r="G126" s="926" t="s">
        <v>2253</v>
      </c>
      <c r="H126" s="926" t="s">
        <v>2254</v>
      </c>
    </row>
    <row r="127" spans="1:8" ht="14.4">
      <c r="A127" s="162" t="s">
        <v>408</v>
      </c>
      <c r="B127" s="163" t="s">
        <v>1546</v>
      </c>
      <c r="C127" s="934" t="s">
        <v>1638</v>
      </c>
      <c r="D127" s="934" t="s">
        <v>13</v>
      </c>
      <c r="G127" s="926" t="s">
        <v>2255</v>
      </c>
      <c r="H127" s="926" t="s">
        <v>2256</v>
      </c>
    </row>
    <row r="128" spans="1:8" ht="14.4">
      <c r="A128" s="162" t="s">
        <v>407</v>
      </c>
      <c r="B128" s="163" t="s">
        <v>406</v>
      </c>
      <c r="C128" s="934" t="s">
        <v>1638</v>
      </c>
      <c r="D128" s="934" t="s">
        <v>13</v>
      </c>
      <c r="G128" s="926" t="s">
        <v>2257</v>
      </c>
      <c r="H128" s="926" t="s">
        <v>2258</v>
      </c>
    </row>
    <row r="129" spans="1:8" ht="14.4">
      <c r="A129" s="162" t="s">
        <v>390</v>
      </c>
      <c r="B129" s="163" t="s">
        <v>1415</v>
      </c>
      <c r="C129" s="934" t="s">
        <v>1638</v>
      </c>
      <c r="D129" s="934" t="s">
        <v>17</v>
      </c>
      <c r="G129" s="926" t="s">
        <v>2260</v>
      </c>
      <c r="H129" s="926" t="s">
        <v>2261</v>
      </c>
    </row>
    <row r="130" spans="1:8" ht="14.4">
      <c r="A130" s="162" t="s">
        <v>389</v>
      </c>
      <c r="B130" s="163" t="s">
        <v>388</v>
      </c>
      <c r="C130" s="934" t="s">
        <v>1638</v>
      </c>
      <c r="D130" s="934" t="s">
        <v>21</v>
      </c>
      <c r="G130" s="926" t="s">
        <v>2262</v>
      </c>
      <c r="H130" s="926" t="s">
        <v>2263</v>
      </c>
    </row>
    <row r="131" spans="1:8" ht="14.4">
      <c r="A131" s="162" t="s">
        <v>1519</v>
      </c>
      <c r="B131" s="163" t="s">
        <v>1555</v>
      </c>
      <c r="C131" s="934" t="s">
        <v>1638</v>
      </c>
      <c r="D131" s="934" t="s">
        <v>15</v>
      </c>
      <c r="G131" s="926" t="s">
        <v>2264</v>
      </c>
      <c r="H131" s="926" t="s">
        <v>2265</v>
      </c>
    </row>
    <row r="132" spans="1:8" ht="14.4">
      <c r="A132" s="162" t="s">
        <v>352</v>
      </c>
      <c r="B132" s="163" t="s">
        <v>351</v>
      </c>
      <c r="C132" s="934" t="s">
        <v>1638</v>
      </c>
      <c r="D132" s="934" t="s">
        <v>19</v>
      </c>
      <c r="G132" s="926" t="s">
        <v>2420</v>
      </c>
      <c r="H132" s="926" t="s">
        <v>2421</v>
      </c>
    </row>
    <row r="133" spans="1:8" ht="14.4">
      <c r="A133" s="162" t="s">
        <v>1421</v>
      </c>
      <c r="B133" s="163" t="s">
        <v>1420</v>
      </c>
      <c r="C133" s="934" t="s">
        <v>1638</v>
      </c>
      <c r="D133" s="934" t="s">
        <v>1927</v>
      </c>
      <c r="G133" s="926" t="s">
        <v>2266</v>
      </c>
      <c r="H133" s="926" t="s">
        <v>2267</v>
      </c>
    </row>
    <row r="134" spans="1:8" ht="14.4">
      <c r="A134" s="163" t="s">
        <v>1414</v>
      </c>
      <c r="B134" s="163" t="s">
        <v>1413</v>
      </c>
      <c r="C134" s="934" t="s">
        <v>1638</v>
      </c>
      <c r="D134" s="934" t="s">
        <v>1927</v>
      </c>
      <c r="G134" s="926" t="s">
        <v>2268</v>
      </c>
      <c r="H134" s="926" t="s">
        <v>2269</v>
      </c>
    </row>
    <row r="135" spans="1:8" ht="14.4">
      <c r="A135" s="162" t="s">
        <v>1173</v>
      </c>
      <c r="B135" s="163" t="s">
        <v>1172</v>
      </c>
      <c r="C135" s="934" t="s">
        <v>1638</v>
      </c>
      <c r="D135" s="934" t="s">
        <v>40</v>
      </c>
      <c r="G135" s="926" t="s">
        <v>2270</v>
      </c>
      <c r="H135" s="926" t="s">
        <v>2271</v>
      </c>
    </row>
    <row r="136" spans="1:8" ht="14.4">
      <c r="A136" s="162" t="s">
        <v>1518</v>
      </c>
      <c r="B136" s="163" t="s">
        <v>1517</v>
      </c>
      <c r="C136" s="934" t="s">
        <v>1638</v>
      </c>
      <c r="D136" s="934" t="s">
        <v>15</v>
      </c>
      <c r="G136" s="926" t="s">
        <v>2272</v>
      </c>
      <c r="H136" s="926" t="s">
        <v>2273</v>
      </c>
    </row>
    <row r="137" spans="1:8" ht="14.4">
      <c r="A137" s="162" t="s">
        <v>1197</v>
      </c>
      <c r="B137" s="163" t="s">
        <v>1196</v>
      </c>
      <c r="C137" s="934" t="s">
        <v>1638</v>
      </c>
      <c r="D137" s="934" t="s">
        <v>1927</v>
      </c>
      <c r="G137" s="926" t="s">
        <v>2205</v>
      </c>
      <c r="H137" s="926" t="s">
        <v>2206</v>
      </c>
    </row>
    <row r="138" spans="1:8" ht="14.4">
      <c r="A138" s="162" t="s">
        <v>787</v>
      </c>
      <c r="B138" s="163" t="s">
        <v>786</v>
      </c>
      <c r="C138" s="934" t="s">
        <v>1638</v>
      </c>
      <c r="D138" s="934" t="s">
        <v>25</v>
      </c>
      <c r="G138" s="926" t="s">
        <v>2274</v>
      </c>
      <c r="H138" s="926" t="s">
        <v>2275</v>
      </c>
    </row>
    <row r="139" spans="1:8" ht="14.4">
      <c r="A139" s="162" t="s">
        <v>524</v>
      </c>
      <c r="B139" s="163" t="s">
        <v>788</v>
      </c>
      <c r="C139" s="934" t="s">
        <v>1638</v>
      </c>
      <c r="D139" s="934" t="s">
        <v>1927</v>
      </c>
      <c r="G139" s="926" t="s">
        <v>2276</v>
      </c>
      <c r="H139" s="926" t="s">
        <v>2277</v>
      </c>
    </row>
    <row r="140" spans="1:8" ht="14.4">
      <c r="A140" s="162" t="s">
        <v>344</v>
      </c>
      <c r="B140" s="163" t="s">
        <v>1571</v>
      </c>
      <c r="C140" s="934" t="s">
        <v>1638</v>
      </c>
      <c r="D140" s="934" t="s">
        <v>29</v>
      </c>
      <c r="G140" s="926" t="s">
        <v>2278</v>
      </c>
      <c r="H140" s="926" t="s">
        <v>2279</v>
      </c>
    </row>
    <row r="141" spans="1:8" ht="14.4">
      <c r="A141" s="162" t="s">
        <v>953</v>
      </c>
      <c r="B141" s="163" t="s">
        <v>952</v>
      </c>
      <c r="C141" s="934" t="s">
        <v>1638</v>
      </c>
      <c r="D141" s="934">
        <v>0</v>
      </c>
      <c r="G141" s="926" t="s">
        <v>2280</v>
      </c>
      <c r="H141" s="926" t="s">
        <v>2281</v>
      </c>
    </row>
    <row r="142" spans="1:8" ht="14.4">
      <c r="A142" s="162" t="s">
        <v>455</v>
      </c>
      <c r="B142" s="163" t="s">
        <v>454</v>
      </c>
      <c r="C142" s="934" t="s">
        <v>1638</v>
      </c>
      <c r="D142" s="934" t="s">
        <v>29</v>
      </c>
      <c r="G142" s="926" t="s">
        <v>2282</v>
      </c>
      <c r="H142" s="926" t="s">
        <v>2283</v>
      </c>
    </row>
    <row r="143" spans="1:8" ht="14.4">
      <c r="A143" s="162" t="s">
        <v>439</v>
      </c>
      <c r="B143" s="163" t="s">
        <v>438</v>
      </c>
      <c r="C143" s="934" t="s">
        <v>1638</v>
      </c>
      <c r="D143" s="934" t="s">
        <v>31</v>
      </c>
      <c r="G143" s="926" t="s">
        <v>2284</v>
      </c>
      <c r="H143" s="926" t="s">
        <v>2285</v>
      </c>
    </row>
    <row r="144" spans="1:8" ht="14.4">
      <c r="A144" s="162" t="s">
        <v>304</v>
      </c>
      <c r="B144" s="163" t="s">
        <v>303</v>
      </c>
      <c r="C144" s="934" t="s">
        <v>1638</v>
      </c>
      <c r="D144" s="934" t="s">
        <v>31</v>
      </c>
      <c r="G144" s="926" t="s">
        <v>2286</v>
      </c>
      <c r="H144" s="926" t="s">
        <v>2287</v>
      </c>
    </row>
    <row r="145" spans="1:8" ht="14.4">
      <c r="A145" s="162" t="s">
        <v>955</v>
      </c>
      <c r="B145" s="163" t="s">
        <v>954</v>
      </c>
      <c r="C145" s="934" t="s">
        <v>1638</v>
      </c>
      <c r="D145" s="934" t="s">
        <v>147</v>
      </c>
      <c r="G145" s="926" t="s">
        <v>2288</v>
      </c>
      <c r="H145" s="926" t="s">
        <v>2289</v>
      </c>
    </row>
    <row r="146" spans="1:8" ht="14.4">
      <c r="A146" s="162" t="s">
        <v>343</v>
      </c>
      <c r="B146" s="163" t="s">
        <v>342</v>
      </c>
      <c r="C146" s="934" t="s">
        <v>1638</v>
      </c>
      <c r="D146" s="934" t="s">
        <v>29</v>
      </c>
      <c r="G146" s="926" t="s">
        <v>2290</v>
      </c>
      <c r="H146" s="926" t="s">
        <v>2291</v>
      </c>
    </row>
    <row r="147" spans="1:8" ht="14.4">
      <c r="A147" s="162" t="s">
        <v>957</v>
      </c>
      <c r="B147" s="163" t="s">
        <v>956</v>
      </c>
      <c r="C147" s="934" t="s">
        <v>1638</v>
      </c>
      <c r="D147" s="934">
        <v>0</v>
      </c>
      <c r="G147" s="926" t="s">
        <v>2292</v>
      </c>
      <c r="H147" s="926" t="s">
        <v>2293</v>
      </c>
    </row>
    <row r="148" spans="1:8" ht="14.4">
      <c r="A148" s="162" t="s">
        <v>1573</v>
      </c>
      <c r="B148" s="163" t="s">
        <v>1572</v>
      </c>
      <c r="C148" s="934" t="s">
        <v>1638</v>
      </c>
      <c r="D148" s="934" t="s">
        <v>29</v>
      </c>
      <c r="G148" s="926" t="s">
        <v>2018</v>
      </c>
      <c r="H148" s="926" t="s">
        <v>2019</v>
      </c>
    </row>
    <row r="149" spans="1:8" ht="14.4">
      <c r="A149" s="162" t="s">
        <v>959</v>
      </c>
      <c r="B149" s="163" t="s">
        <v>958</v>
      </c>
      <c r="C149" s="934" t="s">
        <v>1638</v>
      </c>
      <c r="D149" s="934">
        <v>0</v>
      </c>
      <c r="G149" s="926" t="s">
        <v>2473</v>
      </c>
      <c r="H149" s="926" t="s">
        <v>2474</v>
      </c>
    </row>
    <row r="150" spans="1:8" ht="14.4">
      <c r="A150" s="162" t="s">
        <v>402</v>
      </c>
      <c r="B150" s="163" t="s">
        <v>401</v>
      </c>
      <c r="C150" s="934" t="s">
        <v>1638</v>
      </c>
      <c r="D150" s="934" t="s">
        <v>33</v>
      </c>
      <c r="G150" s="926" t="s">
        <v>2422</v>
      </c>
      <c r="H150" s="926" t="s">
        <v>2423</v>
      </c>
    </row>
    <row r="151" spans="1:8" ht="14.4">
      <c r="A151" s="162" t="s">
        <v>1497</v>
      </c>
      <c r="B151" s="163" t="s">
        <v>1496</v>
      </c>
      <c r="C151" s="934" t="s">
        <v>1638</v>
      </c>
      <c r="D151" s="934" t="s">
        <v>33</v>
      </c>
      <c r="G151" s="926" t="s">
        <v>2475</v>
      </c>
      <c r="H151" s="926" t="s">
        <v>2476</v>
      </c>
    </row>
    <row r="152" spans="1:8" ht="14.4">
      <c r="A152" s="162" t="s">
        <v>790</v>
      </c>
      <c r="B152" s="163" t="s">
        <v>789</v>
      </c>
      <c r="C152" s="934" t="s">
        <v>1638</v>
      </c>
      <c r="D152" s="934" t="s">
        <v>33</v>
      </c>
      <c r="G152" s="926" t="s">
        <v>2424</v>
      </c>
      <c r="H152" s="926" t="s">
        <v>2425</v>
      </c>
    </row>
    <row r="153" spans="1:8" ht="14.4">
      <c r="A153" s="162" t="s">
        <v>1438</v>
      </c>
      <c r="B153" s="163" t="s">
        <v>1437</v>
      </c>
      <c r="C153" s="934" t="s">
        <v>1638</v>
      </c>
      <c r="D153" s="934" t="s">
        <v>39</v>
      </c>
      <c r="G153" s="926" t="s">
        <v>2477</v>
      </c>
      <c r="H153" s="926" t="s">
        <v>2478</v>
      </c>
    </row>
    <row r="154" spans="1:8" ht="14.4">
      <c r="A154" s="162" t="s">
        <v>1472</v>
      </c>
      <c r="B154" s="163" t="s">
        <v>1471</v>
      </c>
      <c r="C154" s="934" t="s">
        <v>1638</v>
      </c>
      <c r="D154" s="934" t="s">
        <v>41</v>
      </c>
      <c r="G154" s="926" t="s">
        <v>2011</v>
      </c>
      <c r="H154" s="926" t="s">
        <v>2012</v>
      </c>
    </row>
    <row r="155" spans="1:8" ht="14.4">
      <c r="A155" s="162" t="s">
        <v>502</v>
      </c>
      <c r="B155" s="163" t="s">
        <v>501</v>
      </c>
      <c r="C155" s="934" t="s">
        <v>1638</v>
      </c>
      <c r="D155" s="934" t="s">
        <v>33</v>
      </c>
      <c r="G155" s="926" t="s">
        <v>2479</v>
      </c>
      <c r="H155" s="926" t="s">
        <v>2480</v>
      </c>
    </row>
    <row r="156" spans="1:8" ht="14.4">
      <c r="A156" s="162" t="s">
        <v>1436</v>
      </c>
      <c r="B156" s="163" t="s">
        <v>1435</v>
      </c>
      <c r="C156" s="934" t="s">
        <v>1638</v>
      </c>
      <c r="D156" s="934" t="s">
        <v>33</v>
      </c>
      <c r="G156" s="926" t="s">
        <v>2426</v>
      </c>
      <c r="H156" s="926" t="s">
        <v>2427</v>
      </c>
    </row>
    <row r="157" spans="1:8" ht="14.4">
      <c r="A157" s="162" t="s">
        <v>1430</v>
      </c>
      <c r="B157" s="163" t="s">
        <v>1429</v>
      </c>
      <c r="C157" s="934" t="s">
        <v>1638</v>
      </c>
      <c r="D157" s="934" t="s">
        <v>43</v>
      </c>
      <c r="G157" s="926" t="s">
        <v>2481</v>
      </c>
      <c r="H157" s="926" t="s">
        <v>2482</v>
      </c>
    </row>
    <row r="158" spans="1:8" ht="14.4">
      <c r="A158" s="162" t="s">
        <v>490</v>
      </c>
      <c r="B158" s="163" t="s">
        <v>489</v>
      </c>
      <c r="C158" s="934" t="s">
        <v>1638</v>
      </c>
      <c r="D158" s="934" t="s">
        <v>43</v>
      </c>
      <c r="G158" s="926" t="s">
        <v>2294</v>
      </c>
      <c r="H158" s="926" t="s">
        <v>339</v>
      </c>
    </row>
    <row r="159" spans="1:8" ht="14.4">
      <c r="A159" s="162" t="s">
        <v>1426</v>
      </c>
      <c r="B159" s="163" t="s">
        <v>1425</v>
      </c>
      <c r="C159" s="934" t="s">
        <v>1638</v>
      </c>
      <c r="D159" s="934" t="s">
        <v>43</v>
      </c>
      <c r="G159" s="926" t="s">
        <v>2006</v>
      </c>
      <c r="H159" s="926" t="s">
        <v>2007</v>
      </c>
    </row>
    <row r="160" spans="1:8" ht="14.4">
      <c r="A160" s="162" t="s">
        <v>492</v>
      </c>
      <c r="B160" s="163" t="s">
        <v>491</v>
      </c>
      <c r="C160" s="934" t="s">
        <v>1638</v>
      </c>
      <c r="D160" s="934" t="s">
        <v>43</v>
      </c>
      <c r="G160" s="926" t="s">
        <v>2483</v>
      </c>
      <c r="H160" s="926" t="s">
        <v>2484</v>
      </c>
    </row>
    <row r="161" spans="1:8" ht="14.4">
      <c r="A161" s="162" t="s">
        <v>466</v>
      </c>
      <c r="B161" s="163" t="s">
        <v>465</v>
      </c>
      <c r="C161" s="934" t="s">
        <v>1638</v>
      </c>
      <c r="D161" s="934" t="s">
        <v>43</v>
      </c>
      <c r="G161" s="926" t="s">
        <v>2428</v>
      </c>
      <c r="H161" s="926" t="s">
        <v>2429</v>
      </c>
    </row>
    <row r="162" spans="1:8" ht="14.4">
      <c r="A162" s="162" t="s">
        <v>460</v>
      </c>
      <c r="B162" s="163" t="s">
        <v>459</v>
      </c>
      <c r="C162" s="934" t="s">
        <v>1638</v>
      </c>
      <c r="D162" s="934" t="s">
        <v>40</v>
      </c>
      <c r="G162" s="926" t="s">
        <v>2485</v>
      </c>
      <c r="H162" s="926" t="s">
        <v>2486</v>
      </c>
    </row>
    <row r="163" spans="1:8" ht="14.4">
      <c r="A163" s="162" t="s">
        <v>536</v>
      </c>
      <c r="B163" s="163" t="s">
        <v>535</v>
      </c>
      <c r="C163" s="934" t="s">
        <v>1638</v>
      </c>
      <c r="D163" s="934" t="s">
        <v>43</v>
      </c>
      <c r="G163" s="926" t="s">
        <v>2430</v>
      </c>
      <c r="H163" s="926" t="s">
        <v>2431</v>
      </c>
    </row>
    <row r="164" spans="1:8" ht="14.4">
      <c r="A164" s="162" t="s">
        <v>538</v>
      </c>
      <c r="B164" s="163" t="s">
        <v>537</v>
      </c>
      <c r="C164" s="934" t="s">
        <v>1638</v>
      </c>
      <c r="D164" s="934" t="s">
        <v>43</v>
      </c>
      <c r="G164" s="926" t="s">
        <v>2487</v>
      </c>
      <c r="H164" s="926" t="s">
        <v>2488</v>
      </c>
    </row>
    <row r="165" spans="1:8" ht="14.4">
      <c r="A165" s="163" t="s">
        <v>1367</v>
      </c>
      <c r="B165" s="163" t="s">
        <v>1366</v>
      </c>
      <c r="C165" s="934" t="s">
        <v>1638</v>
      </c>
      <c r="D165" s="934" t="s">
        <v>43</v>
      </c>
      <c r="G165" s="926" t="s">
        <v>1995</v>
      </c>
      <c r="H165" s="926" t="s">
        <v>1996</v>
      </c>
    </row>
    <row r="166" spans="1:8" ht="14.4">
      <c r="A166" s="162" t="s">
        <v>446</v>
      </c>
      <c r="B166" s="163" t="s">
        <v>445</v>
      </c>
      <c r="C166" s="934" t="s">
        <v>1638</v>
      </c>
      <c r="D166" s="934" t="s">
        <v>43</v>
      </c>
      <c r="G166" s="926" t="s">
        <v>2489</v>
      </c>
      <c r="H166" s="926" t="s">
        <v>2490</v>
      </c>
    </row>
    <row r="167" spans="1:8" ht="14.4">
      <c r="A167" s="162" t="s">
        <v>1158</v>
      </c>
      <c r="B167" s="163" t="s">
        <v>1157</v>
      </c>
      <c r="C167" s="934" t="s">
        <v>1638</v>
      </c>
      <c r="D167" s="934" t="s">
        <v>43</v>
      </c>
      <c r="G167" s="926" t="s">
        <v>2023</v>
      </c>
      <c r="H167" s="926" t="s">
        <v>2024</v>
      </c>
    </row>
    <row r="168" spans="1:8" ht="14.4">
      <c r="A168" s="162" t="s">
        <v>425</v>
      </c>
      <c r="B168" s="163" t="s">
        <v>424</v>
      </c>
      <c r="C168" s="934" t="s">
        <v>1638</v>
      </c>
      <c r="D168" s="934" t="s">
        <v>43</v>
      </c>
      <c r="G168" s="926" t="s">
        <v>2491</v>
      </c>
      <c r="H168" s="926" t="s">
        <v>2492</v>
      </c>
    </row>
    <row r="169" spans="1:8" ht="14.4">
      <c r="A169" s="162" t="s">
        <v>482</v>
      </c>
      <c r="B169" s="163" t="s">
        <v>481</v>
      </c>
      <c r="C169" s="934" t="s">
        <v>1638</v>
      </c>
      <c r="D169" s="934" t="s">
        <v>40</v>
      </c>
      <c r="G169" s="926" t="s">
        <v>1991</v>
      </c>
      <c r="H169" s="926" t="s">
        <v>1992</v>
      </c>
    </row>
    <row r="170" spans="1:8" ht="14.4">
      <c r="A170" s="163" t="s">
        <v>1296</v>
      </c>
      <c r="B170" s="163" t="s">
        <v>1295</v>
      </c>
      <c r="C170" s="934" t="s">
        <v>1638</v>
      </c>
      <c r="D170" s="934" t="s">
        <v>40</v>
      </c>
      <c r="G170" s="926" t="s">
        <v>2493</v>
      </c>
      <c r="H170" s="926" t="s">
        <v>2494</v>
      </c>
    </row>
    <row r="171" spans="1:8" ht="14.4">
      <c r="A171" s="162" t="s">
        <v>474</v>
      </c>
      <c r="B171" s="163" t="s">
        <v>473</v>
      </c>
      <c r="C171" s="934" t="s">
        <v>1638</v>
      </c>
      <c r="D171" s="934" t="s">
        <v>43</v>
      </c>
      <c r="G171" s="926" t="s">
        <v>2021</v>
      </c>
      <c r="H171" s="926" t="s">
        <v>2022</v>
      </c>
    </row>
    <row r="172" spans="1:8" ht="14.4">
      <c r="A172" s="162" t="s">
        <v>1476</v>
      </c>
      <c r="B172" s="163" t="s">
        <v>1475</v>
      </c>
      <c r="C172" s="934" t="s">
        <v>1638</v>
      </c>
      <c r="D172" s="934" t="s">
        <v>43</v>
      </c>
      <c r="G172" s="926" t="s">
        <v>2495</v>
      </c>
      <c r="H172" s="926" t="s">
        <v>2496</v>
      </c>
    </row>
    <row r="173" spans="1:8" ht="14.4">
      <c r="A173" s="162" t="s">
        <v>484</v>
      </c>
      <c r="B173" s="163" t="s">
        <v>483</v>
      </c>
      <c r="C173" s="934" t="s">
        <v>1638</v>
      </c>
      <c r="D173" s="934" t="s">
        <v>43</v>
      </c>
      <c r="G173" s="926" t="s">
        <v>2432</v>
      </c>
      <c r="H173" s="926" t="s">
        <v>2433</v>
      </c>
    </row>
    <row r="174" spans="1:8" ht="14.4">
      <c r="A174" s="162" t="s">
        <v>316</v>
      </c>
      <c r="B174" s="163" t="s">
        <v>315</v>
      </c>
      <c r="C174" s="934" t="s">
        <v>1638</v>
      </c>
      <c r="D174" s="934" t="s">
        <v>43</v>
      </c>
      <c r="G174" s="926" t="s">
        <v>2498</v>
      </c>
      <c r="H174" s="926" t="s">
        <v>2499</v>
      </c>
    </row>
    <row r="175" spans="1:8" ht="14.4">
      <c r="A175" s="162" t="s">
        <v>476</v>
      </c>
      <c r="B175" s="163" t="s">
        <v>475</v>
      </c>
      <c r="C175" s="934" t="s">
        <v>1638</v>
      </c>
      <c r="D175" s="934" t="s">
        <v>43</v>
      </c>
      <c r="G175" s="926" t="s">
        <v>1997</v>
      </c>
      <c r="H175" s="926" t="s">
        <v>1998</v>
      </c>
    </row>
    <row r="176" spans="1:8" ht="14.4">
      <c r="A176" s="163" t="s">
        <v>1274</v>
      </c>
      <c r="B176" s="163" t="s">
        <v>1273</v>
      </c>
      <c r="C176" s="934" t="s">
        <v>1638</v>
      </c>
      <c r="D176" s="934" t="s">
        <v>43</v>
      </c>
      <c r="G176" s="926" t="s">
        <v>2500</v>
      </c>
      <c r="H176" s="926" t="s">
        <v>2501</v>
      </c>
    </row>
    <row r="177" spans="1:8" ht="14.4">
      <c r="A177" s="162" t="s">
        <v>1149</v>
      </c>
      <c r="B177" s="163" t="s">
        <v>1148</v>
      </c>
      <c r="C177" s="934" t="s">
        <v>1638</v>
      </c>
      <c r="D177" s="934" t="s">
        <v>43</v>
      </c>
      <c r="G177" s="926" t="s">
        <v>1993</v>
      </c>
      <c r="H177" s="926" t="s">
        <v>1994</v>
      </c>
    </row>
    <row r="178" spans="1:8" ht="14.4">
      <c r="A178" s="162" t="s">
        <v>792</v>
      </c>
      <c r="B178" s="163" t="s">
        <v>791</v>
      </c>
      <c r="C178" s="934" t="s">
        <v>1638</v>
      </c>
      <c r="D178" s="934" t="s">
        <v>53</v>
      </c>
      <c r="G178" s="926" t="s">
        <v>2502</v>
      </c>
      <c r="H178" s="926" t="s">
        <v>2503</v>
      </c>
    </row>
    <row r="179" spans="1:8" ht="14.4">
      <c r="A179" s="162" t="s">
        <v>478</v>
      </c>
      <c r="B179" s="163" t="s">
        <v>477</v>
      </c>
      <c r="C179" s="934" t="s">
        <v>1638</v>
      </c>
      <c r="D179" s="934" t="s">
        <v>53</v>
      </c>
      <c r="G179" s="926" t="s">
        <v>2295</v>
      </c>
      <c r="H179" s="926" t="s">
        <v>2296</v>
      </c>
    </row>
    <row r="180" spans="1:8" ht="14.4">
      <c r="A180" s="162" t="s">
        <v>794</v>
      </c>
      <c r="B180" s="163" t="s">
        <v>793</v>
      </c>
      <c r="C180" s="934" t="s">
        <v>1638</v>
      </c>
      <c r="D180" s="934" t="s">
        <v>53</v>
      </c>
      <c r="G180" s="926" t="s">
        <v>2434</v>
      </c>
      <c r="H180" s="926" t="s">
        <v>2435</v>
      </c>
    </row>
    <row r="181" spans="1:8" ht="14.4">
      <c r="A181" s="162" t="s">
        <v>431</v>
      </c>
      <c r="B181" s="163" t="s">
        <v>430</v>
      </c>
      <c r="C181" s="934" t="s">
        <v>1638</v>
      </c>
      <c r="D181" s="934" t="s">
        <v>53</v>
      </c>
      <c r="G181" s="926" t="s">
        <v>2504</v>
      </c>
      <c r="H181" s="926" t="s">
        <v>2505</v>
      </c>
    </row>
    <row r="182" spans="1:8" ht="14.4">
      <c r="A182" s="162" t="s">
        <v>796</v>
      </c>
      <c r="B182" s="163" t="s">
        <v>795</v>
      </c>
      <c r="C182" s="934" t="s">
        <v>1638</v>
      </c>
      <c r="D182" s="934" t="s">
        <v>57</v>
      </c>
      <c r="G182" s="926" t="s">
        <v>2298</v>
      </c>
      <c r="H182" s="926" t="s">
        <v>2299</v>
      </c>
    </row>
    <row r="183" spans="1:8" ht="14.4">
      <c r="A183" s="162" t="s">
        <v>437</v>
      </c>
      <c r="B183" s="163" t="s">
        <v>436</v>
      </c>
      <c r="C183" s="934" t="s">
        <v>1638</v>
      </c>
      <c r="D183" s="934" t="s">
        <v>57</v>
      </c>
      <c r="G183" s="926" t="s">
        <v>2300</v>
      </c>
      <c r="H183" s="926" t="s">
        <v>2301</v>
      </c>
    </row>
    <row r="184" spans="1:8" ht="14.4">
      <c r="A184" s="162" t="s">
        <v>798</v>
      </c>
      <c r="B184" s="163" t="s">
        <v>797</v>
      </c>
      <c r="C184" s="934" t="s">
        <v>1638</v>
      </c>
      <c r="D184" s="934" t="s">
        <v>57</v>
      </c>
      <c r="G184" s="926" t="s">
        <v>2302</v>
      </c>
      <c r="H184" s="926" t="s">
        <v>2303</v>
      </c>
    </row>
    <row r="185" spans="1:8" ht="14.4">
      <c r="A185" s="162" t="s">
        <v>540</v>
      </c>
      <c r="B185" s="163" t="s">
        <v>539</v>
      </c>
      <c r="C185" s="934" t="s">
        <v>1638</v>
      </c>
      <c r="D185" s="934" t="s">
        <v>57</v>
      </c>
      <c r="G185" s="926" t="s">
        <v>2304</v>
      </c>
      <c r="H185" s="926" t="s">
        <v>2305</v>
      </c>
    </row>
    <row r="186" spans="1:8" ht="14.4">
      <c r="A186" s="162" t="s">
        <v>800</v>
      </c>
      <c r="B186" s="163" t="s">
        <v>799</v>
      </c>
      <c r="C186" s="934" t="s">
        <v>1638</v>
      </c>
      <c r="D186" s="934" t="s">
        <v>57</v>
      </c>
      <c r="G186" s="926" t="s">
        <v>2306</v>
      </c>
      <c r="H186" s="926" t="s">
        <v>2307</v>
      </c>
    </row>
    <row r="187" spans="1:8" ht="14.4">
      <c r="A187" s="162" t="s">
        <v>802</v>
      </c>
      <c r="B187" s="163" t="s">
        <v>801</v>
      </c>
      <c r="C187" s="934" t="s">
        <v>1638</v>
      </c>
      <c r="D187" s="934" t="s">
        <v>57</v>
      </c>
      <c r="G187" s="926" t="s">
        <v>2308</v>
      </c>
      <c r="H187" s="926" t="s">
        <v>2309</v>
      </c>
    </row>
    <row r="188" spans="1:8" ht="14.4">
      <c r="A188" s="162" t="s">
        <v>804</v>
      </c>
      <c r="B188" s="163" t="s">
        <v>803</v>
      </c>
      <c r="C188" s="934" t="s">
        <v>1638</v>
      </c>
      <c r="D188" s="934" t="s">
        <v>60</v>
      </c>
      <c r="G188" s="926" t="s">
        <v>2310</v>
      </c>
      <c r="H188" s="926" t="s">
        <v>2311</v>
      </c>
    </row>
    <row r="189" spans="1:8" ht="14.4">
      <c r="A189" s="162" t="s">
        <v>532</v>
      </c>
      <c r="B189" s="163" t="s">
        <v>531</v>
      </c>
      <c r="C189" s="934" t="s">
        <v>1638</v>
      </c>
      <c r="D189" s="934" t="s">
        <v>60</v>
      </c>
      <c r="G189" s="926" t="s">
        <v>2031</v>
      </c>
      <c r="H189" s="926" t="s">
        <v>2032</v>
      </c>
    </row>
    <row r="190" spans="1:8" ht="14.4">
      <c r="A190" s="162" t="s">
        <v>806</v>
      </c>
      <c r="B190" s="163" t="s">
        <v>805</v>
      </c>
      <c r="C190" s="934" t="s">
        <v>1638</v>
      </c>
      <c r="D190" s="934" t="s">
        <v>1921</v>
      </c>
      <c r="G190" s="926" t="s">
        <v>2506</v>
      </c>
      <c r="H190" s="926" t="s">
        <v>2507</v>
      </c>
    </row>
    <row r="191" spans="1:8" ht="14.4">
      <c r="A191" s="162" t="s">
        <v>468</v>
      </c>
      <c r="B191" s="163" t="s">
        <v>467</v>
      </c>
      <c r="C191" s="934" t="s">
        <v>1638</v>
      </c>
      <c r="D191" s="934" t="s">
        <v>1921</v>
      </c>
      <c r="G191" s="926" t="s">
        <v>2312</v>
      </c>
      <c r="H191" s="926" t="s">
        <v>2313</v>
      </c>
    </row>
    <row r="192" spans="1:8" ht="14.4">
      <c r="A192" s="162" t="s">
        <v>808</v>
      </c>
      <c r="B192" s="163" t="s">
        <v>807</v>
      </c>
      <c r="C192" s="934" t="s">
        <v>1638</v>
      </c>
      <c r="D192" s="934" t="s">
        <v>60</v>
      </c>
      <c r="G192" s="926" t="s">
        <v>1999</v>
      </c>
      <c r="H192" s="926" t="s">
        <v>2000</v>
      </c>
    </row>
    <row r="193" spans="1:8" ht="14.4">
      <c r="A193" s="162" t="s">
        <v>810</v>
      </c>
      <c r="B193" s="163" t="s">
        <v>809</v>
      </c>
      <c r="C193" s="934" t="s">
        <v>1638</v>
      </c>
      <c r="D193" s="934" t="s">
        <v>60</v>
      </c>
      <c r="G193" s="926" t="s">
        <v>2508</v>
      </c>
      <c r="H193" s="926" t="s">
        <v>2509</v>
      </c>
    </row>
    <row r="194" spans="1:8" ht="14.4">
      <c r="A194" s="162" t="s">
        <v>812</v>
      </c>
      <c r="B194" s="163" t="s">
        <v>811</v>
      </c>
      <c r="C194" s="934" t="s">
        <v>1638</v>
      </c>
      <c r="D194" s="934" t="s">
        <v>1921</v>
      </c>
      <c r="G194" s="926" t="s">
        <v>2314</v>
      </c>
      <c r="H194" s="926" t="s">
        <v>2315</v>
      </c>
    </row>
    <row r="195" spans="1:8" ht="14.4">
      <c r="A195" s="162" t="s">
        <v>814</v>
      </c>
      <c r="B195" s="163" t="s">
        <v>813</v>
      </c>
      <c r="C195" s="934" t="s">
        <v>1638</v>
      </c>
      <c r="D195" s="934" t="s">
        <v>1921</v>
      </c>
      <c r="G195" s="926" t="s">
        <v>2316</v>
      </c>
      <c r="H195" s="926" t="s">
        <v>2317</v>
      </c>
    </row>
    <row r="196" spans="1:8" ht="14.4">
      <c r="A196" s="162" t="s">
        <v>1169</v>
      </c>
      <c r="B196" s="163" t="s">
        <v>1168</v>
      </c>
      <c r="C196" s="934" t="s">
        <v>1638</v>
      </c>
      <c r="D196" s="934" t="s">
        <v>59</v>
      </c>
      <c r="G196" s="926" t="s">
        <v>2004</v>
      </c>
      <c r="H196" s="926" t="s">
        <v>2005</v>
      </c>
    </row>
    <row r="197" spans="1:8" ht="14.4">
      <c r="A197" s="162" t="s">
        <v>486</v>
      </c>
      <c r="B197" s="163" t="s">
        <v>485</v>
      </c>
      <c r="C197" s="934" t="s">
        <v>1638</v>
      </c>
      <c r="D197" s="934" t="s">
        <v>59</v>
      </c>
      <c r="G197" s="926" t="s">
        <v>2004</v>
      </c>
      <c r="H197" s="926" t="s">
        <v>2510</v>
      </c>
    </row>
    <row r="198" spans="1:8" ht="14.4">
      <c r="A198" s="162" t="s">
        <v>816</v>
      </c>
      <c r="B198" s="163" t="s">
        <v>815</v>
      </c>
      <c r="C198" s="934" t="s">
        <v>1638</v>
      </c>
      <c r="D198" s="934" t="s">
        <v>59</v>
      </c>
      <c r="G198" s="926" t="s">
        <v>2184</v>
      </c>
      <c r="H198" s="926" t="s">
        <v>2185</v>
      </c>
    </row>
    <row r="199" spans="1:8" ht="14.4">
      <c r="A199" s="162" t="s">
        <v>818</v>
      </c>
      <c r="B199" s="163" t="s">
        <v>817</v>
      </c>
      <c r="C199" s="934" t="s">
        <v>1638</v>
      </c>
      <c r="D199" s="934" t="s">
        <v>59</v>
      </c>
      <c r="G199" s="926" t="s">
        <v>2511</v>
      </c>
      <c r="H199" s="926" t="s">
        <v>2512</v>
      </c>
    </row>
    <row r="200" spans="1:8" ht="14.4">
      <c r="A200" s="162" t="s">
        <v>820</v>
      </c>
      <c r="B200" s="163" t="s">
        <v>819</v>
      </c>
      <c r="C200" s="934" t="s">
        <v>1638</v>
      </c>
      <c r="D200" s="934" t="s">
        <v>62</v>
      </c>
      <c r="G200" s="926" t="s">
        <v>2034</v>
      </c>
      <c r="H200" s="926" t="s">
        <v>2035</v>
      </c>
    </row>
    <row r="201" spans="1:8" ht="14.4">
      <c r="A201" s="162" t="s">
        <v>514</v>
      </c>
      <c r="B201" s="163" t="s">
        <v>513</v>
      </c>
      <c r="C201" s="934" t="s">
        <v>1638</v>
      </c>
      <c r="D201" s="934" t="s">
        <v>1922</v>
      </c>
      <c r="G201" s="926" t="s">
        <v>2034</v>
      </c>
      <c r="H201" s="926" t="s">
        <v>2513</v>
      </c>
    </row>
    <row r="202" spans="1:8" ht="14.4">
      <c r="A202" s="163" t="s">
        <v>1336</v>
      </c>
      <c r="B202" s="163" t="s">
        <v>1335</v>
      </c>
      <c r="C202" s="934" t="s">
        <v>1638</v>
      </c>
      <c r="D202" s="934" t="s">
        <v>1927</v>
      </c>
      <c r="G202" s="926" t="s">
        <v>2044</v>
      </c>
      <c r="H202" s="926" t="s">
        <v>2045</v>
      </c>
    </row>
    <row r="203" spans="1:8" ht="14.4">
      <c r="A203" s="162" t="s">
        <v>278</v>
      </c>
      <c r="B203" s="163" t="s">
        <v>277</v>
      </c>
      <c r="C203" s="934" t="s">
        <v>1638</v>
      </c>
      <c r="D203" s="934" t="s">
        <v>30</v>
      </c>
      <c r="G203" s="926" t="s">
        <v>2044</v>
      </c>
      <c r="H203" s="926" t="s">
        <v>2514</v>
      </c>
    </row>
    <row r="204" spans="1:8" ht="14.4">
      <c r="A204" s="160" t="s">
        <v>546</v>
      </c>
      <c r="B204" s="160" t="s">
        <v>545</v>
      </c>
      <c r="C204" s="934" t="s">
        <v>1638</v>
      </c>
      <c r="D204" s="934" t="s">
        <v>18</v>
      </c>
      <c r="G204" s="926" t="s">
        <v>2619</v>
      </c>
      <c r="H204" s="926" t="s">
        <v>2620</v>
      </c>
    </row>
    <row r="205" spans="1:8" ht="14.4">
      <c r="A205" s="162" t="s">
        <v>395</v>
      </c>
      <c r="B205" s="163" t="s">
        <v>1512</v>
      </c>
      <c r="C205" s="934" t="s">
        <v>1638</v>
      </c>
      <c r="D205" s="934" t="s">
        <v>18</v>
      </c>
      <c r="G205" s="926" t="s">
        <v>2515</v>
      </c>
      <c r="H205" s="926" t="s">
        <v>2516</v>
      </c>
    </row>
    <row r="206" spans="1:8" ht="14.4">
      <c r="A206" s="162" t="s">
        <v>394</v>
      </c>
      <c r="B206" s="163" t="s">
        <v>393</v>
      </c>
      <c r="C206" s="934" t="s">
        <v>1638</v>
      </c>
      <c r="D206" s="934" t="s">
        <v>18</v>
      </c>
      <c r="G206" s="926" t="s">
        <v>2064</v>
      </c>
      <c r="H206" s="926" t="s">
        <v>2065</v>
      </c>
    </row>
    <row r="207" spans="1:8" ht="14.4">
      <c r="A207" s="162" t="s">
        <v>415</v>
      </c>
      <c r="B207" s="163" t="s">
        <v>1530</v>
      </c>
      <c r="C207" s="934" t="s">
        <v>1638</v>
      </c>
      <c r="D207" s="934" t="s">
        <v>18</v>
      </c>
      <c r="G207" s="926" t="s">
        <v>2064</v>
      </c>
      <c r="H207" s="926" t="s">
        <v>2517</v>
      </c>
    </row>
    <row r="208" spans="1:8" ht="14.4">
      <c r="A208" s="162" t="s">
        <v>414</v>
      </c>
      <c r="B208" s="163" t="s">
        <v>413</v>
      </c>
      <c r="C208" s="934" t="s">
        <v>1638</v>
      </c>
      <c r="D208" s="934" t="s">
        <v>18</v>
      </c>
      <c r="G208" s="926" t="s">
        <v>2137</v>
      </c>
      <c r="H208" s="926" t="s">
        <v>2138</v>
      </c>
    </row>
    <row r="209" spans="1:8" ht="14.4">
      <c r="A209" s="162" t="s">
        <v>1143</v>
      </c>
      <c r="B209" s="163" t="s">
        <v>1142</v>
      </c>
      <c r="C209" s="934" t="s">
        <v>1638</v>
      </c>
      <c r="D209" s="934" t="s">
        <v>18</v>
      </c>
      <c r="G209" s="926" t="s">
        <v>2137</v>
      </c>
      <c r="H209" s="926" t="s">
        <v>2518</v>
      </c>
    </row>
    <row r="210" spans="1:8" ht="14.4">
      <c r="A210" s="162" t="s">
        <v>452</v>
      </c>
      <c r="B210" s="163" t="s">
        <v>451</v>
      </c>
      <c r="C210" s="934" t="s">
        <v>1638</v>
      </c>
      <c r="D210" s="934" t="s">
        <v>26</v>
      </c>
      <c r="G210" s="926" t="s">
        <v>2160</v>
      </c>
      <c r="H210" s="926" t="s">
        <v>2161</v>
      </c>
    </row>
    <row r="211" spans="1:8" ht="14.4">
      <c r="A211" s="162" t="s">
        <v>453</v>
      </c>
      <c r="B211" s="163" t="s">
        <v>508</v>
      </c>
      <c r="C211" s="934" t="s">
        <v>1638</v>
      </c>
      <c r="D211" s="934" t="s">
        <v>26</v>
      </c>
      <c r="G211" s="926" t="s">
        <v>2519</v>
      </c>
      <c r="H211" s="926" t="s">
        <v>2520</v>
      </c>
    </row>
    <row r="212" spans="1:8" ht="14.4">
      <c r="A212" s="162" t="s">
        <v>1462</v>
      </c>
      <c r="B212" s="163" t="s">
        <v>1461</v>
      </c>
      <c r="C212" s="934" t="s">
        <v>1638</v>
      </c>
      <c r="D212" s="934" t="s">
        <v>26</v>
      </c>
      <c r="G212" s="926" t="s">
        <v>2079</v>
      </c>
      <c r="H212" s="926" t="s">
        <v>2080</v>
      </c>
    </row>
    <row r="213" spans="1:8" ht="14.4">
      <c r="A213" s="162" t="s">
        <v>496</v>
      </c>
      <c r="B213" s="163" t="s">
        <v>495</v>
      </c>
      <c r="C213" s="934" t="s">
        <v>1638</v>
      </c>
      <c r="D213" s="934" t="s">
        <v>26</v>
      </c>
      <c r="G213" s="926" t="s">
        <v>2521</v>
      </c>
      <c r="H213" s="926" t="s">
        <v>2522</v>
      </c>
    </row>
    <row r="214" spans="1:8" ht="14.4">
      <c r="A214" s="162" t="s">
        <v>405</v>
      </c>
      <c r="B214" s="163" t="s">
        <v>1556</v>
      </c>
      <c r="C214" s="934" t="s">
        <v>1638</v>
      </c>
      <c r="D214" s="934" t="s">
        <v>16</v>
      </c>
      <c r="G214" s="926" t="s">
        <v>2062</v>
      </c>
      <c r="H214" s="926" t="s">
        <v>2063</v>
      </c>
    </row>
    <row r="215" spans="1:8" ht="14.4">
      <c r="A215" s="162" t="s">
        <v>404</v>
      </c>
      <c r="B215" s="163" t="s">
        <v>403</v>
      </c>
      <c r="C215" s="934" t="s">
        <v>1638</v>
      </c>
      <c r="D215" s="934" t="s">
        <v>26</v>
      </c>
      <c r="G215" s="926" t="s">
        <v>2523</v>
      </c>
      <c r="H215" s="926" t="s">
        <v>2524</v>
      </c>
    </row>
    <row r="216" spans="1:8" ht="14.4">
      <c r="A216" s="162" t="s">
        <v>494</v>
      </c>
      <c r="B216" s="163" t="s">
        <v>493</v>
      </c>
      <c r="C216" s="934" t="s">
        <v>1638</v>
      </c>
      <c r="D216" s="934" t="s">
        <v>40</v>
      </c>
      <c r="G216" s="926" t="s">
        <v>2060</v>
      </c>
      <c r="H216" s="926" t="s">
        <v>2061</v>
      </c>
    </row>
    <row r="217" spans="1:8" ht="14.4">
      <c r="A217" s="162" t="s">
        <v>457</v>
      </c>
      <c r="B217" s="163" t="s">
        <v>456</v>
      </c>
      <c r="C217" s="934" t="s">
        <v>1638</v>
      </c>
      <c r="D217" s="934" t="s">
        <v>40</v>
      </c>
      <c r="G217" s="926" t="s">
        <v>2525</v>
      </c>
      <c r="H217" s="926" t="s">
        <v>2526</v>
      </c>
    </row>
    <row r="218" spans="1:8" ht="14.4">
      <c r="A218" s="162" t="s">
        <v>822</v>
      </c>
      <c r="B218" s="163" t="s">
        <v>821</v>
      </c>
      <c r="C218" s="934" t="s">
        <v>1638</v>
      </c>
      <c r="D218" s="934" t="s">
        <v>11</v>
      </c>
      <c r="G218" s="926" t="s">
        <v>2093</v>
      </c>
      <c r="H218" s="926" t="s">
        <v>2094</v>
      </c>
    </row>
    <row r="219" spans="1:8" ht="14.4">
      <c r="A219" s="163" t="s">
        <v>444</v>
      </c>
      <c r="B219" s="163" t="s">
        <v>1379</v>
      </c>
      <c r="C219" s="934" t="s">
        <v>1638</v>
      </c>
      <c r="D219" s="934" t="s">
        <v>38</v>
      </c>
      <c r="G219" s="926" t="s">
        <v>2527</v>
      </c>
      <c r="H219" s="926" t="s">
        <v>2528</v>
      </c>
    </row>
    <row r="220" spans="1:8" ht="14.4">
      <c r="A220" s="162" t="s">
        <v>500</v>
      </c>
      <c r="B220" s="163" t="s">
        <v>499</v>
      </c>
      <c r="C220" s="934" t="s">
        <v>1638</v>
      </c>
      <c r="D220" s="934" t="s">
        <v>38</v>
      </c>
      <c r="G220" s="926" t="s">
        <v>2016</v>
      </c>
      <c r="H220" s="926" t="s">
        <v>2017</v>
      </c>
    </row>
    <row r="221" spans="1:8" ht="14.4">
      <c r="A221" s="162" t="s">
        <v>443</v>
      </c>
      <c r="B221" s="163" t="s">
        <v>442</v>
      </c>
      <c r="C221" s="934" t="s">
        <v>1638</v>
      </c>
      <c r="D221" s="934" t="s">
        <v>38</v>
      </c>
      <c r="G221" s="926" t="s">
        <v>2529</v>
      </c>
      <c r="H221" s="926" t="s">
        <v>2530</v>
      </c>
    </row>
    <row r="222" spans="1:8" ht="14.4">
      <c r="A222" s="162" t="s">
        <v>1187</v>
      </c>
      <c r="B222" s="163" t="s">
        <v>1186</v>
      </c>
      <c r="C222" s="934" t="s">
        <v>1638</v>
      </c>
      <c r="D222" s="934" t="s">
        <v>38</v>
      </c>
      <c r="G222" s="926" t="s">
        <v>2143</v>
      </c>
      <c r="H222" s="926" t="s">
        <v>2144</v>
      </c>
    </row>
    <row r="223" spans="1:8" ht="14.4">
      <c r="A223" s="162" t="s">
        <v>534</v>
      </c>
      <c r="B223" s="163" t="s">
        <v>533</v>
      </c>
      <c r="C223" s="934" t="s">
        <v>1638</v>
      </c>
      <c r="D223" s="934" t="s">
        <v>38</v>
      </c>
      <c r="G223" s="926" t="s">
        <v>2036</v>
      </c>
      <c r="H223" s="926" t="s">
        <v>2037</v>
      </c>
    </row>
    <row r="224" spans="1:8" ht="14.4">
      <c r="A224" s="162" t="s">
        <v>1423</v>
      </c>
      <c r="B224" s="163" t="s">
        <v>1422</v>
      </c>
      <c r="C224" s="934" t="s">
        <v>1638</v>
      </c>
      <c r="D224" s="934" t="s">
        <v>22</v>
      </c>
      <c r="G224" s="926" t="s">
        <v>2531</v>
      </c>
      <c r="H224" s="926" t="s">
        <v>2532</v>
      </c>
    </row>
    <row r="225" spans="1:8" ht="14.4">
      <c r="A225" s="162" t="s">
        <v>472</v>
      </c>
      <c r="B225" s="163" t="s">
        <v>471</v>
      </c>
      <c r="C225" s="934" t="s">
        <v>1638</v>
      </c>
      <c r="D225" s="934" t="s">
        <v>36</v>
      </c>
      <c r="G225" s="926" t="s">
        <v>2040</v>
      </c>
      <c r="H225" s="926" t="s">
        <v>2041</v>
      </c>
    </row>
    <row r="226" spans="1:8" ht="14.4">
      <c r="A226" s="162" t="s">
        <v>381</v>
      </c>
      <c r="B226" s="163" t="s">
        <v>380</v>
      </c>
      <c r="C226" s="934" t="s">
        <v>1638</v>
      </c>
      <c r="D226" s="934" t="s">
        <v>36</v>
      </c>
      <c r="G226" s="926" t="s">
        <v>2533</v>
      </c>
      <c r="H226" s="926" t="s">
        <v>2534</v>
      </c>
    </row>
    <row r="227" spans="1:8" ht="14.4">
      <c r="A227" s="162" t="s">
        <v>448</v>
      </c>
      <c r="B227" s="163" t="s">
        <v>447</v>
      </c>
      <c r="C227" s="934" t="s">
        <v>1638</v>
      </c>
      <c r="D227" s="934" t="s">
        <v>36</v>
      </c>
      <c r="G227" s="926" t="s">
        <v>2143</v>
      </c>
      <c r="H227" s="926" t="s">
        <v>2162</v>
      </c>
    </row>
    <row r="228" spans="1:8" ht="14.4">
      <c r="A228" s="162" t="s">
        <v>1478</v>
      </c>
      <c r="B228" s="163" t="s">
        <v>1477</v>
      </c>
      <c r="C228" s="934" t="s">
        <v>1638</v>
      </c>
      <c r="D228" s="934" t="s">
        <v>36</v>
      </c>
      <c r="G228" s="926" t="s">
        <v>2107</v>
      </c>
      <c r="H228" s="926" t="s">
        <v>2108</v>
      </c>
    </row>
    <row r="229" spans="1:8" ht="14.4">
      <c r="A229" s="163" t="s">
        <v>1279</v>
      </c>
      <c r="B229" s="163" t="s">
        <v>1278</v>
      </c>
      <c r="C229" s="934" t="s">
        <v>1638</v>
      </c>
      <c r="D229" s="934" t="s">
        <v>36</v>
      </c>
      <c r="G229" s="926" t="s">
        <v>2535</v>
      </c>
      <c r="H229" s="926" t="s">
        <v>2536</v>
      </c>
    </row>
    <row r="230" spans="1:8" ht="14.4">
      <c r="A230" s="163" t="s">
        <v>823</v>
      </c>
      <c r="B230" s="163" t="s">
        <v>1323</v>
      </c>
      <c r="C230" s="934" t="s">
        <v>1638</v>
      </c>
      <c r="D230" s="934" t="s">
        <v>54</v>
      </c>
      <c r="G230" s="926" t="s">
        <v>2107</v>
      </c>
      <c r="H230" s="926" t="s">
        <v>2436</v>
      </c>
    </row>
    <row r="231" spans="1:8" ht="14.4">
      <c r="A231" s="162" t="s">
        <v>825</v>
      </c>
      <c r="B231" s="163" t="s">
        <v>824</v>
      </c>
      <c r="C231" s="934" t="s">
        <v>1638</v>
      </c>
      <c r="D231" s="934" t="s">
        <v>40</v>
      </c>
      <c r="G231" s="926" t="s">
        <v>2537</v>
      </c>
      <c r="H231" s="926" t="s">
        <v>2538</v>
      </c>
    </row>
    <row r="232" spans="1:8" ht="14.4">
      <c r="A232" s="162" t="s">
        <v>827</v>
      </c>
      <c r="B232" s="163" t="s">
        <v>826</v>
      </c>
      <c r="C232" s="934" t="s">
        <v>1638</v>
      </c>
      <c r="D232" s="934" t="s">
        <v>67</v>
      </c>
      <c r="G232" s="926" t="s">
        <v>2100</v>
      </c>
      <c r="H232" s="926" t="s">
        <v>2101</v>
      </c>
    </row>
    <row r="233" spans="1:8" ht="14.4">
      <c r="A233" s="162" t="s">
        <v>830</v>
      </c>
      <c r="B233" s="163" t="s">
        <v>829</v>
      </c>
      <c r="C233" s="934" t="s">
        <v>1638</v>
      </c>
      <c r="D233" s="934" t="s">
        <v>69</v>
      </c>
      <c r="G233" s="926" t="s">
        <v>2539</v>
      </c>
      <c r="H233" s="926" t="s">
        <v>2540</v>
      </c>
    </row>
    <row r="234" spans="1:8" ht="14.4">
      <c r="A234" s="929" t="s">
        <v>1647</v>
      </c>
      <c r="B234" s="165" t="s">
        <v>1579</v>
      </c>
      <c r="C234" s="934" t="s">
        <v>75</v>
      </c>
      <c r="D234" s="934" t="s">
        <v>89</v>
      </c>
      <c r="G234" s="926" t="s">
        <v>2083</v>
      </c>
      <c r="H234" s="926" t="s">
        <v>2084</v>
      </c>
    </row>
    <row r="235" spans="1:8" ht="14.4">
      <c r="A235" s="929" t="s">
        <v>1648</v>
      </c>
      <c r="B235" s="165" t="s">
        <v>1580</v>
      </c>
      <c r="C235" s="934" t="s">
        <v>75</v>
      </c>
      <c r="D235" s="934" t="s">
        <v>89</v>
      </c>
      <c r="G235" s="926" t="s">
        <v>2541</v>
      </c>
      <c r="H235" s="926" t="s">
        <v>2542</v>
      </c>
    </row>
    <row r="236" spans="1:8" ht="14.4">
      <c r="A236" s="165" t="s">
        <v>1653</v>
      </c>
      <c r="B236" s="165" t="s">
        <v>297</v>
      </c>
      <c r="C236" s="934" t="s">
        <v>75</v>
      </c>
      <c r="D236" s="934" t="s">
        <v>89</v>
      </c>
      <c r="G236" s="926" t="s">
        <v>2158</v>
      </c>
      <c r="H236" s="926" t="s">
        <v>2159</v>
      </c>
    </row>
    <row r="237" spans="1:8" ht="14.4">
      <c r="A237" s="929" t="s">
        <v>1658</v>
      </c>
      <c r="B237" s="165" t="s">
        <v>1587</v>
      </c>
      <c r="C237" s="934" t="s">
        <v>75</v>
      </c>
      <c r="D237" s="934" t="s">
        <v>89</v>
      </c>
      <c r="G237" s="926" t="s">
        <v>2543</v>
      </c>
      <c r="H237" s="926" t="s">
        <v>2544</v>
      </c>
    </row>
    <row r="238" spans="1:8" ht="14.4">
      <c r="A238" s="929" t="s">
        <v>1659</v>
      </c>
      <c r="B238" s="165" t="s">
        <v>1588</v>
      </c>
      <c r="C238" s="934" t="s">
        <v>75</v>
      </c>
      <c r="D238" s="934" t="s">
        <v>89</v>
      </c>
      <c r="G238" s="926" t="s">
        <v>2075</v>
      </c>
      <c r="H238" s="926" t="s">
        <v>2076</v>
      </c>
    </row>
    <row r="239" spans="1:8" ht="14.4">
      <c r="A239" s="929" t="s">
        <v>1667</v>
      </c>
      <c r="B239" s="165" t="s">
        <v>1597</v>
      </c>
      <c r="C239" s="934" t="s">
        <v>75</v>
      </c>
      <c r="D239" s="934" t="s">
        <v>89</v>
      </c>
      <c r="G239" s="926" t="s">
        <v>2545</v>
      </c>
      <c r="H239" s="926" t="s">
        <v>2546</v>
      </c>
    </row>
    <row r="240" spans="1:8" ht="14.4">
      <c r="A240" s="929" t="s">
        <v>1674</v>
      </c>
      <c r="B240" s="165" t="s">
        <v>1603</v>
      </c>
      <c r="C240" s="934" t="s">
        <v>75</v>
      </c>
      <c r="D240" s="934" t="s">
        <v>89</v>
      </c>
      <c r="G240" s="926" t="s">
        <v>2038</v>
      </c>
      <c r="H240" s="926" t="s">
        <v>2039</v>
      </c>
    </row>
    <row r="241" spans="1:8" ht="14.4">
      <c r="A241" s="929" t="s">
        <v>1676</v>
      </c>
      <c r="B241" s="165" t="s">
        <v>1605</v>
      </c>
      <c r="C241" s="934" t="s">
        <v>75</v>
      </c>
      <c r="D241" s="934" t="s">
        <v>89</v>
      </c>
      <c r="G241" s="926" t="s">
        <v>2547</v>
      </c>
      <c r="H241" s="926" t="s">
        <v>2548</v>
      </c>
    </row>
    <row r="242" spans="1:8" ht="14.4">
      <c r="A242" s="161" t="s">
        <v>1724</v>
      </c>
      <c r="B242" s="165" t="s">
        <v>1725</v>
      </c>
      <c r="C242" s="934" t="s">
        <v>75</v>
      </c>
      <c r="D242" s="934" t="s">
        <v>90</v>
      </c>
      <c r="G242" s="926" t="s">
        <v>2027</v>
      </c>
      <c r="H242" s="926" t="s">
        <v>2028</v>
      </c>
    </row>
    <row r="243" spans="1:8" ht="14.4">
      <c r="A243" s="929" t="s">
        <v>1656</v>
      </c>
      <c r="B243" s="165" t="s">
        <v>1586</v>
      </c>
      <c r="C243" s="934" t="s">
        <v>75</v>
      </c>
      <c r="D243" s="934" t="s">
        <v>89</v>
      </c>
      <c r="G243" s="926" t="s">
        <v>2027</v>
      </c>
      <c r="H243" s="926" t="s">
        <v>2549</v>
      </c>
    </row>
    <row r="244" spans="1:8" ht="14.4">
      <c r="A244" s="929" t="s">
        <v>1695</v>
      </c>
      <c r="B244" s="165" t="s">
        <v>1622</v>
      </c>
      <c r="C244" s="934" t="s">
        <v>75</v>
      </c>
      <c r="D244" s="934" t="s">
        <v>89</v>
      </c>
      <c r="G244" s="926" t="s">
        <v>2113</v>
      </c>
      <c r="H244" s="926" t="s">
        <v>2114</v>
      </c>
    </row>
    <row r="245" spans="1:8" ht="14.4">
      <c r="A245" s="929" t="s">
        <v>1703</v>
      </c>
      <c r="B245" s="165" t="s">
        <v>1629</v>
      </c>
      <c r="C245" s="934" t="s">
        <v>75</v>
      </c>
      <c r="D245" s="934" t="s">
        <v>89</v>
      </c>
      <c r="G245" s="926" t="s">
        <v>2207</v>
      </c>
      <c r="H245" s="926" t="s">
        <v>2208</v>
      </c>
    </row>
    <row r="246" spans="1:8" ht="14.4">
      <c r="A246" s="929" t="s">
        <v>1637</v>
      </c>
      <c r="B246" s="165" t="s">
        <v>1574</v>
      </c>
      <c r="C246" s="934" t="s">
        <v>75</v>
      </c>
      <c r="D246" s="934" t="s">
        <v>89</v>
      </c>
      <c r="G246" s="926" t="s">
        <v>2318</v>
      </c>
      <c r="H246" s="926" t="s">
        <v>2319</v>
      </c>
    </row>
    <row r="247" spans="1:8" ht="14.4">
      <c r="A247" s="165" t="s">
        <v>1640</v>
      </c>
      <c r="B247" s="165" t="s">
        <v>1576</v>
      </c>
      <c r="C247" s="934" t="s">
        <v>75</v>
      </c>
      <c r="D247" s="934" t="s">
        <v>89</v>
      </c>
      <c r="G247" s="926" t="s">
        <v>2831</v>
      </c>
      <c r="H247" s="926" t="s">
        <v>2832</v>
      </c>
    </row>
    <row r="248" spans="1:8" ht="14.4">
      <c r="A248" s="929" t="s">
        <v>363</v>
      </c>
      <c r="B248" s="165" t="s">
        <v>362</v>
      </c>
      <c r="C248" s="934" t="s">
        <v>75</v>
      </c>
      <c r="D248" s="934" t="s">
        <v>89</v>
      </c>
      <c r="G248" s="926" t="s">
        <v>2437</v>
      </c>
      <c r="H248" s="926" t="s">
        <v>2438</v>
      </c>
    </row>
    <row r="249" spans="1:8" ht="14.4">
      <c r="A249" s="162" t="s">
        <v>961</v>
      </c>
      <c r="B249" s="163" t="s">
        <v>960</v>
      </c>
      <c r="C249" s="934" t="s">
        <v>75</v>
      </c>
      <c r="D249" s="934" t="s">
        <v>89</v>
      </c>
      <c r="G249" s="926" t="s">
        <v>2439</v>
      </c>
      <c r="H249" s="926" t="s">
        <v>2440</v>
      </c>
    </row>
    <row r="250" spans="1:8" ht="14.4">
      <c r="A250" s="929" t="s">
        <v>832</v>
      </c>
      <c r="B250" s="165" t="s">
        <v>831</v>
      </c>
      <c r="C250" s="934" t="s">
        <v>75</v>
      </c>
      <c r="D250" s="934" t="s">
        <v>90</v>
      </c>
      <c r="G250" s="926" t="s">
        <v>2833</v>
      </c>
      <c r="H250" s="926" t="s">
        <v>2834</v>
      </c>
    </row>
    <row r="251" spans="1:8" ht="14.4">
      <c r="A251" s="162" t="s">
        <v>963</v>
      </c>
      <c r="B251" s="163" t="s">
        <v>962</v>
      </c>
      <c r="C251" s="934" t="s">
        <v>75</v>
      </c>
      <c r="D251" s="934" t="s">
        <v>90</v>
      </c>
      <c r="G251" s="926" t="s">
        <v>2441</v>
      </c>
      <c r="H251" s="926" t="s">
        <v>2442</v>
      </c>
    </row>
    <row r="252" spans="1:8" ht="14.4">
      <c r="A252" s="929" t="s">
        <v>359</v>
      </c>
      <c r="B252" s="165" t="s">
        <v>358</v>
      </c>
      <c r="C252" s="934" t="s">
        <v>75</v>
      </c>
      <c r="D252" s="934" t="s">
        <v>90</v>
      </c>
      <c r="G252" s="926" t="s">
        <v>2320</v>
      </c>
      <c r="H252" s="926" t="s">
        <v>1523</v>
      </c>
    </row>
    <row r="253" spans="1:8" ht="14.4">
      <c r="A253" s="691" t="s">
        <v>965</v>
      </c>
      <c r="B253" s="164" t="s">
        <v>964</v>
      </c>
      <c r="C253" s="934" t="s">
        <v>75</v>
      </c>
      <c r="D253" s="934" t="s">
        <v>90</v>
      </c>
      <c r="G253" s="926" t="s">
        <v>2835</v>
      </c>
      <c r="H253" s="926" t="s">
        <v>2836</v>
      </c>
    </row>
    <row r="254" spans="1:8" ht="14.4">
      <c r="A254" s="930" t="s">
        <v>834</v>
      </c>
      <c r="B254" s="165" t="s">
        <v>833</v>
      </c>
      <c r="C254" s="934" t="s">
        <v>75</v>
      </c>
      <c r="D254" s="934" t="s">
        <v>89</v>
      </c>
      <c r="G254" s="926" t="s">
        <v>2443</v>
      </c>
      <c r="H254" s="926" t="s">
        <v>2444</v>
      </c>
    </row>
    <row r="255" spans="1:8" ht="14.4">
      <c r="A255" s="691" t="s">
        <v>967</v>
      </c>
      <c r="B255" s="163" t="s">
        <v>966</v>
      </c>
      <c r="C255" s="934" t="s">
        <v>75</v>
      </c>
      <c r="D255" s="934" t="s">
        <v>89</v>
      </c>
      <c r="G255" s="926" t="s">
        <v>2445</v>
      </c>
      <c r="H255" s="926" t="s">
        <v>2446</v>
      </c>
    </row>
    <row r="256" spans="1:8" ht="14.4">
      <c r="A256" s="930" t="s">
        <v>285</v>
      </c>
      <c r="B256" s="165" t="s">
        <v>284</v>
      </c>
      <c r="C256" s="934" t="s">
        <v>75</v>
      </c>
      <c r="D256" s="934" t="s">
        <v>90</v>
      </c>
      <c r="G256" s="926" t="s">
        <v>2841</v>
      </c>
      <c r="H256" s="926" t="s">
        <v>2842</v>
      </c>
    </row>
    <row r="257" spans="1:8" ht="14.4">
      <c r="A257" s="691" t="s">
        <v>969</v>
      </c>
      <c r="B257" s="164" t="s">
        <v>968</v>
      </c>
      <c r="C257" s="934" t="s">
        <v>75</v>
      </c>
      <c r="D257" s="934" t="s">
        <v>90</v>
      </c>
      <c r="G257" s="926" t="s">
        <v>2321</v>
      </c>
      <c r="H257" s="926" t="s">
        <v>881</v>
      </c>
    </row>
    <row r="258" spans="1:8" ht="14.4">
      <c r="A258" s="931" t="s">
        <v>338</v>
      </c>
      <c r="B258" s="163" t="s">
        <v>337</v>
      </c>
      <c r="C258" s="934" t="s">
        <v>75</v>
      </c>
      <c r="D258" s="934" t="s">
        <v>90</v>
      </c>
      <c r="G258" s="926" t="s">
        <v>2827</v>
      </c>
      <c r="H258" s="926" t="s">
        <v>2828</v>
      </c>
    </row>
    <row r="259" spans="1:8" ht="14.4">
      <c r="A259" s="162" t="s">
        <v>971</v>
      </c>
      <c r="B259" s="163" t="s">
        <v>970</v>
      </c>
      <c r="C259" s="934" t="s">
        <v>75</v>
      </c>
      <c r="D259" s="934" t="s">
        <v>90</v>
      </c>
      <c r="G259" s="926" t="s">
        <v>2846</v>
      </c>
      <c r="H259" s="926" t="s">
        <v>2847</v>
      </c>
    </row>
    <row r="260" spans="1:8" ht="14.4">
      <c r="A260" s="929" t="s">
        <v>336</v>
      </c>
      <c r="B260" s="165" t="s">
        <v>335</v>
      </c>
      <c r="C260" s="934" t="s">
        <v>75</v>
      </c>
      <c r="D260" s="934" t="s">
        <v>89</v>
      </c>
      <c r="G260" s="926" t="s">
        <v>2829</v>
      </c>
      <c r="H260" s="926" t="s">
        <v>2830</v>
      </c>
    </row>
    <row r="261" spans="1:8" ht="14.4">
      <c r="A261" s="162" t="s">
        <v>973</v>
      </c>
      <c r="B261" s="163" t="s">
        <v>972</v>
      </c>
      <c r="C261" s="934" t="s">
        <v>75</v>
      </c>
      <c r="D261" s="934" t="s">
        <v>89</v>
      </c>
      <c r="G261" s="926" t="s">
        <v>2447</v>
      </c>
      <c r="H261" s="926" t="s">
        <v>2448</v>
      </c>
    </row>
    <row r="262" spans="1:8" ht="14.4">
      <c r="A262" s="929" t="s">
        <v>836</v>
      </c>
      <c r="B262" s="165" t="s">
        <v>835</v>
      </c>
      <c r="C262" s="934" t="s">
        <v>75</v>
      </c>
      <c r="D262" s="934" t="s">
        <v>89</v>
      </c>
      <c r="G262" s="926" t="s">
        <v>2447</v>
      </c>
      <c r="H262" s="926" t="s">
        <v>2840</v>
      </c>
    </row>
    <row r="263" spans="1:8" ht="14.4">
      <c r="A263" s="162" t="s">
        <v>975</v>
      </c>
      <c r="B263" s="163" t="s">
        <v>974</v>
      </c>
      <c r="C263" s="934" t="s">
        <v>75</v>
      </c>
      <c r="D263" s="934" t="s">
        <v>89</v>
      </c>
      <c r="G263" s="926" t="s">
        <v>2322</v>
      </c>
      <c r="H263" s="926" t="s">
        <v>2323</v>
      </c>
    </row>
    <row r="264" spans="1:8" ht="14.4">
      <c r="A264" s="929" t="s">
        <v>838</v>
      </c>
      <c r="B264" s="165" t="s">
        <v>837</v>
      </c>
      <c r="C264" s="934" t="s">
        <v>75</v>
      </c>
      <c r="D264" s="934" t="s">
        <v>89</v>
      </c>
      <c r="G264" s="926" t="s">
        <v>2324</v>
      </c>
      <c r="H264" s="926" t="s">
        <v>2325</v>
      </c>
    </row>
    <row r="265" spans="1:8" ht="14.4">
      <c r="A265" s="162" t="s">
        <v>977</v>
      </c>
      <c r="B265" s="163" t="s">
        <v>976</v>
      </c>
      <c r="C265" s="934" t="s">
        <v>75</v>
      </c>
      <c r="D265" s="934" t="s">
        <v>89</v>
      </c>
      <c r="G265" s="926" t="s">
        <v>2326</v>
      </c>
      <c r="H265" s="926" t="s">
        <v>2327</v>
      </c>
    </row>
    <row r="266" spans="1:8" ht="14.4">
      <c r="A266" s="929" t="s">
        <v>840</v>
      </c>
      <c r="B266" s="165" t="s">
        <v>839</v>
      </c>
      <c r="C266" s="934" t="s">
        <v>75</v>
      </c>
      <c r="D266" s="934" t="s">
        <v>89</v>
      </c>
      <c r="G266" s="926" t="s">
        <v>2843</v>
      </c>
      <c r="H266" s="926" t="s">
        <v>2844</v>
      </c>
    </row>
    <row r="267" spans="1:8" ht="14.4">
      <c r="A267" s="162" t="s">
        <v>979</v>
      </c>
      <c r="B267" s="163" t="s">
        <v>978</v>
      </c>
      <c r="C267" s="934" t="s">
        <v>75</v>
      </c>
      <c r="D267" s="934" t="s">
        <v>89</v>
      </c>
      <c r="G267" s="926" t="s">
        <v>2821</v>
      </c>
      <c r="H267" s="926" t="s">
        <v>2822</v>
      </c>
    </row>
    <row r="268" spans="1:8" ht="14.4">
      <c r="A268" s="929" t="s">
        <v>1645</v>
      </c>
      <c r="B268" s="165" t="s">
        <v>1577</v>
      </c>
      <c r="C268" s="934" t="s">
        <v>75</v>
      </c>
      <c r="D268" s="934" t="s">
        <v>89</v>
      </c>
      <c r="G268" s="926" t="s">
        <v>2328</v>
      </c>
      <c r="H268" s="926" t="s">
        <v>2329</v>
      </c>
    </row>
    <row r="269" spans="1:8" ht="14.4">
      <c r="A269" s="929" t="s">
        <v>842</v>
      </c>
      <c r="B269" s="165" t="s">
        <v>841</v>
      </c>
      <c r="C269" s="934" t="s">
        <v>75</v>
      </c>
      <c r="D269" s="934" t="s">
        <v>89</v>
      </c>
      <c r="G269" s="926" t="s">
        <v>2609</v>
      </c>
      <c r="H269" s="926" t="s">
        <v>2610</v>
      </c>
    </row>
    <row r="270" spans="1:8" ht="14.4">
      <c r="A270" s="162" t="s">
        <v>981</v>
      </c>
      <c r="B270" s="163" t="s">
        <v>980</v>
      </c>
      <c r="C270" s="934" t="s">
        <v>75</v>
      </c>
      <c r="D270" s="934" t="s">
        <v>89</v>
      </c>
      <c r="G270" s="926" t="s">
        <v>2449</v>
      </c>
      <c r="H270" s="926" t="s">
        <v>2450</v>
      </c>
    </row>
    <row r="271" spans="1:8" ht="14.4">
      <c r="A271" s="929" t="s">
        <v>1649</v>
      </c>
      <c r="B271" s="165" t="s">
        <v>1581</v>
      </c>
      <c r="C271" s="934" t="s">
        <v>75</v>
      </c>
      <c r="D271" s="934" t="s">
        <v>89</v>
      </c>
      <c r="G271" s="926" t="s">
        <v>2330</v>
      </c>
      <c r="H271" s="926" t="s">
        <v>2331</v>
      </c>
    </row>
    <row r="272" spans="1:8" ht="14.4">
      <c r="A272" s="929" t="s">
        <v>1651</v>
      </c>
      <c r="B272" s="165" t="s">
        <v>1583</v>
      </c>
      <c r="C272" s="934" t="s">
        <v>75</v>
      </c>
      <c r="D272" s="934" t="s">
        <v>89</v>
      </c>
      <c r="G272" s="926" t="s">
        <v>2332</v>
      </c>
      <c r="H272" s="926" t="s">
        <v>2333</v>
      </c>
    </row>
    <row r="273" spans="1:8" ht="14.4">
      <c r="A273" s="165" t="s">
        <v>298</v>
      </c>
      <c r="B273" s="165" t="s">
        <v>297</v>
      </c>
      <c r="C273" s="934" t="s">
        <v>75</v>
      </c>
      <c r="D273" s="934" t="s">
        <v>89</v>
      </c>
      <c r="G273" s="926" t="s">
        <v>2334</v>
      </c>
      <c r="H273" s="926" t="s">
        <v>2335</v>
      </c>
    </row>
    <row r="274" spans="1:8" ht="14.4">
      <c r="A274" s="162" t="s">
        <v>983</v>
      </c>
      <c r="B274" s="163" t="s">
        <v>982</v>
      </c>
      <c r="C274" s="934" t="s">
        <v>75</v>
      </c>
      <c r="D274" s="934" t="s">
        <v>89</v>
      </c>
      <c r="G274" s="926" t="s">
        <v>2031</v>
      </c>
      <c r="H274" s="926" t="s">
        <v>2818</v>
      </c>
    </row>
    <row r="275" spans="1:8" ht="14.4">
      <c r="A275" s="165" t="s">
        <v>1654</v>
      </c>
      <c r="B275" s="165" t="s">
        <v>1584</v>
      </c>
      <c r="C275" s="934" t="s">
        <v>75</v>
      </c>
      <c r="D275" s="934" t="s">
        <v>89</v>
      </c>
      <c r="G275" s="926" t="s">
        <v>2663</v>
      </c>
      <c r="H275" s="926" t="s">
        <v>2664</v>
      </c>
    </row>
    <row r="276" spans="1:8" ht="14.4">
      <c r="A276" s="929" t="s">
        <v>371</v>
      </c>
      <c r="B276" s="165" t="s">
        <v>370</v>
      </c>
      <c r="C276" s="934" t="s">
        <v>75</v>
      </c>
      <c r="D276" s="934" t="s">
        <v>89</v>
      </c>
      <c r="G276" s="926" t="s">
        <v>1999</v>
      </c>
      <c r="H276" s="926" t="s">
        <v>2839</v>
      </c>
    </row>
    <row r="277" spans="1:8" ht="14.4">
      <c r="A277" s="162" t="s">
        <v>985</v>
      </c>
      <c r="B277" s="163" t="s">
        <v>984</v>
      </c>
      <c r="C277" s="934" t="s">
        <v>75</v>
      </c>
      <c r="D277" s="934" t="s">
        <v>89</v>
      </c>
      <c r="G277" s="926" t="s">
        <v>2819</v>
      </c>
      <c r="H277" s="926" t="s">
        <v>2820</v>
      </c>
    </row>
    <row r="278" spans="1:8" ht="14.4">
      <c r="A278" s="929" t="s">
        <v>1660</v>
      </c>
      <c r="B278" s="165" t="s">
        <v>1589</v>
      </c>
      <c r="C278" s="934" t="s">
        <v>75</v>
      </c>
      <c r="D278" s="934" t="s">
        <v>89</v>
      </c>
      <c r="G278" s="926" t="s">
        <v>2557</v>
      </c>
      <c r="H278" s="926" t="s">
        <v>2558</v>
      </c>
    </row>
    <row r="279" spans="1:8" ht="14.4">
      <c r="A279" s="161" t="s">
        <v>1713</v>
      </c>
      <c r="B279" s="165" t="s">
        <v>1714</v>
      </c>
      <c r="C279" s="934" t="s">
        <v>75</v>
      </c>
      <c r="D279" s="934" t="s">
        <v>90</v>
      </c>
      <c r="G279" s="926" t="s">
        <v>2782</v>
      </c>
      <c r="H279" s="926" t="s">
        <v>2783</v>
      </c>
    </row>
    <row r="280" spans="1:8" ht="14.4">
      <c r="A280" s="929" t="s">
        <v>374</v>
      </c>
      <c r="B280" s="165" t="s">
        <v>1591</v>
      </c>
      <c r="C280" s="934" t="s">
        <v>75</v>
      </c>
      <c r="D280" s="934" t="s">
        <v>89</v>
      </c>
      <c r="G280" s="926" t="s">
        <v>2768</v>
      </c>
      <c r="H280" s="926" t="s">
        <v>2769</v>
      </c>
    </row>
    <row r="281" spans="1:8" ht="14.4">
      <c r="A281" s="929" t="s">
        <v>1671</v>
      </c>
      <c r="B281" s="165" t="s">
        <v>1600</v>
      </c>
      <c r="C281" s="934" t="s">
        <v>75</v>
      </c>
      <c r="D281" s="934" t="s">
        <v>89</v>
      </c>
      <c r="G281" s="926" t="s">
        <v>2336</v>
      </c>
      <c r="H281" s="926" t="s">
        <v>2337</v>
      </c>
    </row>
    <row r="282" spans="1:8" ht="14.4">
      <c r="A282" s="929" t="s">
        <v>348</v>
      </c>
      <c r="B282" s="165" t="s">
        <v>347</v>
      </c>
      <c r="C282" s="934" t="s">
        <v>75</v>
      </c>
      <c r="D282" s="934" t="s">
        <v>89</v>
      </c>
      <c r="G282" s="926" t="s">
        <v>2716</v>
      </c>
      <c r="H282" s="926" t="s">
        <v>2717</v>
      </c>
    </row>
    <row r="283" spans="1:8" ht="14.4">
      <c r="A283" s="162" t="s">
        <v>987</v>
      </c>
      <c r="B283" s="163" t="s">
        <v>986</v>
      </c>
      <c r="C283" s="934" t="s">
        <v>75</v>
      </c>
      <c r="D283" s="934" t="s">
        <v>89</v>
      </c>
      <c r="G283" s="926" t="s">
        <v>2339</v>
      </c>
      <c r="H283" s="926" t="s">
        <v>2340</v>
      </c>
    </row>
    <row r="284" spans="1:8" ht="14.4">
      <c r="A284" s="929" t="s">
        <v>1663</v>
      </c>
      <c r="B284" s="165" t="s">
        <v>1593</v>
      </c>
      <c r="C284" s="934" t="s">
        <v>75</v>
      </c>
      <c r="D284" s="934" t="s">
        <v>89</v>
      </c>
      <c r="G284" s="926" t="s">
        <v>2064</v>
      </c>
      <c r="H284" s="926" t="s">
        <v>2793</v>
      </c>
    </row>
    <row r="285" spans="1:8" ht="14.4">
      <c r="A285" s="929" t="s">
        <v>373</v>
      </c>
      <c r="B285" s="165" t="s">
        <v>372</v>
      </c>
      <c r="C285" s="934" t="s">
        <v>75</v>
      </c>
      <c r="D285" s="934" t="s">
        <v>89</v>
      </c>
      <c r="G285" s="926" t="s">
        <v>2137</v>
      </c>
      <c r="H285" s="926" t="s">
        <v>2704</v>
      </c>
    </row>
    <row r="286" spans="1:8" ht="14.4">
      <c r="A286" s="162" t="s">
        <v>989</v>
      </c>
      <c r="B286" s="163" t="s">
        <v>988</v>
      </c>
      <c r="C286" s="934" t="s">
        <v>75</v>
      </c>
      <c r="D286" s="934" t="s">
        <v>89</v>
      </c>
      <c r="G286" s="926" t="s">
        <v>2678</v>
      </c>
      <c r="H286" s="926" t="s">
        <v>2679</v>
      </c>
    </row>
    <row r="287" spans="1:8" ht="14.4">
      <c r="A287" s="929" t="s">
        <v>1665</v>
      </c>
      <c r="B287" s="165" t="s">
        <v>1595</v>
      </c>
      <c r="C287" s="934" t="s">
        <v>75</v>
      </c>
      <c r="D287" s="934" t="s">
        <v>89</v>
      </c>
      <c r="G287" s="926" t="s">
        <v>2780</v>
      </c>
      <c r="H287" s="926" t="s">
        <v>2781</v>
      </c>
    </row>
    <row r="288" spans="1:8" ht="14.4">
      <c r="A288" s="929" t="s">
        <v>346</v>
      </c>
      <c r="B288" s="165" t="s">
        <v>345</v>
      </c>
      <c r="C288" s="934" t="s">
        <v>75</v>
      </c>
      <c r="D288" s="934" t="s">
        <v>89</v>
      </c>
      <c r="G288" s="926" t="s">
        <v>2341</v>
      </c>
      <c r="H288" s="926" t="s">
        <v>2342</v>
      </c>
    </row>
    <row r="289" spans="1:8" ht="14.4">
      <c r="A289" s="162" t="s">
        <v>991</v>
      </c>
      <c r="B289" s="163" t="s">
        <v>990</v>
      </c>
      <c r="C289" s="934" t="s">
        <v>75</v>
      </c>
      <c r="D289" s="934" t="s">
        <v>89</v>
      </c>
      <c r="G289" s="926" t="s">
        <v>2343</v>
      </c>
      <c r="H289" s="926" t="s">
        <v>2344</v>
      </c>
    </row>
    <row r="290" spans="1:8" ht="14.4">
      <c r="A290" s="929" t="s">
        <v>1668</v>
      </c>
      <c r="B290" s="165" t="s">
        <v>1598</v>
      </c>
      <c r="C290" s="934" t="s">
        <v>75</v>
      </c>
      <c r="D290" s="934" t="s">
        <v>89</v>
      </c>
      <c r="G290" s="926" t="s">
        <v>2789</v>
      </c>
      <c r="H290" s="926" t="s">
        <v>2790</v>
      </c>
    </row>
    <row r="291" spans="1:8" ht="14.4">
      <c r="A291" s="161" t="s">
        <v>1709</v>
      </c>
      <c r="B291" s="165" t="s">
        <v>1710</v>
      </c>
      <c r="C291" s="934" t="s">
        <v>75</v>
      </c>
      <c r="D291" s="934" t="s">
        <v>90</v>
      </c>
      <c r="G291" s="926" t="s">
        <v>2799</v>
      </c>
      <c r="H291" s="926" t="s">
        <v>2800</v>
      </c>
    </row>
    <row r="292" spans="1:8" ht="14.4">
      <c r="A292" s="929" t="s">
        <v>1673</v>
      </c>
      <c r="B292" s="165" t="s">
        <v>1602</v>
      </c>
      <c r="C292" s="934" t="s">
        <v>75</v>
      </c>
      <c r="D292" s="934" t="s">
        <v>89</v>
      </c>
      <c r="G292" s="926" t="s">
        <v>2758</v>
      </c>
      <c r="H292" s="926" t="s">
        <v>2759</v>
      </c>
    </row>
    <row r="293" spans="1:8" ht="14.4">
      <c r="A293" s="929" t="s">
        <v>1677</v>
      </c>
      <c r="B293" s="936" t="s">
        <v>1606</v>
      </c>
      <c r="C293" s="934" t="s">
        <v>75</v>
      </c>
      <c r="D293" s="934" t="s">
        <v>89</v>
      </c>
      <c r="G293" s="926" t="s">
        <v>2823</v>
      </c>
      <c r="H293" s="926" t="s">
        <v>2824</v>
      </c>
    </row>
    <row r="294" spans="1:8" ht="14.4">
      <c r="A294" s="929" t="s">
        <v>844</v>
      </c>
      <c r="B294" s="936" t="s">
        <v>843</v>
      </c>
      <c r="C294" s="934" t="s">
        <v>75</v>
      </c>
      <c r="D294" s="934" t="s">
        <v>89</v>
      </c>
      <c r="G294" s="926" t="s">
        <v>2649</v>
      </c>
      <c r="H294" s="926" t="s">
        <v>2696</v>
      </c>
    </row>
    <row r="295" spans="1:8" ht="14.4">
      <c r="A295" s="162" t="s">
        <v>993</v>
      </c>
      <c r="B295" s="164" t="s">
        <v>992</v>
      </c>
      <c r="C295" s="934" t="s">
        <v>75</v>
      </c>
      <c r="D295" s="934" t="s">
        <v>89</v>
      </c>
      <c r="G295" s="926" t="s">
        <v>2805</v>
      </c>
      <c r="H295" s="926" t="s">
        <v>2806</v>
      </c>
    </row>
    <row r="296" spans="1:8" ht="14.4">
      <c r="A296" s="929" t="s">
        <v>367</v>
      </c>
      <c r="B296" s="936" t="s">
        <v>366</v>
      </c>
      <c r="C296" s="934" t="s">
        <v>75</v>
      </c>
      <c r="D296" s="934" t="s">
        <v>89</v>
      </c>
      <c r="G296" s="926" t="s">
        <v>2802</v>
      </c>
      <c r="H296" s="926" t="s">
        <v>2803</v>
      </c>
    </row>
    <row r="297" spans="1:8" ht="14.4">
      <c r="A297" s="162" t="s">
        <v>995</v>
      </c>
      <c r="B297" s="164" t="s">
        <v>994</v>
      </c>
      <c r="C297" s="934" t="s">
        <v>75</v>
      </c>
      <c r="D297" s="934" t="s">
        <v>89</v>
      </c>
      <c r="G297" s="926" t="s">
        <v>2649</v>
      </c>
      <c r="H297" s="926" t="s">
        <v>2650</v>
      </c>
    </row>
    <row r="298" spans="1:8" ht="14.4">
      <c r="A298" s="929" t="s">
        <v>281</v>
      </c>
      <c r="B298" s="165" t="s">
        <v>280</v>
      </c>
      <c r="C298" s="934" t="s">
        <v>75</v>
      </c>
      <c r="D298" s="934" t="s">
        <v>90</v>
      </c>
      <c r="G298" s="926" t="s">
        <v>2451</v>
      </c>
      <c r="H298" s="926" t="s">
        <v>2719</v>
      </c>
    </row>
    <row r="299" spans="1:8" ht="14.4">
      <c r="A299" s="162" t="s">
        <v>997</v>
      </c>
      <c r="B299" s="163" t="s">
        <v>996</v>
      </c>
      <c r="C299" s="934" t="s">
        <v>75</v>
      </c>
      <c r="D299" s="934" t="s">
        <v>90</v>
      </c>
      <c r="G299" s="926" t="s">
        <v>2451</v>
      </c>
      <c r="H299" s="926" t="s">
        <v>2452</v>
      </c>
    </row>
    <row r="300" spans="1:8" ht="14.4">
      <c r="A300" s="929" t="s">
        <v>312</v>
      </c>
      <c r="B300" s="165" t="s">
        <v>311</v>
      </c>
      <c r="C300" s="934" t="s">
        <v>75</v>
      </c>
      <c r="D300" s="934" t="s">
        <v>90</v>
      </c>
      <c r="G300" s="926" t="s">
        <v>2745</v>
      </c>
      <c r="H300" s="926" t="s">
        <v>2746</v>
      </c>
    </row>
    <row r="301" spans="1:8" ht="14.4">
      <c r="A301" s="162" t="s">
        <v>999</v>
      </c>
      <c r="B301" s="163" t="s">
        <v>998</v>
      </c>
      <c r="C301" s="934" t="s">
        <v>75</v>
      </c>
      <c r="D301" s="934" t="s">
        <v>90</v>
      </c>
      <c r="G301" s="926" t="s">
        <v>2778</v>
      </c>
      <c r="H301" s="926" t="s">
        <v>2779</v>
      </c>
    </row>
    <row r="302" spans="1:8" ht="14.4">
      <c r="A302" s="161" t="s">
        <v>1726</v>
      </c>
      <c r="B302" s="165" t="s">
        <v>1727</v>
      </c>
      <c r="C302" s="934" t="s">
        <v>75</v>
      </c>
      <c r="D302" s="934" t="s">
        <v>90</v>
      </c>
      <c r="G302" s="926" t="s">
        <v>2659</v>
      </c>
      <c r="H302" s="926" t="s">
        <v>2660</v>
      </c>
    </row>
    <row r="303" spans="1:8" ht="14.4">
      <c r="A303" s="929" t="s">
        <v>283</v>
      </c>
      <c r="B303" s="165" t="s">
        <v>1608</v>
      </c>
      <c r="C303" s="934" t="s">
        <v>75</v>
      </c>
      <c r="D303" s="934" t="s">
        <v>89</v>
      </c>
      <c r="G303" s="926" t="s">
        <v>2785</v>
      </c>
      <c r="H303" s="926" t="s">
        <v>2786</v>
      </c>
    </row>
    <row r="304" spans="1:8" ht="14.4">
      <c r="A304" s="929" t="s">
        <v>1683</v>
      </c>
      <c r="B304" s="165" t="s">
        <v>1610</v>
      </c>
      <c r="C304" s="934" t="s">
        <v>75</v>
      </c>
      <c r="D304" s="934" t="s">
        <v>89</v>
      </c>
      <c r="G304" s="926" t="s">
        <v>2807</v>
      </c>
      <c r="H304" s="926" t="s">
        <v>2808</v>
      </c>
    </row>
    <row r="305" spans="1:8" ht="14.4">
      <c r="A305" s="929" t="s">
        <v>1685</v>
      </c>
      <c r="B305" s="165" t="s">
        <v>1612</v>
      </c>
      <c r="C305" s="934" t="s">
        <v>75</v>
      </c>
      <c r="D305" s="934" t="s">
        <v>89</v>
      </c>
      <c r="G305" s="926" t="s">
        <v>2811</v>
      </c>
      <c r="H305" s="926" t="s">
        <v>2812</v>
      </c>
    </row>
    <row r="306" spans="1:8" ht="14.4">
      <c r="A306" s="929" t="s">
        <v>846</v>
      </c>
      <c r="B306" s="165" t="s">
        <v>845</v>
      </c>
      <c r="C306" s="934" t="s">
        <v>75</v>
      </c>
      <c r="D306" s="934" t="s">
        <v>89</v>
      </c>
      <c r="G306" s="926" t="s">
        <v>2720</v>
      </c>
      <c r="H306" s="926" t="s">
        <v>2721</v>
      </c>
    </row>
    <row r="307" spans="1:8" ht="14.4">
      <c r="A307" s="162" t="s">
        <v>1001</v>
      </c>
      <c r="B307" s="163" t="s">
        <v>1000</v>
      </c>
      <c r="C307" s="934" t="s">
        <v>75</v>
      </c>
      <c r="D307" s="934" t="s">
        <v>89</v>
      </c>
      <c r="G307" s="926" t="s">
        <v>2453</v>
      </c>
      <c r="H307" s="926" t="s">
        <v>2130</v>
      </c>
    </row>
    <row r="308" spans="1:8" ht="14.4">
      <c r="A308" s="929" t="s">
        <v>376</v>
      </c>
      <c r="B308" s="165" t="s">
        <v>375</v>
      </c>
      <c r="C308" s="934" t="s">
        <v>75</v>
      </c>
      <c r="D308" s="934" t="s">
        <v>89</v>
      </c>
      <c r="G308" s="926" t="s">
        <v>2128</v>
      </c>
      <c r="H308" s="926" t="s">
        <v>2129</v>
      </c>
    </row>
    <row r="309" spans="1:8" ht="14.4">
      <c r="A309" s="163" t="s">
        <v>1003</v>
      </c>
      <c r="B309" s="163" t="s">
        <v>1002</v>
      </c>
      <c r="C309" s="934" t="s">
        <v>75</v>
      </c>
      <c r="D309" s="934" t="s">
        <v>89</v>
      </c>
      <c r="G309" s="926" t="s">
        <v>2209</v>
      </c>
      <c r="H309" s="926" t="s">
        <v>2210</v>
      </c>
    </row>
    <row r="310" spans="1:8" ht="14.4">
      <c r="A310" s="929" t="s">
        <v>1687</v>
      </c>
      <c r="B310" s="165" t="s">
        <v>1614</v>
      </c>
      <c r="C310" s="934" t="s">
        <v>75</v>
      </c>
      <c r="D310" s="934" t="s">
        <v>89</v>
      </c>
      <c r="G310" s="926" t="s">
        <v>1520</v>
      </c>
      <c r="H310" s="926" t="s">
        <v>2772</v>
      </c>
    </row>
    <row r="311" spans="1:8" ht="14.4">
      <c r="A311" s="929" t="s">
        <v>1689</v>
      </c>
      <c r="B311" s="165" t="s">
        <v>1616</v>
      </c>
      <c r="C311" s="934" t="s">
        <v>75</v>
      </c>
      <c r="D311" s="934" t="s">
        <v>89</v>
      </c>
      <c r="G311" s="926" t="s">
        <v>1439</v>
      </c>
      <c r="H311" s="926" t="s">
        <v>2761</v>
      </c>
    </row>
    <row r="312" spans="1:8" ht="14.4">
      <c r="A312" s="929" t="s">
        <v>1691</v>
      </c>
      <c r="B312" s="165" t="s">
        <v>1618</v>
      </c>
      <c r="C312" s="934" t="s">
        <v>75</v>
      </c>
      <c r="D312" s="934" t="s">
        <v>89</v>
      </c>
      <c r="G312" s="926" t="s">
        <v>396</v>
      </c>
      <c r="H312" s="926" t="s">
        <v>2697</v>
      </c>
    </row>
    <row r="313" spans="1:8" ht="14.4">
      <c r="A313" s="929" t="s">
        <v>848</v>
      </c>
      <c r="B313" s="165" t="s">
        <v>847</v>
      </c>
      <c r="C313" s="934" t="s">
        <v>75</v>
      </c>
      <c r="D313" s="934" t="s">
        <v>89</v>
      </c>
      <c r="G313" s="926" t="s">
        <v>2748</v>
      </c>
      <c r="H313" s="926" t="s">
        <v>2750</v>
      </c>
    </row>
    <row r="314" spans="1:8" ht="14.4">
      <c r="A314" s="163" t="s">
        <v>1005</v>
      </c>
      <c r="B314" s="163" t="s">
        <v>1004</v>
      </c>
      <c r="C314" s="934" t="s">
        <v>75</v>
      </c>
      <c r="D314" s="934" t="s">
        <v>89</v>
      </c>
      <c r="G314" s="926" t="s">
        <v>935</v>
      </c>
      <c r="H314" s="926" t="s">
        <v>2603</v>
      </c>
    </row>
    <row r="315" spans="1:8" ht="14.4">
      <c r="A315" s="929" t="s">
        <v>385</v>
      </c>
      <c r="B315" s="165" t="s">
        <v>384</v>
      </c>
      <c r="C315" s="934" t="s">
        <v>75</v>
      </c>
      <c r="D315" s="934" t="s">
        <v>89</v>
      </c>
      <c r="G315" s="926" t="s">
        <v>1404</v>
      </c>
      <c r="H315" s="926" t="s">
        <v>2687</v>
      </c>
    </row>
    <row r="316" spans="1:8" ht="14.4">
      <c r="A316" s="163" t="s">
        <v>1007</v>
      </c>
      <c r="B316" s="163" t="s">
        <v>1006</v>
      </c>
      <c r="C316" s="934" t="s">
        <v>75</v>
      </c>
      <c r="D316" s="934" t="s">
        <v>89</v>
      </c>
      <c r="G316" s="926" t="s">
        <v>1371</v>
      </c>
      <c r="H316" s="926" t="s">
        <v>2106</v>
      </c>
    </row>
    <row r="317" spans="1:8" ht="14.4">
      <c r="A317" s="929" t="s">
        <v>1693</v>
      </c>
      <c r="B317" s="165" t="s">
        <v>1620</v>
      </c>
      <c r="C317" s="934" t="s">
        <v>75</v>
      </c>
      <c r="D317" s="934" t="s">
        <v>89</v>
      </c>
      <c r="G317" s="926" t="s">
        <v>2104</v>
      </c>
      <c r="H317" s="926" t="s">
        <v>2105</v>
      </c>
    </row>
    <row r="318" spans="1:8" ht="14.4">
      <c r="A318" s="929" t="s">
        <v>369</v>
      </c>
      <c r="B318" s="165" t="s">
        <v>368</v>
      </c>
      <c r="C318" s="934" t="s">
        <v>75</v>
      </c>
      <c r="D318" s="934" t="s">
        <v>89</v>
      </c>
      <c r="G318" s="926" t="s">
        <v>1256</v>
      </c>
      <c r="H318" s="926" t="s">
        <v>2639</v>
      </c>
    </row>
    <row r="319" spans="1:8" ht="14.4">
      <c r="A319" s="163" t="s">
        <v>1009</v>
      </c>
      <c r="B319" s="163" t="s">
        <v>1008</v>
      </c>
      <c r="C319" s="934" t="s">
        <v>75</v>
      </c>
      <c r="D319" s="934" t="s">
        <v>89</v>
      </c>
      <c r="G319" s="926" t="s">
        <v>2615</v>
      </c>
      <c r="H319" s="926" t="s">
        <v>2617</v>
      </c>
    </row>
    <row r="320" spans="1:8" ht="14.4">
      <c r="A320" s="929" t="s">
        <v>330</v>
      </c>
      <c r="B320" s="165" t="s">
        <v>329</v>
      </c>
      <c r="C320" s="934" t="s">
        <v>75</v>
      </c>
      <c r="D320" s="934" t="s">
        <v>90</v>
      </c>
      <c r="G320" s="926" t="s">
        <v>1339</v>
      </c>
      <c r="H320" s="926" t="s">
        <v>2670</v>
      </c>
    </row>
    <row r="321" spans="1:8" ht="14.4">
      <c r="A321" s="163" t="s">
        <v>1011</v>
      </c>
      <c r="B321" s="163" t="s">
        <v>1010</v>
      </c>
      <c r="C321" s="934" t="s">
        <v>75</v>
      </c>
      <c r="D321" s="934" t="s">
        <v>90</v>
      </c>
      <c r="G321" s="926" t="s">
        <v>1246</v>
      </c>
      <c r="H321" s="926" t="s">
        <v>2726</v>
      </c>
    </row>
    <row r="322" spans="1:8" ht="14.4">
      <c r="A322" s="161" t="s">
        <v>1717</v>
      </c>
      <c r="B322" s="165" t="s">
        <v>1718</v>
      </c>
      <c r="C322" s="934" t="s">
        <v>75</v>
      </c>
      <c r="D322" s="934" t="s">
        <v>90</v>
      </c>
      <c r="G322" s="926" t="s">
        <v>1442</v>
      </c>
      <c r="H322" s="926" t="s">
        <v>2632</v>
      </c>
    </row>
    <row r="323" spans="1:8" ht="14.4">
      <c r="A323" s="929" t="s">
        <v>1706</v>
      </c>
      <c r="B323" s="165" t="s">
        <v>1632</v>
      </c>
      <c r="C323" s="934" t="s">
        <v>75</v>
      </c>
      <c r="D323" s="934" t="s">
        <v>89</v>
      </c>
      <c r="G323" s="926" t="s">
        <v>1249</v>
      </c>
      <c r="H323" s="926" t="s">
        <v>2577</v>
      </c>
    </row>
    <row r="324" spans="1:8" ht="14.4">
      <c r="A324" s="929" t="s">
        <v>850</v>
      </c>
      <c r="B324" s="165" t="s">
        <v>849</v>
      </c>
      <c r="C324" s="934" t="s">
        <v>75</v>
      </c>
      <c r="D324" s="934" t="s">
        <v>89</v>
      </c>
      <c r="G324" s="926" t="s">
        <v>1280</v>
      </c>
      <c r="H324" s="926" t="s">
        <v>2676</v>
      </c>
    </row>
    <row r="325" spans="1:8" ht="14.4">
      <c r="A325" s="163" t="s">
        <v>1013</v>
      </c>
      <c r="B325" s="163" t="s">
        <v>1012</v>
      </c>
      <c r="C325" s="934" t="s">
        <v>75</v>
      </c>
      <c r="D325" s="934" t="s">
        <v>89</v>
      </c>
      <c r="G325" s="926" t="s">
        <v>1411</v>
      </c>
      <c r="H325" s="926" t="s">
        <v>2685</v>
      </c>
    </row>
    <row r="326" spans="1:8" ht="14.4">
      <c r="A326" s="161" t="s">
        <v>392</v>
      </c>
      <c r="B326" s="160" t="s">
        <v>391</v>
      </c>
      <c r="C326" s="934" t="s">
        <v>75</v>
      </c>
      <c r="D326" s="934" t="s">
        <v>98</v>
      </c>
      <c r="G326" s="926" t="s">
        <v>2345</v>
      </c>
      <c r="H326" s="926" t="s">
        <v>2346</v>
      </c>
    </row>
    <row r="327" spans="1:8" ht="14.4">
      <c r="A327" s="163" t="s">
        <v>1015</v>
      </c>
      <c r="B327" s="163" t="s">
        <v>1014</v>
      </c>
      <c r="C327" s="934" t="s">
        <v>75</v>
      </c>
      <c r="D327" s="934">
        <v>0</v>
      </c>
      <c r="G327" s="926" t="s">
        <v>1154</v>
      </c>
      <c r="H327" s="926" t="s">
        <v>2554</v>
      </c>
    </row>
    <row r="328" spans="1:8" ht="14.4">
      <c r="A328" s="165" t="s">
        <v>1699</v>
      </c>
      <c r="B328" s="165" t="s">
        <v>1625</v>
      </c>
      <c r="C328" s="934" t="s">
        <v>75</v>
      </c>
      <c r="D328" s="934" t="s">
        <v>89</v>
      </c>
      <c r="G328" s="926" t="s">
        <v>929</v>
      </c>
      <c r="H328" s="926" t="s">
        <v>2152</v>
      </c>
    </row>
    <row r="329" spans="1:8" ht="14.4">
      <c r="A329" s="165" t="s">
        <v>1701</v>
      </c>
      <c r="B329" s="165" t="s">
        <v>1627</v>
      </c>
      <c r="C329" s="934" t="s">
        <v>75</v>
      </c>
      <c r="D329" s="934" t="s">
        <v>89</v>
      </c>
      <c r="G329" s="926" t="s">
        <v>931</v>
      </c>
      <c r="H329" s="926" t="s">
        <v>2552</v>
      </c>
    </row>
    <row r="330" spans="1:8" ht="14.4">
      <c r="A330" s="929" t="s">
        <v>387</v>
      </c>
      <c r="B330" s="165" t="s">
        <v>386</v>
      </c>
      <c r="C330" s="934" t="s">
        <v>75</v>
      </c>
      <c r="D330" s="934" t="s">
        <v>89</v>
      </c>
      <c r="G330" s="926" t="s">
        <v>1183</v>
      </c>
      <c r="H330" s="926" t="s">
        <v>2623</v>
      </c>
    </row>
    <row r="331" spans="1:8" ht="14.4">
      <c r="A331" s="163" t="s">
        <v>1017</v>
      </c>
      <c r="B331" s="163" t="s">
        <v>1016</v>
      </c>
      <c r="C331" s="934" t="s">
        <v>75</v>
      </c>
      <c r="D331" s="934" t="s">
        <v>89</v>
      </c>
      <c r="G331" s="926" t="s">
        <v>1177</v>
      </c>
      <c r="H331" s="926" t="s">
        <v>2572</v>
      </c>
    </row>
    <row r="332" spans="1:8" ht="14.4">
      <c r="A332" s="161" t="s">
        <v>294</v>
      </c>
      <c r="B332" s="160" t="s">
        <v>293</v>
      </c>
      <c r="C332" s="934" t="s">
        <v>75</v>
      </c>
      <c r="D332" s="934" t="s">
        <v>95</v>
      </c>
      <c r="G332" s="926" t="s">
        <v>2348</v>
      </c>
      <c r="H332" s="926" t="s">
        <v>2349</v>
      </c>
    </row>
    <row r="333" spans="1:8" ht="14.4">
      <c r="A333" s="163" t="s">
        <v>1019</v>
      </c>
      <c r="B333" s="163" t="s">
        <v>1018</v>
      </c>
      <c r="C333" s="934" t="s">
        <v>75</v>
      </c>
      <c r="D333" s="934" t="s">
        <v>95</v>
      </c>
      <c r="G333" s="926" t="s">
        <v>1283</v>
      </c>
      <c r="H333" s="926" t="s">
        <v>2693</v>
      </c>
    </row>
    <row r="334" spans="1:8" ht="14.4">
      <c r="A334" s="162" t="s">
        <v>314</v>
      </c>
      <c r="B334" s="163" t="s">
        <v>313</v>
      </c>
      <c r="C334" s="934" t="s">
        <v>75</v>
      </c>
      <c r="D334" s="934" t="s">
        <v>94</v>
      </c>
      <c r="G334" s="926" t="s">
        <v>1203</v>
      </c>
      <c r="H334" s="926" t="s">
        <v>2579</v>
      </c>
    </row>
    <row r="335" spans="1:8" ht="14.4">
      <c r="A335" s="163" t="s">
        <v>1021</v>
      </c>
      <c r="B335" s="163" t="s">
        <v>1020</v>
      </c>
      <c r="C335" s="934" t="s">
        <v>75</v>
      </c>
      <c r="D335" s="934" t="s">
        <v>94</v>
      </c>
      <c r="G335" s="926" t="s">
        <v>1151</v>
      </c>
      <c r="H335" s="926" t="s">
        <v>2583</v>
      </c>
    </row>
    <row r="336" spans="1:8" ht="14.4">
      <c r="A336" s="162" t="s">
        <v>287</v>
      </c>
      <c r="B336" s="163" t="s">
        <v>286</v>
      </c>
      <c r="C336" s="934" t="s">
        <v>75</v>
      </c>
      <c r="D336" s="934" t="s">
        <v>94</v>
      </c>
      <c r="G336" s="926" t="s">
        <v>1234</v>
      </c>
      <c r="H336" s="926" t="s">
        <v>2628</v>
      </c>
    </row>
    <row r="337" spans="1:8" ht="14.4">
      <c r="A337" s="163" t="s">
        <v>1023</v>
      </c>
      <c r="B337" s="163" t="s">
        <v>1022</v>
      </c>
      <c r="C337" s="934" t="s">
        <v>75</v>
      </c>
      <c r="D337" s="934" t="s">
        <v>94</v>
      </c>
      <c r="G337" s="926" t="s">
        <v>1312</v>
      </c>
      <c r="H337" s="926" t="s">
        <v>2461</v>
      </c>
    </row>
    <row r="338" spans="1:8" ht="14.4">
      <c r="A338" s="161" t="s">
        <v>1721</v>
      </c>
      <c r="B338" s="165" t="s">
        <v>1629</v>
      </c>
      <c r="C338" s="934" t="s">
        <v>75</v>
      </c>
      <c r="D338" s="934" t="s">
        <v>90</v>
      </c>
      <c r="G338" s="926" t="s">
        <v>1305</v>
      </c>
      <c r="H338" s="926" t="s">
        <v>2653</v>
      </c>
    </row>
    <row r="339" spans="1:8" ht="14.4">
      <c r="A339" s="929" t="s">
        <v>1704</v>
      </c>
      <c r="B339" s="165" t="s">
        <v>1630</v>
      </c>
      <c r="C339" s="934" t="s">
        <v>75</v>
      </c>
      <c r="D339" s="934" t="s">
        <v>89</v>
      </c>
      <c r="G339" s="926" t="s">
        <v>1330</v>
      </c>
      <c r="H339" s="926" t="s">
        <v>2644</v>
      </c>
    </row>
    <row r="340" spans="1:8" ht="14.4">
      <c r="A340" s="929" t="s">
        <v>1697</v>
      </c>
      <c r="B340" s="165" t="s">
        <v>1623</v>
      </c>
      <c r="C340" s="934" t="s">
        <v>75</v>
      </c>
      <c r="D340" s="934" t="s">
        <v>89</v>
      </c>
      <c r="G340" s="926" t="s">
        <v>933</v>
      </c>
      <c r="H340" s="926" t="s">
        <v>2454</v>
      </c>
    </row>
    <row r="341" spans="1:8" ht="14.4">
      <c r="A341" s="929" t="s">
        <v>852</v>
      </c>
      <c r="B341" s="165" t="s">
        <v>851</v>
      </c>
      <c r="C341" s="934" t="s">
        <v>75</v>
      </c>
      <c r="D341" s="934" t="s">
        <v>89</v>
      </c>
      <c r="G341" s="926" t="s">
        <v>1329</v>
      </c>
      <c r="H341" s="926" t="s">
        <v>2595</v>
      </c>
    </row>
    <row r="342" spans="1:8" ht="14.4">
      <c r="A342" s="163" t="s">
        <v>1025</v>
      </c>
      <c r="B342" s="163" t="s">
        <v>1024</v>
      </c>
      <c r="C342" s="934" t="s">
        <v>75</v>
      </c>
      <c r="D342" s="934" t="s">
        <v>89</v>
      </c>
      <c r="G342" s="926" t="s">
        <v>1466</v>
      </c>
      <c r="H342" s="926" t="s">
        <v>2700</v>
      </c>
    </row>
    <row r="343" spans="1:8" ht="14.4">
      <c r="A343" s="929" t="s">
        <v>310</v>
      </c>
      <c r="B343" s="165" t="s">
        <v>309</v>
      </c>
      <c r="C343" s="934" t="s">
        <v>75</v>
      </c>
      <c r="D343" s="934" t="s">
        <v>90</v>
      </c>
      <c r="G343" s="926" t="s">
        <v>1363</v>
      </c>
      <c r="H343" s="926" t="s">
        <v>2585</v>
      </c>
    </row>
    <row r="344" spans="1:8" ht="14.4">
      <c r="A344" s="163" t="s">
        <v>1027</v>
      </c>
      <c r="B344" s="163" t="s">
        <v>1026</v>
      </c>
      <c r="C344" s="934" t="s">
        <v>75</v>
      </c>
      <c r="D344" s="934" t="s">
        <v>90</v>
      </c>
      <c r="G344" s="926" t="s">
        <v>1359</v>
      </c>
      <c r="H344" s="926" t="s">
        <v>2605</v>
      </c>
    </row>
    <row r="345" spans="1:8" ht="14.4">
      <c r="A345" s="162" t="s">
        <v>435</v>
      </c>
      <c r="B345" s="163" t="s">
        <v>434</v>
      </c>
      <c r="C345" s="934" t="s">
        <v>75</v>
      </c>
      <c r="D345" s="934" t="s">
        <v>96</v>
      </c>
      <c r="G345" s="926" t="s">
        <v>1293</v>
      </c>
      <c r="H345" s="926" t="s">
        <v>2588</v>
      </c>
    </row>
    <row r="346" spans="1:8" ht="14.4">
      <c r="A346" s="163" t="s">
        <v>1029</v>
      </c>
      <c r="B346" s="163" t="s">
        <v>1028</v>
      </c>
      <c r="C346" s="934" t="s">
        <v>75</v>
      </c>
      <c r="D346" s="934" t="s">
        <v>89</v>
      </c>
      <c r="G346" s="926" t="s">
        <v>1392</v>
      </c>
      <c r="H346" s="926" t="s">
        <v>2626</v>
      </c>
    </row>
    <row r="347" spans="1:8" ht="14.4">
      <c r="A347" s="161" t="s">
        <v>1730</v>
      </c>
      <c r="B347" s="160" t="s">
        <v>1731</v>
      </c>
      <c r="C347" s="934" t="s">
        <v>144</v>
      </c>
      <c r="D347" s="934" t="s">
        <v>146</v>
      </c>
      <c r="G347" s="926" t="s">
        <v>1480</v>
      </c>
      <c r="H347" s="926" t="s">
        <v>2771</v>
      </c>
    </row>
    <row r="348" spans="1:8" ht="14.4">
      <c r="A348" s="161" t="s">
        <v>854</v>
      </c>
      <c r="B348" s="160" t="s">
        <v>853</v>
      </c>
      <c r="C348" s="934" t="s">
        <v>144</v>
      </c>
      <c r="D348" s="934" t="s">
        <v>181</v>
      </c>
      <c r="G348" s="926" t="s">
        <v>1439</v>
      </c>
      <c r="H348" s="926" t="s">
        <v>2760</v>
      </c>
    </row>
    <row r="349" spans="1:8" ht="14.4">
      <c r="A349" s="163" t="s">
        <v>1031</v>
      </c>
      <c r="B349" s="163" t="s">
        <v>1030</v>
      </c>
      <c r="C349" s="934" t="s">
        <v>144</v>
      </c>
      <c r="D349" s="934" t="s">
        <v>146</v>
      </c>
      <c r="G349" s="926" t="s">
        <v>1227</v>
      </c>
      <c r="H349" s="926" t="s">
        <v>2742</v>
      </c>
    </row>
    <row r="350" spans="1:8" ht="14.4">
      <c r="A350" s="161" t="s">
        <v>506</v>
      </c>
      <c r="B350" s="160" t="s">
        <v>505</v>
      </c>
      <c r="C350" s="934" t="s">
        <v>144</v>
      </c>
      <c r="D350" s="934" t="s">
        <v>98</v>
      </c>
      <c r="G350" s="926" t="s">
        <v>2748</v>
      </c>
      <c r="H350" s="926" t="s">
        <v>2749</v>
      </c>
    </row>
    <row r="351" spans="1:8" ht="14.4">
      <c r="A351" s="163" t="s">
        <v>1033</v>
      </c>
      <c r="B351" s="163" t="s">
        <v>1032</v>
      </c>
      <c r="C351" s="934" t="s">
        <v>144</v>
      </c>
      <c r="D351" s="934" t="s">
        <v>98</v>
      </c>
      <c r="G351" s="926" t="s">
        <v>935</v>
      </c>
      <c r="H351" s="926" t="s">
        <v>2602</v>
      </c>
    </row>
    <row r="352" spans="1:8" ht="14.4">
      <c r="A352" s="161" t="s">
        <v>308</v>
      </c>
      <c r="B352" s="160" t="s">
        <v>307</v>
      </c>
      <c r="C352" s="934" t="s">
        <v>144</v>
      </c>
      <c r="D352" s="934" t="s">
        <v>150</v>
      </c>
      <c r="G352" s="926" t="s">
        <v>1404</v>
      </c>
      <c r="H352" s="926" t="s">
        <v>2686</v>
      </c>
    </row>
    <row r="353" spans="1:8" ht="14.4">
      <c r="A353" s="163" t="s">
        <v>1035</v>
      </c>
      <c r="B353" s="163" t="s">
        <v>1034</v>
      </c>
      <c r="C353" s="934" t="s">
        <v>144</v>
      </c>
      <c r="D353" s="934" t="s">
        <v>150</v>
      </c>
      <c r="G353" s="926" t="s">
        <v>2350</v>
      </c>
      <c r="H353" s="926" t="s">
        <v>2351</v>
      </c>
    </row>
    <row r="354" spans="1:8" ht="14.4">
      <c r="A354" s="161" t="s">
        <v>292</v>
      </c>
      <c r="B354" s="160" t="s">
        <v>291</v>
      </c>
      <c r="C354" s="934" t="s">
        <v>144</v>
      </c>
      <c r="D354" s="934" t="s">
        <v>150</v>
      </c>
      <c r="G354" s="926" t="s">
        <v>1371</v>
      </c>
      <c r="H354" s="926" t="s">
        <v>2765</v>
      </c>
    </row>
    <row r="355" spans="1:8" ht="14.4">
      <c r="A355" s="163" t="s">
        <v>1037</v>
      </c>
      <c r="B355" s="163" t="s">
        <v>1036</v>
      </c>
      <c r="C355" s="934" t="s">
        <v>144</v>
      </c>
      <c r="D355" s="934" t="s">
        <v>150</v>
      </c>
      <c r="G355" s="926" t="s">
        <v>2141</v>
      </c>
      <c r="H355" s="926" t="s">
        <v>2142</v>
      </c>
    </row>
    <row r="356" spans="1:8" ht="14.4">
      <c r="A356" s="161" t="s">
        <v>1821</v>
      </c>
      <c r="B356" s="160" t="s">
        <v>1822</v>
      </c>
      <c r="C356" s="934" t="s">
        <v>144</v>
      </c>
      <c r="D356" s="934" t="s">
        <v>146</v>
      </c>
      <c r="G356" s="926" t="s">
        <v>2352</v>
      </c>
      <c r="H356" s="926" t="s">
        <v>2353</v>
      </c>
    </row>
    <row r="357" spans="1:8" ht="14.4">
      <c r="A357" s="160" t="s">
        <v>1861</v>
      </c>
      <c r="B357" s="160" t="s">
        <v>1862</v>
      </c>
      <c r="C357" s="934" t="s">
        <v>144</v>
      </c>
      <c r="D357" s="934" t="s">
        <v>146</v>
      </c>
      <c r="G357" s="926" t="s">
        <v>1256</v>
      </c>
      <c r="H357" s="926" t="s">
        <v>2665</v>
      </c>
    </row>
    <row r="358" spans="1:8" ht="14.4">
      <c r="A358" s="161" t="s">
        <v>1839</v>
      </c>
      <c r="B358" s="160" t="s">
        <v>1840</v>
      </c>
      <c r="C358" s="934" t="s">
        <v>144</v>
      </c>
      <c r="D358" s="934" t="s">
        <v>146</v>
      </c>
      <c r="G358" s="926" t="s">
        <v>2615</v>
      </c>
      <c r="H358" s="926" t="s">
        <v>2739</v>
      </c>
    </row>
    <row r="359" spans="1:8" ht="14.4">
      <c r="A359" s="161" t="s">
        <v>1851</v>
      </c>
      <c r="B359" s="160" t="s">
        <v>1852</v>
      </c>
      <c r="C359" s="934" t="s">
        <v>144</v>
      </c>
      <c r="D359" s="934" t="s">
        <v>146</v>
      </c>
      <c r="G359" s="926" t="s">
        <v>1339</v>
      </c>
      <c r="H359" s="926" t="s">
        <v>2698</v>
      </c>
    </row>
    <row r="360" spans="1:8" ht="14.4">
      <c r="A360" s="161" t="s">
        <v>1735</v>
      </c>
      <c r="B360" s="160" t="s">
        <v>1736</v>
      </c>
      <c r="C360" s="934" t="s">
        <v>144</v>
      </c>
      <c r="D360" s="934" t="s">
        <v>146</v>
      </c>
      <c r="G360" s="926" t="s">
        <v>1409</v>
      </c>
      <c r="H360" s="926" t="s">
        <v>2767</v>
      </c>
    </row>
    <row r="361" spans="1:8" ht="14.4">
      <c r="A361" s="161" t="s">
        <v>1735</v>
      </c>
      <c r="B361" s="160" t="s">
        <v>1736</v>
      </c>
      <c r="C361" s="934" t="s">
        <v>144</v>
      </c>
      <c r="D361" s="934" t="s">
        <v>146</v>
      </c>
      <c r="G361" s="926" t="s">
        <v>1208</v>
      </c>
      <c r="H361" s="926" t="s">
        <v>2703</v>
      </c>
    </row>
    <row r="362" spans="1:8" ht="14.4">
      <c r="A362" s="161" t="s">
        <v>1827</v>
      </c>
      <c r="B362" s="160" t="s">
        <v>1828</v>
      </c>
      <c r="C362" s="934" t="s">
        <v>144</v>
      </c>
      <c r="D362" s="934" t="s">
        <v>181</v>
      </c>
      <c r="G362" s="926" t="s">
        <v>1249</v>
      </c>
      <c r="H362" s="926" t="s">
        <v>2688</v>
      </c>
    </row>
    <row r="363" spans="1:8" ht="14.4">
      <c r="A363" s="161" t="s">
        <v>1833</v>
      </c>
      <c r="B363" s="160" t="s">
        <v>1834</v>
      </c>
      <c r="C363" s="934" t="s">
        <v>144</v>
      </c>
      <c r="D363" s="934" t="s">
        <v>181</v>
      </c>
      <c r="G363" s="926" t="s">
        <v>1280</v>
      </c>
      <c r="H363" s="926" t="s">
        <v>2708</v>
      </c>
    </row>
    <row r="364" spans="1:8" ht="14.4">
      <c r="A364" s="161" t="s">
        <v>1845</v>
      </c>
      <c r="B364" s="160" t="s">
        <v>1846</v>
      </c>
      <c r="C364" s="934" t="s">
        <v>144</v>
      </c>
      <c r="D364" s="934" t="s">
        <v>181</v>
      </c>
      <c r="G364" s="926" t="s">
        <v>1302</v>
      </c>
      <c r="H364" s="926" t="s">
        <v>2710</v>
      </c>
    </row>
    <row r="365" spans="1:8" ht="14.4">
      <c r="A365" s="161" t="s">
        <v>1815</v>
      </c>
      <c r="B365" s="160" t="s">
        <v>1816</v>
      </c>
      <c r="C365" s="934" t="s">
        <v>144</v>
      </c>
      <c r="D365" s="934" t="s">
        <v>146</v>
      </c>
      <c r="G365" s="926" t="s">
        <v>2354</v>
      </c>
      <c r="H365" s="926" t="s">
        <v>2355</v>
      </c>
    </row>
    <row r="366" spans="1:8" ht="14.4">
      <c r="A366" s="161" t="s">
        <v>1857</v>
      </c>
      <c r="B366" s="160" t="s">
        <v>1858</v>
      </c>
      <c r="C366" s="934" t="s">
        <v>144</v>
      </c>
      <c r="D366" s="934" t="s">
        <v>181</v>
      </c>
      <c r="G366" s="926" t="s">
        <v>1154</v>
      </c>
      <c r="H366" s="926" t="s">
        <v>2556</v>
      </c>
    </row>
    <row r="367" spans="1:8" ht="14.4">
      <c r="A367" s="161" t="s">
        <v>328</v>
      </c>
      <c r="B367" s="160" t="s">
        <v>327</v>
      </c>
      <c r="C367" s="934" t="s">
        <v>155</v>
      </c>
      <c r="D367" s="934" t="s">
        <v>159</v>
      </c>
      <c r="G367" s="926" t="s">
        <v>929</v>
      </c>
      <c r="H367" s="926" t="s">
        <v>2455</v>
      </c>
    </row>
    <row r="368" spans="1:8" ht="14.4">
      <c r="A368" s="163" t="s">
        <v>1039</v>
      </c>
      <c r="B368" s="163" t="s">
        <v>1038</v>
      </c>
      <c r="C368" s="934" t="s">
        <v>155</v>
      </c>
      <c r="D368" s="934" t="s">
        <v>159</v>
      </c>
      <c r="G368" s="926" t="s">
        <v>931</v>
      </c>
      <c r="H368" s="926" t="s">
        <v>2555</v>
      </c>
    </row>
    <row r="369" spans="1:8" ht="14.4">
      <c r="A369" s="161" t="s">
        <v>498</v>
      </c>
      <c r="B369" s="160" t="s">
        <v>497</v>
      </c>
      <c r="C369" s="934" t="s">
        <v>155</v>
      </c>
      <c r="D369" s="934" t="s">
        <v>163</v>
      </c>
      <c r="G369" s="926" t="s">
        <v>1183</v>
      </c>
      <c r="H369" s="926" t="s">
        <v>2640</v>
      </c>
    </row>
    <row r="370" spans="1:8" ht="14.4">
      <c r="A370" s="163" t="s">
        <v>1041</v>
      </c>
      <c r="B370" s="163" t="s">
        <v>1040</v>
      </c>
      <c r="C370" s="934" t="s">
        <v>155</v>
      </c>
      <c r="D370" s="934" t="s">
        <v>163</v>
      </c>
      <c r="G370" s="926" t="s">
        <v>1177</v>
      </c>
      <c r="H370" s="926" t="s">
        <v>2575</v>
      </c>
    </row>
    <row r="371" spans="1:8" ht="14.4">
      <c r="A371" s="161" t="s">
        <v>350</v>
      </c>
      <c r="B371" s="160" t="s">
        <v>349</v>
      </c>
      <c r="C371" s="934" t="s">
        <v>155</v>
      </c>
      <c r="D371" s="934" t="s">
        <v>161</v>
      </c>
      <c r="G371" s="926" t="s">
        <v>1283</v>
      </c>
      <c r="H371" s="926" t="s">
        <v>2714</v>
      </c>
    </row>
    <row r="372" spans="1:8" ht="14.4">
      <c r="A372" s="163" t="s">
        <v>1043</v>
      </c>
      <c r="B372" s="163" t="s">
        <v>1042</v>
      </c>
      <c r="C372" s="934" t="s">
        <v>155</v>
      </c>
      <c r="D372" s="934" t="s">
        <v>161</v>
      </c>
      <c r="G372" s="926" t="s">
        <v>1203</v>
      </c>
      <c r="H372" s="926" t="s">
        <v>2593</v>
      </c>
    </row>
    <row r="373" spans="1:8" ht="14.4">
      <c r="A373" s="161" t="s">
        <v>334</v>
      </c>
      <c r="B373" s="160" t="s">
        <v>333</v>
      </c>
      <c r="C373" s="934" t="s">
        <v>155</v>
      </c>
      <c r="D373" s="934" t="s">
        <v>162</v>
      </c>
      <c r="G373" s="926" t="s">
        <v>1151</v>
      </c>
      <c r="H373" s="926" t="s">
        <v>2586</v>
      </c>
    </row>
    <row r="374" spans="1:8" ht="14.4">
      <c r="A374" s="162" t="s">
        <v>1045</v>
      </c>
      <c r="B374" s="163" t="s">
        <v>1044</v>
      </c>
      <c r="C374" s="934" t="s">
        <v>155</v>
      </c>
      <c r="D374" s="934" t="s">
        <v>162</v>
      </c>
      <c r="G374" s="926" t="s">
        <v>1234</v>
      </c>
      <c r="H374" s="926" t="s">
        <v>2657</v>
      </c>
    </row>
    <row r="375" spans="1:8" ht="14.4">
      <c r="A375" s="161" t="s">
        <v>528</v>
      </c>
      <c r="B375" s="160" t="s">
        <v>527</v>
      </c>
      <c r="C375" s="934" t="s">
        <v>155</v>
      </c>
      <c r="D375" s="934" t="s">
        <v>161</v>
      </c>
      <c r="G375" s="926" t="s">
        <v>1244</v>
      </c>
      <c r="H375" s="926" t="s">
        <v>2667</v>
      </c>
    </row>
    <row r="376" spans="1:8" ht="14.4">
      <c r="A376" s="162" t="s">
        <v>1047</v>
      </c>
      <c r="B376" s="163" t="s">
        <v>1046</v>
      </c>
      <c r="C376" s="934" t="s">
        <v>155</v>
      </c>
      <c r="D376" s="934" t="s">
        <v>161</v>
      </c>
      <c r="G376" s="926" t="s">
        <v>1305</v>
      </c>
      <c r="H376" s="926" t="s">
        <v>2689</v>
      </c>
    </row>
    <row r="377" spans="1:8" ht="14.4">
      <c r="A377" s="161" t="s">
        <v>1869</v>
      </c>
      <c r="B377" s="160" t="s">
        <v>1870</v>
      </c>
      <c r="C377" s="934" t="s">
        <v>1642</v>
      </c>
      <c r="D377" s="934" t="s">
        <v>167</v>
      </c>
      <c r="G377" s="926" t="s">
        <v>1330</v>
      </c>
      <c r="H377" s="926" t="s">
        <v>2671</v>
      </c>
    </row>
    <row r="378" spans="1:8" ht="14.4">
      <c r="A378" s="161" t="s">
        <v>412</v>
      </c>
      <c r="B378" s="160" t="s">
        <v>411</v>
      </c>
      <c r="C378" s="934" t="s">
        <v>175</v>
      </c>
      <c r="D378" s="934" t="s">
        <v>187</v>
      </c>
      <c r="G378" s="926" t="s">
        <v>933</v>
      </c>
      <c r="H378" s="926" t="s">
        <v>2456</v>
      </c>
    </row>
    <row r="379" spans="1:8" ht="14.4">
      <c r="A379" s="162" t="s">
        <v>1049</v>
      </c>
      <c r="B379" s="163" t="s">
        <v>1048</v>
      </c>
      <c r="C379" s="934" t="s">
        <v>155</v>
      </c>
      <c r="D379" s="934" t="s">
        <v>89</v>
      </c>
      <c r="G379" s="926" t="s">
        <v>1377</v>
      </c>
      <c r="H379" s="926" t="s">
        <v>2624</v>
      </c>
    </row>
    <row r="380" spans="1:8" ht="14.4">
      <c r="A380" s="161" t="s">
        <v>1875</v>
      </c>
      <c r="B380" s="160" t="s">
        <v>1876</v>
      </c>
      <c r="C380" s="934" t="s">
        <v>155</v>
      </c>
      <c r="D380" s="934" t="s">
        <v>1696</v>
      </c>
      <c r="G380" s="926" t="s">
        <v>1459</v>
      </c>
      <c r="H380" s="926" t="s">
        <v>2715</v>
      </c>
    </row>
    <row r="381" spans="1:8" ht="14.4">
      <c r="A381" s="161" t="s">
        <v>470</v>
      </c>
      <c r="B381" s="160" t="s">
        <v>469</v>
      </c>
      <c r="C381" s="934" t="s">
        <v>155</v>
      </c>
      <c r="D381" s="934" t="s">
        <v>167</v>
      </c>
      <c r="G381" s="926" t="s">
        <v>1287</v>
      </c>
      <c r="H381" s="926" t="s">
        <v>2606</v>
      </c>
    </row>
    <row r="382" spans="1:8" ht="14.4">
      <c r="A382" s="162" t="s">
        <v>1051</v>
      </c>
      <c r="B382" s="163" t="s">
        <v>1050</v>
      </c>
      <c r="C382" s="934" t="s">
        <v>155</v>
      </c>
      <c r="D382" s="934" t="s">
        <v>167</v>
      </c>
      <c r="G382" s="926" t="s">
        <v>1200</v>
      </c>
      <c r="H382" s="926" t="s">
        <v>2642</v>
      </c>
    </row>
    <row r="383" spans="1:8" ht="14.4">
      <c r="A383" s="161" t="s">
        <v>544</v>
      </c>
      <c r="B383" s="160" t="s">
        <v>543</v>
      </c>
      <c r="C383" s="934" t="s">
        <v>155</v>
      </c>
      <c r="D383" s="934" t="s">
        <v>167</v>
      </c>
      <c r="G383" s="926" t="s">
        <v>1390</v>
      </c>
      <c r="H383" s="926" t="s">
        <v>2611</v>
      </c>
    </row>
    <row r="384" spans="1:8" ht="14.4">
      <c r="A384" s="162" t="s">
        <v>1053</v>
      </c>
      <c r="B384" s="163" t="s">
        <v>1052</v>
      </c>
      <c r="C384" s="934" t="s">
        <v>155</v>
      </c>
      <c r="D384" s="934" t="s">
        <v>167</v>
      </c>
      <c r="G384" s="926" t="s">
        <v>1315</v>
      </c>
      <c r="H384" s="926" t="s">
        <v>2655</v>
      </c>
    </row>
    <row r="385" spans="1:8" ht="14.4">
      <c r="A385" s="161" t="s">
        <v>410</v>
      </c>
      <c r="B385" s="160" t="s">
        <v>409</v>
      </c>
      <c r="C385" s="934" t="s">
        <v>155</v>
      </c>
      <c r="D385" s="934" t="s">
        <v>167</v>
      </c>
      <c r="G385" s="926" t="s">
        <v>1400</v>
      </c>
      <c r="H385" s="926" t="s">
        <v>2734</v>
      </c>
    </row>
    <row r="386" spans="1:8" ht="14.4">
      <c r="A386" s="163" t="s">
        <v>1055</v>
      </c>
      <c r="B386" s="163" t="s">
        <v>1054</v>
      </c>
      <c r="C386" s="934" t="s">
        <v>155</v>
      </c>
      <c r="D386" s="934" t="s">
        <v>167</v>
      </c>
      <c r="G386" s="926" t="s">
        <v>1447</v>
      </c>
      <c r="H386" s="926" t="s">
        <v>2668</v>
      </c>
    </row>
    <row r="387" spans="1:8" ht="14.4">
      <c r="A387" s="161" t="s">
        <v>450</v>
      </c>
      <c r="B387" s="160" t="s">
        <v>449</v>
      </c>
      <c r="C387" s="934" t="s">
        <v>171</v>
      </c>
      <c r="D387" s="934" t="s">
        <v>172</v>
      </c>
      <c r="G387" s="926" t="s">
        <v>1371</v>
      </c>
      <c r="H387" s="926" t="s">
        <v>2705</v>
      </c>
    </row>
    <row r="388" spans="1:8" ht="14.4">
      <c r="A388" s="163" t="s">
        <v>1057</v>
      </c>
      <c r="B388" s="163" t="s">
        <v>1056</v>
      </c>
      <c r="C388" s="934" t="s">
        <v>171</v>
      </c>
      <c r="D388" s="934" t="s">
        <v>172</v>
      </c>
      <c r="G388" s="926" t="s">
        <v>1256</v>
      </c>
      <c r="H388" s="926" t="s">
        <v>2702</v>
      </c>
    </row>
    <row r="389" spans="1:8" ht="14.4">
      <c r="A389" s="161" t="s">
        <v>856</v>
      </c>
      <c r="B389" s="160" t="s">
        <v>855</v>
      </c>
      <c r="C389" s="934" t="s">
        <v>171</v>
      </c>
      <c r="D389" s="934" t="s">
        <v>172</v>
      </c>
      <c r="G389" s="926" t="s">
        <v>2615</v>
      </c>
      <c r="H389" s="926" t="s">
        <v>2762</v>
      </c>
    </row>
    <row r="390" spans="1:8" ht="14.4">
      <c r="A390" s="163" t="s">
        <v>1059</v>
      </c>
      <c r="B390" s="163" t="s">
        <v>1058</v>
      </c>
      <c r="C390" s="934" t="s">
        <v>171</v>
      </c>
      <c r="D390" s="934" t="s">
        <v>172</v>
      </c>
      <c r="G390" s="926" t="s">
        <v>1263</v>
      </c>
      <c r="H390" s="926" t="s">
        <v>2757</v>
      </c>
    </row>
    <row r="391" spans="1:8" ht="14.4">
      <c r="A391" s="161" t="s">
        <v>510</v>
      </c>
      <c r="B391" s="160" t="s">
        <v>509</v>
      </c>
      <c r="C391" s="934" t="s">
        <v>171</v>
      </c>
      <c r="D391" s="934" t="s">
        <v>172</v>
      </c>
      <c r="G391" s="926" t="s">
        <v>1246</v>
      </c>
      <c r="H391" s="926" t="s">
        <v>2796</v>
      </c>
    </row>
    <row r="392" spans="1:8" ht="14.4">
      <c r="A392" s="163" t="s">
        <v>1061</v>
      </c>
      <c r="B392" s="163" t="s">
        <v>1060</v>
      </c>
      <c r="C392" s="934" t="s">
        <v>171</v>
      </c>
      <c r="D392" s="934" t="s">
        <v>172</v>
      </c>
      <c r="G392" s="926" t="s">
        <v>1327</v>
      </c>
      <c r="H392" s="926" t="s">
        <v>2801</v>
      </c>
    </row>
    <row r="393" spans="1:8" ht="14.4">
      <c r="A393" s="161" t="s">
        <v>324</v>
      </c>
      <c r="B393" s="160" t="s">
        <v>323</v>
      </c>
      <c r="C393" s="934" t="s">
        <v>144</v>
      </c>
      <c r="D393" s="934" t="s">
        <v>146</v>
      </c>
      <c r="G393" s="926" t="s">
        <v>1445</v>
      </c>
      <c r="H393" s="926" t="s">
        <v>2784</v>
      </c>
    </row>
    <row r="394" spans="1:8" ht="14.4">
      <c r="A394" s="163" t="s">
        <v>1063</v>
      </c>
      <c r="B394" s="163" t="s">
        <v>1062</v>
      </c>
      <c r="C394" s="934" t="s">
        <v>144</v>
      </c>
      <c r="D394" s="934" t="s">
        <v>146</v>
      </c>
      <c r="G394" s="926" t="s">
        <v>1249</v>
      </c>
      <c r="H394" s="926" t="s">
        <v>2723</v>
      </c>
    </row>
    <row r="395" spans="1:8" ht="14.4">
      <c r="A395" s="161" t="s">
        <v>1785</v>
      </c>
      <c r="B395" s="160" t="s">
        <v>1786</v>
      </c>
      <c r="C395" s="934" t="s">
        <v>144</v>
      </c>
      <c r="D395" s="934" t="s">
        <v>146</v>
      </c>
      <c r="G395" s="926" t="s">
        <v>1280</v>
      </c>
      <c r="H395" s="926" t="s">
        <v>2770</v>
      </c>
    </row>
    <row r="396" spans="1:8" ht="14.4">
      <c r="A396" s="163" t="s">
        <v>1065</v>
      </c>
      <c r="B396" s="163" t="s">
        <v>1064</v>
      </c>
      <c r="C396" s="934" t="s">
        <v>144</v>
      </c>
      <c r="D396" s="934" t="s">
        <v>146</v>
      </c>
      <c r="G396" s="926" t="s">
        <v>1217</v>
      </c>
      <c r="H396" s="926" t="s">
        <v>2599</v>
      </c>
    </row>
    <row r="397" spans="1:8" ht="14.4">
      <c r="A397" s="161" t="s">
        <v>318</v>
      </c>
      <c r="B397" s="160" t="s">
        <v>317</v>
      </c>
      <c r="C397" s="934" t="s">
        <v>144</v>
      </c>
      <c r="D397" s="934" t="s">
        <v>146</v>
      </c>
      <c r="G397" s="926" t="s">
        <v>1302</v>
      </c>
      <c r="H397" s="926" t="s">
        <v>2733</v>
      </c>
    </row>
    <row r="398" spans="1:8" ht="14.4">
      <c r="A398" s="163" t="s">
        <v>1067</v>
      </c>
      <c r="B398" s="163" t="s">
        <v>1066</v>
      </c>
      <c r="C398" s="934" t="s">
        <v>144</v>
      </c>
      <c r="D398" s="934" t="s">
        <v>146</v>
      </c>
      <c r="G398" s="926" t="s">
        <v>2356</v>
      </c>
      <c r="H398" s="926" t="s">
        <v>2357</v>
      </c>
    </row>
    <row r="399" spans="1:8" ht="14.4">
      <c r="A399" s="161" t="s">
        <v>1788</v>
      </c>
      <c r="B399" s="160" t="s">
        <v>1789</v>
      </c>
      <c r="C399" s="934" t="s">
        <v>144</v>
      </c>
      <c r="D399" s="934" t="s">
        <v>146</v>
      </c>
      <c r="G399" s="926" t="s">
        <v>1175</v>
      </c>
      <c r="H399" s="926" t="s">
        <v>2457</v>
      </c>
    </row>
    <row r="400" spans="1:8" ht="14.4">
      <c r="A400" s="161" t="s">
        <v>858</v>
      </c>
      <c r="B400" s="160" t="s">
        <v>857</v>
      </c>
      <c r="C400" s="934" t="s">
        <v>144</v>
      </c>
      <c r="D400" s="934" t="s">
        <v>146</v>
      </c>
      <c r="G400" s="926" t="s">
        <v>1154</v>
      </c>
      <c r="H400" s="926" t="s">
        <v>2646</v>
      </c>
    </row>
    <row r="401" spans="1:8" ht="14.4">
      <c r="A401" s="163" t="s">
        <v>1069</v>
      </c>
      <c r="B401" s="163" t="s">
        <v>1068</v>
      </c>
      <c r="C401" s="934" t="s">
        <v>144</v>
      </c>
      <c r="D401" s="934" t="s">
        <v>146</v>
      </c>
      <c r="G401" s="926" t="s">
        <v>929</v>
      </c>
      <c r="H401" s="926" t="s">
        <v>2151</v>
      </c>
    </row>
    <row r="402" spans="1:8" ht="14.4">
      <c r="A402" s="161" t="s">
        <v>354</v>
      </c>
      <c r="B402" s="160" t="s">
        <v>353</v>
      </c>
      <c r="C402" s="934" t="s">
        <v>144</v>
      </c>
      <c r="D402" s="934" t="s">
        <v>146</v>
      </c>
      <c r="G402" s="926" t="s">
        <v>931</v>
      </c>
      <c r="H402" s="926" t="s">
        <v>2563</v>
      </c>
    </row>
    <row r="403" spans="1:8" ht="14.4">
      <c r="A403" s="163" t="s">
        <v>1071</v>
      </c>
      <c r="B403" s="163" t="s">
        <v>1070</v>
      </c>
      <c r="C403" s="934" t="s">
        <v>144</v>
      </c>
      <c r="D403" s="934" t="s">
        <v>146</v>
      </c>
      <c r="G403" s="926" t="s">
        <v>1524</v>
      </c>
      <c r="H403" s="926" t="s">
        <v>2792</v>
      </c>
    </row>
    <row r="404" spans="1:8" ht="14.4">
      <c r="A404" s="161" t="s">
        <v>326</v>
      </c>
      <c r="B404" s="160" t="s">
        <v>325</v>
      </c>
      <c r="C404" s="934" t="s">
        <v>144</v>
      </c>
      <c r="D404" s="934" t="s">
        <v>146</v>
      </c>
      <c r="G404" s="926" t="s">
        <v>1177</v>
      </c>
      <c r="H404" s="926" t="s">
        <v>2600</v>
      </c>
    </row>
    <row r="405" spans="1:8" ht="14.4">
      <c r="A405" s="163" t="s">
        <v>1073</v>
      </c>
      <c r="B405" s="163" t="s">
        <v>1072</v>
      </c>
      <c r="C405" s="934" t="s">
        <v>144</v>
      </c>
      <c r="D405" s="934" t="s">
        <v>146</v>
      </c>
      <c r="G405" s="926" t="s">
        <v>1283</v>
      </c>
      <c r="H405" s="926" t="s">
        <v>2736</v>
      </c>
    </row>
    <row r="406" spans="1:8" ht="14.4">
      <c r="A406" s="161" t="s">
        <v>296</v>
      </c>
      <c r="B406" s="160" t="s">
        <v>295</v>
      </c>
      <c r="C406" s="934" t="s">
        <v>144</v>
      </c>
      <c r="D406" s="934" t="s">
        <v>146</v>
      </c>
      <c r="G406" s="926" t="s">
        <v>1203</v>
      </c>
      <c r="H406" s="926" t="s">
        <v>2635</v>
      </c>
    </row>
    <row r="407" spans="1:8" ht="14.4">
      <c r="A407" s="163" t="s">
        <v>1075</v>
      </c>
      <c r="B407" s="163" t="s">
        <v>1074</v>
      </c>
      <c r="C407" s="934" t="s">
        <v>144</v>
      </c>
      <c r="D407" s="934" t="s">
        <v>146</v>
      </c>
      <c r="G407" s="926" t="s">
        <v>1151</v>
      </c>
      <c r="H407" s="926" t="s">
        <v>2636</v>
      </c>
    </row>
    <row r="408" spans="1:8" ht="14.4">
      <c r="A408" s="161" t="s">
        <v>1793</v>
      </c>
      <c r="B408" s="160" t="s">
        <v>1794</v>
      </c>
      <c r="C408" s="934" t="s">
        <v>144</v>
      </c>
      <c r="D408" s="934" t="s">
        <v>146</v>
      </c>
      <c r="G408" s="926" t="s">
        <v>1234</v>
      </c>
      <c r="H408" s="926" t="s">
        <v>2691</v>
      </c>
    </row>
    <row r="409" spans="1:8" ht="14.4">
      <c r="A409" s="161" t="s">
        <v>400</v>
      </c>
      <c r="B409" s="160" t="s">
        <v>399</v>
      </c>
      <c r="C409" s="934" t="s">
        <v>144</v>
      </c>
      <c r="D409" s="934" t="s">
        <v>146</v>
      </c>
      <c r="G409" s="926" t="s">
        <v>1289</v>
      </c>
      <c r="H409" s="926" t="s">
        <v>2647</v>
      </c>
    </row>
    <row r="410" spans="1:8" ht="14.4">
      <c r="A410" s="163" t="s">
        <v>1077</v>
      </c>
      <c r="B410" s="163" t="s">
        <v>1076</v>
      </c>
      <c r="C410" s="934" t="s">
        <v>144</v>
      </c>
      <c r="D410" s="934" t="s">
        <v>146</v>
      </c>
      <c r="G410" s="926" t="s">
        <v>1305</v>
      </c>
      <c r="H410" s="926" t="s">
        <v>2727</v>
      </c>
    </row>
    <row r="411" spans="1:8" ht="14.4">
      <c r="A411" s="161" t="s">
        <v>860</v>
      </c>
      <c r="B411" s="160" t="s">
        <v>859</v>
      </c>
      <c r="C411" s="934" t="s">
        <v>144</v>
      </c>
      <c r="D411" s="934" t="s">
        <v>146</v>
      </c>
      <c r="G411" s="926" t="s">
        <v>1330</v>
      </c>
      <c r="H411" s="926" t="s">
        <v>2707</v>
      </c>
    </row>
    <row r="412" spans="1:8" ht="14.4">
      <c r="A412" s="163" t="s">
        <v>1079</v>
      </c>
      <c r="B412" s="163" t="s">
        <v>1078</v>
      </c>
      <c r="C412" s="934" t="s">
        <v>144</v>
      </c>
      <c r="D412" s="934" t="s">
        <v>146</v>
      </c>
      <c r="G412" s="926" t="s">
        <v>933</v>
      </c>
      <c r="H412" s="926" t="s">
        <v>2598</v>
      </c>
    </row>
    <row r="413" spans="1:8" ht="14.4">
      <c r="A413" s="161" t="s">
        <v>1798</v>
      </c>
      <c r="B413" s="160" t="s">
        <v>1799</v>
      </c>
      <c r="C413" s="934" t="s">
        <v>144</v>
      </c>
      <c r="D413" s="934" t="s">
        <v>146</v>
      </c>
      <c r="G413" s="926" t="s">
        <v>1165</v>
      </c>
      <c r="H413" s="926" t="s">
        <v>2629</v>
      </c>
    </row>
    <row r="414" spans="1:8" ht="14.4">
      <c r="A414" s="161" t="s">
        <v>1803</v>
      </c>
      <c r="B414" s="160" t="s">
        <v>1804</v>
      </c>
      <c r="C414" s="934" t="s">
        <v>144</v>
      </c>
      <c r="D414" s="934" t="s">
        <v>146</v>
      </c>
      <c r="G414" s="926" t="s">
        <v>1308</v>
      </c>
      <c r="H414" s="926" t="s">
        <v>2661</v>
      </c>
    </row>
    <row r="415" spans="1:8" ht="14.4">
      <c r="A415" s="161" t="s">
        <v>862</v>
      </c>
      <c r="B415" s="160" t="s">
        <v>861</v>
      </c>
      <c r="C415" s="934" t="s">
        <v>144</v>
      </c>
      <c r="D415" s="934" t="s">
        <v>146</v>
      </c>
      <c r="G415" s="926" t="s">
        <v>1449</v>
      </c>
      <c r="H415" s="926" t="s">
        <v>2747</v>
      </c>
    </row>
    <row r="416" spans="1:8" ht="14.4">
      <c r="A416" s="163" t="s">
        <v>1081</v>
      </c>
      <c r="B416" s="163" t="s">
        <v>1080</v>
      </c>
      <c r="C416" s="934" t="s">
        <v>144</v>
      </c>
      <c r="D416" s="934" t="s">
        <v>146</v>
      </c>
      <c r="G416" s="926" t="s">
        <v>1344</v>
      </c>
      <c r="H416" s="926" t="s">
        <v>2648</v>
      </c>
    </row>
    <row r="417" spans="1:8" ht="14.4">
      <c r="A417" s="161" t="s">
        <v>1808</v>
      </c>
      <c r="B417" s="160" t="s">
        <v>1809</v>
      </c>
      <c r="C417" s="934" t="s">
        <v>144</v>
      </c>
      <c r="D417" s="934" t="s">
        <v>146</v>
      </c>
      <c r="G417" s="926" t="s">
        <v>1337</v>
      </c>
      <c r="H417" s="926" t="s">
        <v>2672</v>
      </c>
    </row>
    <row r="418" spans="1:8" ht="14.4">
      <c r="A418" s="161" t="s">
        <v>1207</v>
      </c>
      <c r="B418" s="160" t="s">
        <v>1206</v>
      </c>
      <c r="C418" s="934" t="s">
        <v>144</v>
      </c>
      <c r="D418" s="934" t="s">
        <v>146</v>
      </c>
      <c r="G418" s="926" t="s">
        <v>1271</v>
      </c>
      <c r="H418" s="926" t="s">
        <v>2654</v>
      </c>
    </row>
    <row r="419" spans="1:8" ht="14.4">
      <c r="A419" s="161" t="s">
        <v>864</v>
      </c>
      <c r="B419" s="160" t="s">
        <v>863</v>
      </c>
      <c r="C419" s="934" t="s">
        <v>144</v>
      </c>
      <c r="D419" s="934" t="s">
        <v>147</v>
      </c>
      <c r="G419" s="926" t="s">
        <v>1364</v>
      </c>
      <c r="H419" s="926" t="s">
        <v>2690</v>
      </c>
    </row>
    <row r="420" spans="1:8" ht="14.4">
      <c r="A420" s="163" t="s">
        <v>1083</v>
      </c>
      <c r="B420" s="163" t="s">
        <v>1082</v>
      </c>
      <c r="C420" s="934" t="s">
        <v>144</v>
      </c>
      <c r="D420" s="934" t="s">
        <v>147</v>
      </c>
      <c r="G420" s="926" t="s">
        <v>396</v>
      </c>
      <c r="H420" s="926" t="s">
        <v>2618</v>
      </c>
    </row>
    <row r="421" spans="1:8" ht="14.4">
      <c r="A421" s="161" t="s">
        <v>1743</v>
      </c>
      <c r="B421" s="160" t="s">
        <v>1744</v>
      </c>
      <c r="C421" s="934" t="s">
        <v>144</v>
      </c>
      <c r="D421" s="934" t="s">
        <v>147</v>
      </c>
      <c r="G421" s="926" t="s">
        <v>2359</v>
      </c>
      <c r="H421" s="926" t="s">
        <v>2360</v>
      </c>
    </row>
    <row r="422" spans="1:8" ht="14.4">
      <c r="A422" s="161" t="s">
        <v>866</v>
      </c>
      <c r="B422" s="160" t="s">
        <v>865</v>
      </c>
      <c r="C422" s="934" t="s">
        <v>144</v>
      </c>
      <c r="D422" s="934" t="s">
        <v>147</v>
      </c>
      <c r="G422" s="926" t="s">
        <v>1371</v>
      </c>
      <c r="H422" s="926" t="s">
        <v>2550</v>
      </c>
    </row>
    <row r="423" spans="1:8" ht="14.4">
      <c r="A423" s="162" t="s">
        <v>1085</v>
      </c>
      <c r="B423" s="163" t="s">
        <v>1084</v>
      </c>
      <c r="C423" s="934" t="s">
        <v>144</v>
      </c>
      <c r="D423" s="934" t="s">
        <v>147</v>
      </c>
      <c r="G423" s="926" t="s">
        <v>2361</v>
      </c>
      <c r="H423" s="926" t="s">
        <v>2362</v>
      </c>
    </row>
    <row r="424" spans="1:8" ht="14.4">
      <c r="A424" s="161" t="s">
        <v>1747</v>
      </c>
      <c r="B424" s="160" t="s">
        <v>1748</v>
      </c>
      <c r="C424" s="934" t="s">
        <v>144</v>
      </c>
      <c r="D424" s="934" t="s">
        <v>147</v>
      </c>
      <c r="G424" s="926" t="s">
        <v>1256</v>
      </c>
      <c r="H424" s="926" t="s">
        <v>2638</v>
      </c>
    </row>
    <row r="425" spans="1:8" ht="14.4">
      <c r="A425" s="161" t="s">
        <v>1751</v>
      </c>
      <c r="B425" s="160" t="s">
        <v>1752</v>
      </c>
      <c r="C425" s="934" t="s">
        <v>144</v>
      </c>
      <c r="D425" s="934" t="s">
        <v>147</v>
      </c>
      <c r="G425" s="926" t="s">
        <v>2615</v>
      </c>
      <c r="H425" s="926" t="s">
        <v>2616</v>
      </c>
    </row>
    <row r="426" spans="1:8" ht="14.4">
      <c r="A426" s="161" t="s">
        <v>1755</v>
      </c>
      <c r="B426" s="160" t="s">
        <v>1756</v>
      </c>
      <c r="C426" s="934" t="s">
        <v>144</v>
      </c>
      <c r="D426" s="934" t="s">
        <v>147</v>
      </c>
      <c r="G426" s="926" t="s">
        <v>1263</v>
      </c>
      <c r="H426" s="926" t="s">
        <v>2669</v>
      </c>
    </row>
    <row r="427" spans="1:8" ht="14.4">
      <c r="A427" s="161" t="s">
        <v>1759</v>
      </c>
      <c r="B427" s="160" t="s">
        <v>1760</v>
      </c>
      <c r="C427" s="934" t="s">
        <v>144</v>
      </c>
      <c r="D427" s="934" t="s">
        <v>147</v>
      </c>
      <c r="G427" s="926" t="s">
        <v>1246</v>
      </c>
      <c r="H427" s="926" t="s">
        <v>2725</v>
      </c>
    </row>
    <row r="428" spans="1:8" ht="14.4">
      <c r="A428" s="161" t="s">
        <v>423</v>
      </c>
      <c r="B428" s="160" t="s">
        <v>422</v>
      </c>
      <c r="C428" s="934" t="s">
        <v>144</v>
      </c>
      <c r="D428" s="934" t="s">
        <v>147</v>
      </c>
      <c r="G428" s="926" t="s">
        <v>1327</v>
      </c>
      <c r="H428" s="926" t="s">
        <v>2711</v>
      </c>
    </row>
    <row r="429" spans="1:8" ht="14.4">
      <c r="A429" s="162" t="s">
        <v>1087</v>
      </c>
      <c r="B429" s="163" t="s">
        <v>1086</v>
      </c>
      <c r="C429" s="934" t="s">
        <v>144</v>
      </c>
      <c r="D429" s="934" t="s">
        <v>147</v>
      </c>
      <c r="G429" s="926" t="s">
        <v>1208</v>
      </c>
      <c r="H429" s="926" t="s">
        <v>2631</v>
      </c>
    </row>
    <row r="430" spans="1:8" ht="14.4">
      <c r="A430" s="161" t="s">
        <v>1763</v>
      </c>
      <c r="B430" s="160" t="s">
        <v>1764</v>
      </c>
      <c r="C430" s="934" t="s">
        <v>144</v>
      </c>
      <c r="D430" s="934" t="s">
        <v>147</v>
      </c>
      <c r="G430" s="926" t="s">
        <v>1249</v>
      </c>
      <c r="H430" s="926" t="s">
        <v>2576</v>
      </c>
    </row>
    <row r="431" spans="1:8" ht="14.4">
      <c r="A431" s="161" t="s">
        <v>1767</v>
      </c>
      <c r="B431" s="160" t="s">
        <v>1768</v>
      </c>
      <c r="C431" s="934" t="s">
        <v>144</v>
      </c>
      <c r="D431" s="934" t="s">
        <v>147</v>
      </c>
      <c r="G431" s="926" t="s">
        <v>1280</v>
      </c>
      <c r="H431" s="926" t="s">
        <v>2675</v>
      </c>
    </row>
    <row r="432" spans="1:8" ht="14.4">
      <c r="A432" s="161" t="s">
        <v>1771</v>
      </c>
      <c r="B432" s="160" t="s">
        <v>1772</v>
      </c>
      <c r="C432" s="934" t="s">
        <v>144</v>
      </c>
      <c r="D432" s="934" t="s">
        <v>147</v>
      </c>
      <c r="G432" s="926" t="s">
        <v>1302</v>
      </c>
      <c r="H432" s="926" t="s">
        <v>2684</v>
      </c>
    </row>
    <row r="433" spans="1:8" ht="14.4">
      <c r="A433" s="161" t="s">
        <v>1775</v>
      </c>
      <c r="B433" s="160" t="s">
        <v>1776</v>
      </c>
      <c r="C433" s="934" t="s">
        <v>144</v>
      </c>
      <c r="D433" s="934" t="s">
        <v>147</v>
      </c>
      <c r="G433" s="926" t="s">
        <v>2363</v>
      </c>
      <c r="H433" s="926" t="s">
        <v>2364</v>
      </c>
    </row>
    <row r="434" spans="1:8" ht="14.4">
      <c r="A434" s="161" t="s">
        <v>868</v>
      </c>
      <c r="B434" s="160" t="s">
        <v>867</v>
      </c>
      <c r="C434" s="934" t="s">
        <v>144</v>
      </c>
      <c r="D434" s="934" t="s">
        <v>147</v>
      </c>
      <c r="G434" s="926" t="s">
        <v>1154</v>
      </c>
      <c r="H434" s="926" t="s">
        <v>2553</v>
      </c>
    </row>
    <row r="435" spans="1:8" ht="14.4">
      <c r="A435" s="162" t="s">
        <v>1089</v>
      </c>
      <c r="B435" s="163" t="s">
        <v>1088</v>
      </c>
      <c r="C435" s="934" t="s">
        <v>144</v>
      </c>
      <c r="D435" s="934" t="s">
        <v>147</v>
      </c>
      <c r="G435" s="926" t="s">
        <v>1193</v>
      </c>
      <c r="H435" s="926" t="s">
        <v>2459</v>
      </c>
    </row>
    <row r="436" spans="1:8" ht="14.4">
      <c r="A436" s="161" t="s">
        <v>1779</v>
      </c>
      <c r="B436" s="160" t="s">
        <v>1780</v>
      </c>
      <c r="C436" s="934" t="s">
        <v>144</v>
      </c>
      <c r="D436" s="934" t="s">
        <v>147</v>
      </c>
      <c r="G436" s="926" t="s">
        <v>931</v>
      </c>
      <c r="H436" s="926" t="s">
        <v>2551</v>
      </c>
    </row>
    <row r="437" spans="1:8" ht="14.4">
      <c r="A437" s="161" t="s">
        <v>1147</v>
      </c>
      <c r="B437" s="160" t="s">
        <v>1146</v>
      </c>
      <c r="C437" s="934" t="s">
        <v>144</v>
      </c>
      <c r="D437" s="934" t="s">
        <v>147</v>
      </c>
      <c r="G437" s="926" t="s">
        <v>1183</v>
      </c>
      <c r="H437" s="926" t="s">
        <v>2645</v>
      </c>
    </row>
    <row r="438" spans="1:8" ht="14.4">
      <c r="A438" s="162" t="s">
        <v>306</v>
      </c>
      <c r="B438" s="163" t="s">
        <v>305</v>
      </c>
      <c r="C438" s="934" t="s">
        <v>144</v>
      </c>
      <c r="D438" s="934" t="s">
        <v>146</v>
      </c>
      <c r="G438" s="926" t="s">
        <v>1177</v>
      </c>
      <c r="H438" s="926" t="s">
        <v>2571</v>
      </c>
    </row>
    <row r="439" spans="1:8" ht="14.4">
      <c r="A439" s="162" t="s">
        <v>1091</v>
      </c>
      <c r="B439" s="163" t="s">
        <v>1090</v>
      </c>
      <c r="C439" s="934" t="s">
        <v>144</v>
      </c>
      <c r="D439" s="934" t="s">
        <v>146</v>
      </c>
      <c r="G439" s="926" t="s">
        <v>2365</v>
      </c>
      <c r="H439" s="926" t="s">
        <v>2366</v>
      </c>
    </row>
    <row r="440" spans="1:8" ht="14.4">
      <c r="A440" s="161" t="s">
        <v>870</v>
      </c>
      <c r="B440" s="160" t="s">
        <v>869</v>
      </c>
      <c r="C440" s="934" t="s">
        <v>144</v>
      </c>
      <c r="D440" s="934" t="s">
        <v>146</v>
      </c>
      <c r="G440" s="926" t="s">
        <v>1283</v>
      </c>
      <c r="H440" s="926" t="s">
        <v>2692</v>
      </c>
    </row>
    <row r="441" spans="1:8" ht="14.4">
      <c r="A441" s="162" t="s">
        <v>1093</v>
      </c>
      <c r="B441" s="163" t="s">
        <v>1092</v>
      </c>
      <c r="C441" s="934" t="s">
        <v>144</v>
      </c>
      <c r="D441" s="934" t="s">
        <v>146</v>
      </c>
      <c r="G441" s="926" t="s">
        <v>1203</v>
      </c>
      <c r="H441" s="926" t="s">
        <v>2578</v>
      </c>
    </row>
    <row r="442" spans="1:8" ht="14.4">
      <c r="A442" s="161" t="s">
        <v>872</v>
      </c>
      <c r="B442" s="160" t="s">
        <v>871</v>
      </c>
      <c r="C442" s="934" t="s">
        <v>144</v>
      </c>
      <c r="D442" s="934" t="s">
        <v>147</v>
      </c>
      <c r="G442" s="926" t="s">
        <v>1151</v>
      </c>
      <c r="H442" s="926" t="s">
        <v>2582</v>
      </c>
    </row>
    <row r="443" spans="1:8" ht="14.4">
      <c r="A443" s="162" t="s">
        <v>1095</v>
      </c>
      <c r="B443" s="163" t="s">
        <v>1094</v>
      </c>
      <c r="C443" s="934" t="s">
        <v>144</v>
      </c>
      <c r="D443" s="934" t="s">
        <v>147</v>
      </c>
      <c r="G443" s="926" t="s">
        <v>1234</v>
      </c>
      <c r="H443" s="926" t="s">
        <v>2627</v>
      </c>
    </row>
    <row r="444" spans="1:8" ht="14.4">
      <c r="A444" s="162" t="s">
        <v>361</v>
      </c>
      <c r="B444" s="163" t="s">
        <v>360</v>
      </c>
      <c r="C444" s="934" t="s">
        <v>144</v>
      </c>
      <c r="D444" s="934" t="s">
        <v>147</v>
      </c>
      <c r="G444" s="926" t="s">
        <v>1214</v>
      </c>
      <c r="H444" s="926" t="s">
        <v>2460</v>
      </c>
    </row>
    <row r="445" spans="1:8" ht="14.4">
      <c r="A445" s="162" t="s">
        <v>1097</v>
      </c>
      <c r="B445" s="163" t="s">
        <v>1096</v>
      </c>
      <c r="C445" s="934" t="s">
        <v>144</v>
      </c>
      <c r="D445" s="934" t="s">
        <v>147</v>
      </c>
      <c r="G445" s="926" t="s">
        <v>1305</v>
      </c>
      <c r="H445" s="926" t="s">
        <v>2652</v>
      </c>
    </row>
    <row r="446" spans="1:8" ht="14.4">
      <c r="A446" s="161" t="s">
        <v>332</v>
      </c>
      <c r="B446" s="160" t="s">
        <v>331</v>
      </c>
      <c r="C446" s="934" t="s">
        <v>175</v>
      </c>
      <c r="D446" s="934" t="s">
        <v>177</v>
      </c>
      <c r="G446" s="926" t="s">
        <v>1330</v>
      </c>
      <c r="H446" s="926" t="s">
        <v>2643</v>
      </c>
    </row>
    <row r="447" spans="1:8" ht="14.4">
      <c r="A447" s="162" t="s">
        <v>1099</v>
      </c>
      <c r="B447" s="163" t="s">
        <v>1098</v>
      </c>
      <c r="C447" s="934" t="s">
        <v>175</v>
      </c>
      <c r="D447" s="934" t="s">
        <v>89</v>
      </c>
      <c r="G447" s="926" t="s">
        <v>933</v>
      </c>
      <c r="H447" s="926" t="s">
        <v>2462</v>
      </c>
    </row>
    <row r="448" spans="1:8" ht="14.4">
      <c r="A448" s="163" t="s">
        <v>521</v>
      </c>
      <c r="B448" s="163" t="s">
        <v>520</v>
      </c>
      <c r="C448" s="934"/>
      <c r="D448" s="934"/>
      <c r="G448" s="926" t="s">
        <v>2367</v>
      </c>
      <c r="H448" s="926" t="s">
        <v>2368</v>
      </c>
    </row>
    <row r="449" spans="1:8" ht="14.4">
      <c r="A449" s="161" t="s">
        <v>320</v>
      </c>
      <c r="B449" s="160" t="s">
        <v>319</v>
      </c>
      <c r="C449" s="934" t="s">
        <v>175</v>
      </c>
      <c r="D449" s="934" t="s">
        <v>179</v>
      </c>
      <c r="G449" s="926" t="s">
        <v>1241</v>
      </c>
      <c r="H449" s="926" t="s">
        <v>2594</v>
      </c>
    </row>
    <row r="450" spans="1:8" ht="14.4">
      <c r="A450" s="162" t="s">
        <v>1101</v>
      </c>
      <c r="B450" s="163" t="s">
        <v>1100</v>
      </c>
      <c r="C450" s="934" t="s">
        <v>175</v>
      </c>
      <c r="D450" s="934" t="s">
        <v>179</v>
      </c>
      <c r="G450" s="926" t="s">
        <v>1395</v>
      </c>
      <c r="H450" s="926" t="s">
        <v>2699</v>
      </c>
    </row>
    <row r="451" spans="1:8" ht="14.4">
      <c r="A451" s="160" t="s">
        <v>547</v>
      </c>
      <c r="B451" s="160" t="s">
        <v>520</v>
      </c>
      <c r="C451" s="934"/>
      <c r="D451" s="934"/>
      <c r="G451" s="926" t="s">
        <v>1252</v>
      </c>
      <c r="H451" s="926" t="s">
        <v>2584</v>
      </c>
    </row>
    <row r="452" spans="1:8" ht="14.4">
      <c r="A452" s="160" t="s">
        <v>341</v>
      </c>
      <c r="B452" s="160" t="s">
        <v>340</v>
      </c>
      <c r="C452" s="934" t="s">
        <v>175</v>
      </c>
      <c r="D452" s="934" t="s">
        <v>180</v>
      </c>
      <c r="G452" s="926" t="s">
        <v>1261</v>
      </c>
      <c r="H452" s="926" t="s">
        <v>2604</v>
      </c>
    </row>
    <row r="453" spans="1:8" ht="14.4">
      <c r="A453" s="162" t="s">
        <v>1103</v>
      </c>
      <c r="B453" s="163" t="s">
        <v>1102</v>
      </c>
      <c r="C453" s="934" t="s">
        <v>175</v>
      </c>
      <c r="D453" s="934" t="s">
        <v>180</v>
      </c>
      <c r="G453" s="926" t="s">
        <v>1222</v>
      </c>
      <c r="H453" s="926" t="s">
        <v>2587</v>
      </c>
    </row>
    <row r="454" spans="1:8" ht="14.4">
      <c r="A454" s="162" t="s">
        <v>526</v>
      </c>
      <c r="B454" s="163" t="s">
        <v>520</v>
      </c>
      <c r="C454" s="934"/>
      <c r="D454" s="934"/>
      <c r="G454" s="926" t="s">
        <v>1268</v>
      </c>
      <c r="H454" s="926" t="s">
        <v>2625</v>
      </c>
    </row>
    <row r="455" spans="1:8" ht="14.4">
      <c r="A455" s="160" t="s">
        <v>542</v>
      </c>
      <c r="B455" s="160" t="s">
        <v>541</v>
      </c>
      <c r="C455" s="934" t="s">
        <v>175</v>
      </c>
      <c r="D455" s="934" t="s">
        <v>179</v>
      </c>
      <c r="G455" s="926" t="s">
        <v>2369</v>
      </c>
      <c r="H455" s="926" t="s">
        <v>2370</v>
      </c>
    </row>
    <row r="456" spans="1:8" ht="14.4">
      <c r="A456" s="162" t="s">
        <v>1105</v>
      </c>
      <c r="B456" s="163" t="s">
        <v>1104</v>
      </c>
      <c r="C456" s="934" t="s">
        <v>175</v>
      </c>
      <c r="D456" s="934" t="s">
        <v>179</v>
      </c>
      <c r="G456" s="926" t="s">
        <v>2371</v>
      </c>
      <c r="H456" s="926" t="s">
        <v>2372</v>
      </c>
    </row>
    <row r="457" spans="1:8" ht="14.4">
      <c r="A457" s="161" t="s">
        <v>462</v>
      </c>
      <c r="B457" s="160" t="s">
        <v>461</v>
      </c>
      <c r="C457" s="934" t="s">
        <v>175</v>
      </c>
      <c r="D457" s="934" t="s">
        <v>177</v>
      </c>
      <c r="G457" s="926" t="s">
        <v>2373</v>
      </c>
      <c r="H457" s="926" t="s">
        <v>2374</v>
      </c>
    </row>
    <row r="458" spans="1:8" ht="14.4">
      <c r="A458" s="161" t="s">
        <v>480</v>
      </c>
      <c r="B458" s="160" t="s">
        <v>479</v>
      </c>
      <c r="C458" s="934" t="s">
        <v>175</v>
      </c>
      <c r="D458" s="934" t="s">
        <v>189</v>
      </c>
      <c r="G458" s="926" t="s">
        <v>2375</v>
      </c>
      <c r="H458" s="926" t="s">
        <v>2376</v>
      </c>
    </row>
    <row r="459" spans="1:8" ht="14.4">
      <c r="A459" s="162" t="s">
        <v>1107</v>
      </c>
      <c r="B459" s="163" t="s">
        <v>1106</v>
      </c>
      <c r="C459" s="934" t="s">
        <v>1642</v>
      </c>
      <c r="D459" s="934" t="s">
        <v>89</v>
      </c>
      <c r="G459" s="926" t="s">
        <v>396</v>
      </c>
      <c r="H459" s="926" t="s">
        <v>2463</v>
      </c>
    </row>
    <row r="460" spans="1:8" ht="14.4">
      <c r="A460" s="161" t="s">
        <v>1873</v>
      </c>
      <c r="B460" s="160" t="s">
        <v>1874</v>
      </c>
      <c r="C460" s="934" t="s">
        <v>1642</v>
      </c>
      <c r="D460" s="934" t="s">
        <v>178</v>
      </c>
      <c r="G460" s="926" t="s">
        <v>1388</v>
      </c>
      <c r="H460" s="926" t="s">
        <v>2464</v>
      </c>
    </row>
    <row r="461" spans="1:8" ht="14.4">
      <c r="A461" s="160" t="s">
        <v>464</v>
      </c>
      <c r="B461" s="160" t="s">
        <v>463</v>
      </c>
      <c r="C461" s="934" t="s">
        <v>175</v>
      </c>
      <c r="D461" s="934" t="s">
        <v>178</v>
      </c>
      <c r="G461" s="926" t="s">
        <v>1371</v>
      </c>
      <c r="H461" s="926" t="s">
        <v>2666</v>
      </c>
    </row>
    <row r="462" spans="1:8" ht="14.4">
      <c r="A462" s="162" t="s">
        <v>1109</v>
      </c>
      <c r="B462" s="163" t="s">
        <v>1108</v>
      </c>
      <c r="C462" s="934" t="s">
        <v>175</v>
      </c>
      <c r="D462" s="934" t="s">
        <v>89</v>
      </c>
      <c r="G462" s="926" t="s">
        <v>1354</v>
      </c>
      <c r="H462" s="926" t="s">
        <v>2706</v>
      </c>
    </row>
    <row r="463" spans="1:8" ht="14.4">
      <c r="A463" s="160" t="s">
        <v>874</v>
      </c>
      <c r="B463" s="160" t="s">
        <v>873</v>
      </c>
      <c r="C463" s="934" t="s">
        <v>175</v>
      </c>
      <c r="D463" s="934" t="s">
        <v>178</v>
      </c>
      <c r="G463" s="926" t="s">
        <v>2615</v>
      </c>
      <c r="H463" s="926" t="s">
        <v>2756</v>
      </c>
    </row>
    <row r="464" spans="1:8" ht="14.4">
      <c r="A464" s="162" t="s">
        <v>1111</v>
      </c>
      <c r="B464" s="163" t="s">
        <v>1110</v>
      </c>
      <c r="C464" s="934" t="s">
        <v>175</v>
      </c>
      <c r="D464" s="934" t="s">
        <v>89</v>
      </c>
      <c r="G464" s="926" t="s">
        <v>1339</v>
      </c>
      <c r="H464" s="926" t="s">
        <v>2722</v>
      </c>
    </row>
    <row r="465" spans="1:8" ht="14.4">
      <c r="A465" s="161" t="s">
        <v>519</v>
      </c>
      <c r="B465" s="160" t="s">
        <v>518</v>
      </c>
      <c r="C465" s="934" t="s">
        <v>175</v>
      </c>
      <c r="D465" s="934" t="s">
        <v>178</v>
      </c>
      <c r="G465" s="926" t="s">
        <v>1246</v>
      </c>
      <c r="H465" s="926" t="s">
        <v>2791</v>
      </c>
    </row>
    <row r="466" spans="1:8" ht="14.4">
      <c r="A466" s="162" t="s">
        <v>1113</v>
      </c>
      <c r="B466" s="163" t="s">
        <v>1112</v>
      </c>
      <c r="C466" s="934" t="s">
        <v>1642</v>
      </c>
      <c r="D466" s="934" t="s">
        <v>178</v>
      </c>
      <c r="G466" s="926" t="s">
        <v>1325</v>
      </c>
      <c r="H466" s="926" t="s">
        <v>2713</v>
      </c>
    </row>
    <row r="467" spans="1:8" ht="14.4">
      <c r="A467" s="161" t="s">
        <v>427</v>
      </c>
      <c r="B467" s="160" t="s">
        <v>426</v>
      </c>
      <c r="C467" s="934" t="s">
        <v>175</v>
      </c>
      <c r="D467" s="934" t="s">
        <v>181</v>
      </c>
      <c r="G467" s="926" t="s">
        <v>1249</v>
      </c>
      <c r="H467" s="926" t="s">
        <v>2658</v>
      </c>
    </row>
    <row r="468" spans="1:8" ht="14.4">
      <c r="A468" s="162" t="s">
        <v>1115</v>
      </c>
      <c r="B468" s="163" t="s">
        <v>1114</v>
      </c>
      <c r="C468" s="934" t="s">
        <v>175</v>
      </c>
      <c r="D468" s="934" t="s">
        <v>89</v>
      </c>
      <c r="G468" s="926" t="s">
        <v>1280</v>
      </c>
      <c r="H468" s="926" t="s">
        <v>2724</v>
      </c>
    </row>
    <row r="469" spans="1:8" ht="14.4">
      <c r="A469" s="161" t="s">
        <v>530</v>
      </c>
      <c r="B469" s="160" t="s">
        <v>529</v>
      </c>
      <c r="C469" s="934" t="s">
        <v>175</v>
      </c>
      <c r="D469" s="934" t="s">
        <v>181</v>
      </c>
      <c r="G469" s="926" t="s">
        <v>1161</v>
      </c>
      <c r="H469" s="926" t="s">
        <v>2569</v>
      </c>
    </row>
    <row r="470" spans="1:8" ht="14.4">
      <c r="A470" s="162" t="s">
        <v>1117</v>
      </c>
      <c r="B470" s="163" t="s">
        <v>1116</v>
      </c>
      <c r="C470" s="934" t="s">
        <v>1642</v>
      </c>
      <c r="D470" s="934" t="s">
        <v>89</v>
      </c>
      <c r="G470" s="926" t="s">
        <v>1302</v>
      </c>
      <c r="H470" s="926" t="s">
        <v>2735</v>
      </c>
    </row>
    <row r="471" spans="1:8" ht="14.4">
      <c r="A471" s="161" t="s">
        <v>365</v>
      </c>
      <c r="B471" s="160" t="s">
        <v>364</v>
      </c>
      <c r="C471" s="934" t="s">
        <v>175</v>
      </c>
      <c r="D471" s="934" t="s">
        <v>1918</v>
      </c>
      <c r="G471" s="926" t="s">
        <v>1154</v>
      </c>
      <c r="H471" s="926" t="s">
        <v>2589</v>
      </c>
    </row>
    <row r="472" spans="1:8" ht="14.4">
      <c r="A472" s="162" t="s">
        <v>1119</v>
      </c>
      <c r="B472" s="163" t="s">
        <v>1118</v>
      </c>
      <c r="C472" s="934" t="s">
        <v>175</v>
      </c>
      <c r="D472" s="934" t="s">
        <v>89</v>
      </c>
      <c r="G472" s="926" t="s">
        <v>929</v>
      </c>
      <c r="H472" s="926" t="s">
        <v>2465</v>
      </c>
    </row>
    <row r="473" spans="1:8" ht="14.4">
      <c r="A473" s="161" t="s">
        <v>383</v>
      </c>
      <c r="B473" s="160" t="s">
        <v>382</v>
      </c>
      <c r="C473" s="934" t="s">
        <v>175</v>
      </c>
      <c r="D473" s="934" t="s">
        <v>186</v>
      </c>
      <c r="G473" s="926" t="s">
        <v>931</v>
      </c>
      <c r="H473" s="926" t="s">
        <v>2564</v>
      </c>
    </row>
    <row r="474" spans="1:8" ht="14.4">
      <c r="A474" s="162" t="s">
        <v>1121</v>
      </c>
      <c r="B474" s="163" t="s">
        <v>1120</v>
      </c>
      <c r="C474" s="934" t="s">
        <v>1642</v>
      </c>
      <c r="D474" s="934" t="s">
        <v>89</v>
      </c>
      <c r="G474" s="926" t="s">
        <v>1183</v>
      </c>
      <c r="H474" s="926" t="s">
        <v>2622</v>
      </c>
    </row>
    <row r="475" spans="1:8" ht="14.4">
      <c r="A475" s="165" t="s">
        <v>1639</v>
      </c>
      <c r="B475" s="165" t="s">
        <v>1575</v>
      </c>
      <c r="C475" s="934" t="s">
        <v>75</v>
      </c>
      <c r="D475" s="934" t="s">
        <v>89</v>
      </c>
      <c r="G475" s="926" t="s">
        <v>1177</v>
      </c>
      <c r="H475" s="926" t="s">
        <v>2601</v>
      </c>
    </row>
    <row r="476" spans="1:8" ht="14.4">
      <c r="A476" s="929" t="s">
        <v>1641</v>
      </c>
      <c r="B476" s="165" t="s">
        <v>1576</v>
      </c>
      <c r="C476" s="934" t="s">
        <v>75</v>
      </c>
      <c r="D476" s="934" t="s">
        <v>89</v>
      </c>
      <c r="G476" s="926" t="s">
        <v>1283</v>
      </c>
      <c r="H476" s="926" t="s">
        <v>2730</v>
      </c>
    </row>
    <row r="477" spans="1:8" ht="14.4">
      <c r="A477" s="929" t="s">
        <v>1527</v>
      </c>
      <c r="B477" s="165" t="s">
        <v>1526</v>
      </c>
      <c r="C477" s="934" t="s">
        <v>75</v>
      </c>
      <c r="D477" s="934" t="s">
        <v>89</v>
      </c>
      <c r="G477" s="926" t="s">
        <v>1203</v>
      </c>
      <c r="H477" s="926" t="s">
        <v>2637</v>
      </c>
    </row>
    <row r="478" spans="1:8" ht="14.4">
      <c r="A478" s="929" t="s">
        <v>876</v>
      </c>
      <c r="B478" s="165" t="s">
        <v>875</v>
      </c>
      <c r="C478" s="934" t="s">
        <v>75</v>
      </c>
      <c r="D478" s="934" t="s">
        <v>90</v>
      </c>
      <c r="G478" s="926" t="s">
        <v>1151</v>
      </c>
      <c r="H478" s="926" t="s">
        <v>2621</v>
      </c>
    </row>
    <row r="479" spans="1:8" ht="14.4">
      <c r="A479" s="930" t="s">
        <v>1522</v>
      </c>
      <c r="B479" s="936" t="s">
        <v>1521</v>
      </c>
      <c r="C479" s="934" t="s">
        <v>75</v>
      </c>
      <c r="D479" s="934" t="s">
        <v>90</v>
      </c>
      <c r="G479" s="926" t="s">
        <v>1234</v>
      </c>
      <c r="H479" s="926" t="s">
        <v>2695</v>
      </c>
    </row>
    <row r="480" spans="1:8" ht="14.4">
      <c r="A480" s="929" t="s">
        <v>878</v>
      </c>
      <c r="B480" s="165" t="s">
        <v>877</v>
      </c>
      <c r="C480" s="934" t="s">
        <v>75</v>
      </c>
      <c r="D480" s="934" t="s">
        <v>89</v>
      </c>
      <c r="G480" s="926" t="s">
        <v>1291</v>
      </c>
      <c r="H480" s="926" t="s">
        <v>2466</v>
      </c>
    </row>
    <row r="481" spans="1:8" ht="14.4">
      <c r="A481" s="929" t="s">
        <v>1568</v>
      </c>
      <c r="B481" s="165" t="s">
        <v>1567</v>
      </c>
      <c r="C481" s="934" t="s">
        <v>75</v>
      </c>
      <c r="D481" s="934" t="s">
        <v>90</v>
      </c>
      <c r="G481" s="926" t="s">
        <v>1305</v>
      </c>
      <c r="H481" s="926" t="s">
        <v>2766</v>
      </c>
    </row>
    <row r="482" spans="1:8" ht="14.4">
      <c r="A482" s="161" t="s">
        <v>1534</v>
      </c>
      <c r="B482" s="160" t="s">
        <v>1533</v>
      </c>
      <c r="C482" s="934" t="s">
        <v>75</v>
      </c>
      <c r="D482" s="934" t="s">
        <v>90</v>
      </c>
      <c r="G482" s="926" t="s">
        <v>1330</v>
      </c>
      <c r="H482" s="926" t="s">
        <v>2709</v>
      </c>
    </row>
    <row r="483" spans="1:8" ht="14.4">
      <c r="A483" s="929" t="s">
        <v>1536</v>
      </c>
      <c r="B483" s="165" t="s">
        <v>1535</v>
      </c>
      <c r="C483" s="934" t="s">
        <v>75</v>
      </c>
      <c r="D483" s="934" t="s">
        <v>89</v>
      </c>
      <c r="G483" s="926" t="s">
        <v>933</v>
      </c>
      <c r="H483" s="926" t="s">
        <v>2467</v>
      </c>
    </row>
    <row r="484" spans="1:8" ht="14.4">
      <c r="A484" s="929" t="s">
        <v>880</v>
      </c>
      <c r="B484" s="165" t="s">
        <v>879</v>
      </c>
      <c r="C484" s="934" t="s">
        <v>75</v>
      </c>
      <c r="D484" s="934" t="s">
        <v>89</v>
      </c>
      <c r="G484" s="926" t="s">
        <v>2377</v>
      </c>
      <c r="H484" s="926" t="s">
        <v>2378</v>
      </c>
    </row>
    <row r="485" spans="1:8" ht="14.4">
      <c r="A485" s="929" t="s">
        <v>883</v>
      </c>
      <c r="B485" s="165" t="s">
        <v>882</v>
      </c>
      <c r="C485" s="934" t="s">
        <v>75</v>
      </c>
      <c r="D485" s="934" t="s">
        <v>89</v>
      </c>
      <c r="G485" s="926" t="s">
        <v>1313</v>
      </c>
      <c r="H485" s="926" t="s">
        <v>2662</v>
      </c>
    </row>
    <row r="486" spans="1:8" ht="14.4">
      <c r="A486" s="929" t="s">
        <v>885</v>
      </c>
      <c r="B486" s="165" t="s">
        <v>884</v>
      </c>
      <c r="C486" s="934" t="s">
        <v>75</v>
      </c>
      <c r="D486" s="934" t="s">
        <v>89</v>
      </c>
      <c r="G486" s="926" t="s">
        <v>1454</v>
      </c>
      <c r="H486" s="926" t="s">
        <v>2751</v>
      </c>
    </row>
    <row r="487" spans="1:8" ht="14.4">
      <c r="A487" s="929" t="s">
        <v>1646</v>
      </c>
      <c r="B487" s="165" t="s">
        <v>1578</v>
      </c>
      <c r="C487" s="934" t="s">
        <v>75</v>
      </c>
      <c r="D487" s="934" t="s">
        <v>89</v>
      </c>
      <c r="G487" s="926" t="s">
        <v>1349</v>
      </c>
      <c r="H487" s="926" t="s">
        <v>2651</v>
      </c>
    </row>
    <row r="488" spans="1:8" ht="14.4">
      <c r="A488" s="929" t="s">
        <v>887</v>
      </c>
      <c r="B488" s="165" t="s">
        <v>886</v>
      </c>
      <c r="C488" s="934" t="s">
        <v>75</v>
      </c>
      <c r="D488" s="934" t="s">
        <v>89</v>
      </c>
      <c r="G488" s="926" t="s">
        <v>1341</v>
      </c>
      <c r="H488" s="926" t="s">
        <v>2677</v>
      </c>
    </row>
    <row r="489" spans="1:8" ht="14.4">
      <c r="A489" s="929" t="s">
        <v>1650</v>
      </c>
      <c r="B489" s="165" t="s">
        <v>1582</v>
      </c>
      <c r="C489" s="934" t="s">
        <v>75</v>
      </c>
      <c r="D489" s="934" t="s">
        <v>89</v>
      </c>
      <c r="G489" s="926" t="s">
        <v>1275</v>
      </c>
      <c r="H489" s="926" t="s">
        <v>2656</v>
      </c>
    </row>
    <row r="490" spans="1:8" ht="14.4">
      <c r="A490" s="929" t="s">
        <v>1652</v>
      </c>
      <c r="B490" s="165" t="s">
        <v>1557</v>
      </c>
      <c r="C490" s="934" t="s">
        <v>75</v>
      </c>
      <c r="D490" s="934" t="s">
        <v>89</v>
      </c>
      <c r="G490" s="926" t="s">
        <v>1368</v>
      </c>
      <c r="H490" s="926" t="s">
        <v>2694</v>
      </c>
    </row>
    <row r="491" spans="1:8" ht="14.4">
      <c r="A491" s="165" t="s">
        <v>1558</v>
      </c>
      <c r="B491" s="165" t="s">
        <v>1557</v>
      </c>
      <c r="C491" s="934" t="s">
        <v>75</v>
      </c>
      <c r="D491" s="934" t="s">
        <v>89</v>
      </c>
      <c r="G491" s="926" t="s">
        <v>2211</v>
      </c>
      <c r="H491" s="926" t="s">
        <v>2212</v>
      </c>
    </row>
    <row r="492" spans="1:8" ht="14.4">
      <c r="A492" s="929" t="s">
        <v>1655</v>
      </c>
      <c r="B492" s="165" t="s">
        <v>1585</v>
      </c>
      <c r="C492" s="934" t="s">
        <v>75</v>
      </c>
      <c r="D492" s="934" t="s">
        <v>89</v>
      </c>
      <c r="G492" s="926" t="s">
        <v>2213</v>
      </c>
      <c r="H492" s="926" t="s">
        <v>2214</v>
      </c>
    </row>
    <row r="493" spans="1:8" ht="14.4">
      <c r="A493" s="929" t="s">
        <v>1503</v>
      </c>
      <c r="B493" s="165" t="s">
        <v>1502</v>
      </c>
      <c r="C493" s="934" t="s">
        <v>75</v>
      </c>
      <c r="D493" s="934" t="s">
        <v>89</v>
      </c>
      <c r="G493" s="926" t="s">
        <v>2215</v>
      </c>
      <c r="H493" s="926" t="s">
        <v>2216</v>
      </c>
    </row>
    <row r="494" spans="1:8" ht="14.4">
      <c r="A494" s="929" t="s">
        <v>1661</v>
      </c>
      <c r="B494" s="165" t="s">
        <v>1590</v>
      </c>
      <c r="C494" s="934" t="s">
        <v>75</v>
      </c>
      <c r="D494" s="934" t="s">
        <v>89</v>
      </c>
      <c r="G494" s="926" t="s">
        <v>2046</v>
      </c>
      <c r="H494" s="926" t="s">
        <v>2047</v>
      </c>
    </row>
    <row r="495" spans="1:8" ht="14.4">
      <c r="A495" s="161" t="s">
        <v>1715</v>
      </c>
      <c r="B495" s="165" t="s">
        <v>1716</v>
      </c>
      <c r="C495" s="934" t="s">
        <v>75</v>
      </c>
      <c r="D495" s="934" t="s">
        <v>90</v>
      </c>
      <c r="G495" s="926" t="s">
        <v>2131</v>
      </c>
      <c r="H495" s="926" t="s">
        <v>2132</v>
      </c>
    </row>
    <row r="496" spans="1:8" ht="14.4">
      <c r="A496" s="929" t="s">
        <v>1662</v>
      </c>
      <c r="B496" s="165" t="s">
        <v>1592</v>
      </c>
      <c r="C496" s="934" t="s">
        <v>75</v>
      </c>
      <c r="D496" s="934" t="s">
        <v>89</v>
      </c>
      <c r="G496" s="926" t="s">
        <v>2070</v>
      </c>
      <c r="H496" s="926" t="s">
        <v>2071</v>
      </c>
    </row>
    <row r="497" spans="1:8" ht="14.4">
      <c r="A497" s="932" t="s">
        <v>1672</v>
      </c>
      <c r="B497" s="937" t="s">
        <v>1601</v>
      </c>
      <c r="C497" s="934" t="s">
        <v>75</v>
      </c>
      <c r="D497" s="934" t="s">
        <v>89</v>
      </c>
      <c r="G497" s="926" t="s">
        <v>2163</v>
      </c>
      <c r="H497" s="926" t="s">
        <v>2069</v>
      </c>
    </row>
    <row r="498" spans="1:8" ht="14.4">
      <c r="A498" s="929" t="s">
        <v>1529</v>
      </c>
      <c r="B498" s="165" t="s">
        <v>1528</v>
      </c>
      <c r="C498" s="934" t="s">
        <v>75</v>
      </c>
      <c r="D498" s="934" t="s">
        <v>89</v>
      </c>
      <c r="G498" s="926" t="s">
        <v>2077</v>
      </c>
      <c r="H498" s="926" t="s">
        <v>2078</v>
      </c>
    </row>
    <row r="499" spans="1:8" ht="14.4">
      <c r="A499" s="929" t="s">
        <v>1664</v>
      </c>
      <c r="B499" s="165" t="s">
        <v>1594</v>
      </c>
      <c r="C499" s="934" t="s">
        <v>75</v>
      </c>
      <c r="D499" s="934" t="s">
        <v>89</v>
      </c>
      <c r="G499" s="926" t="s">
        <v>2164</v>
      </c>
      <c r="H499" s="926" t="s">
        <v>2165</v>
      </c>
    </row>
    <row r="500" spans="1:8" ht="14.4">
      <c r="A500" s="929" t="s">
        <v>1499</v>
      </c>
      <c r="B500" s="165" t="s">
        <v>1498</v>
      </c>
      <c r="C500" s="934" t="s">
        <v>75</v>
      </c>
      <c r="D500" s="934" t="s">
        <v>89</v>
      </c>
      <c r="G500" s="926" t="s">
        <v>2172</v>
      </c>
      <c r="H500" s="926" t="s">
        <v>2173</v>
      </c>
    </row>
    <row r="501" spans="1:8" ht="14.4">
      <c r="A501" s="929" t="s">
        <v>1666</v>
      </c>
      <c r="B501" s="165" t="s">
        <v>1596</v>
      </c>
      <c r="C501" s="934" t="s">
        <v>75</v>
      </c>
      <c r="D501" s="934" t="s">
        <v>89</v>
      </c>
      <c r="G501" s="926" t="s">
        <v>2085</v>
      </c>
      <c r="H501" s="926" t="s">
        <v>2086</v>
      </c>
    </row>
    <row r="502" spans="1:8" ht="14.4">
      <c r="A502" s="932" t="s">
        <v>1532</v>
      </c>
      <c r="B502" s="936" t="s">
        <v>1531</v>
      </c>
      <c r="C502" s="934" t="s">
        <v>75</v>
      </c>
      <c r="D502" s="934" t="s">
        <v>89</v>
      </c>
      <c r="G502" s="926" t="s">
        <v>2067</v>
      </c>
      <c r="H502" s="926" t="s">
        <v>2068</v>
      </c>
    </row>
    <row r="503" spans="1:8" ht="14.4">
      <c r="A503" s="929" t="s">
        <v>1670</v>
      </c>
      <c r="B503" s="938" t="s">
        <v>1599</v>
      </c>
      <c r="C503" s="934" t="s">
        <v>75</v>
      </c>
      <c r="D503" s="934" t="s">
        <v>89</v>
      </c>
      <c r="G503" s="926" t="s">
        <v>2081</v>
      </c>
      <c r="H503" s="926" t="s">
        <v>2082</v>
      </c>
    </row>
    <row r="504" spans="1:8" ht="14.4">
      <c r="A504" s="170" t="s">
        <v>1711</v>
      </c>
      <c r="B504" s="939" t="s">
        <v>1712</v>
      </c>
      <c r="C504" s="934" t="s">
        <v>75</v>
      </c>
      <c r="D504" s="934" t="s">
        <v>90</v>
      </c>
      <c r="G504" s="926" t="s">
        <v>2089</v>
      </c>
      <c r="H504" s="926" t="s">
        <v>2090</v>
      </c>
    </row>
    <row r="505" spans="1:8" ht="14.4">
      <c r="A505" s="932" t="s">
        <v>1675</v>
      </c>
      <c r="B505" s="936" t="s">
        <v>1604</v>
      </c>
      <c r="C505" s="934" t="s">
        <v>75</v>
      </c>
      <c r="D505" s="934" t="s">
        <v>89</v>
      </c>
      <c r="G505" s="926" t="s">
        <v>2073</v>
      </c>
      <c r="H505" s="926" t="s">
        <v>2074</v>
      </c>
    </row>
    <row r="506" spans="1:8" ht="14.4">
      <c r="A506" s="929" t="s">
        <v>1679</v>
      </c>
      <c r="B506" s="936" t="s">
        <v>1607</v>
      </c>
      <c r="C506" s="934" t="s">
        <v>75</v>
      </c>
      <c r="D506" s="934" t="s">
        <v>89</v>
      </c>
      <c r="G506" s="926" t="s">
        <v>2055</v>
      </c>
      <c r="H506" s="926" t="s">
        <v>2056</v>
      </c>
    </row>
    <row r="507" spans="1:8" ht="14.4">
      <c r="A507" s="929" t="s">
        <v>889</v>
      </c>
      <c r="B507" s="165" t="s">
        <v>888</v>
      </c>
      <c r="C507" s="934" t="s">
        <v>75</v>
      </c>
      <c r="D507" s="934" t="s">
        <v>89</v>
      </c>
      <c r="G507" s="926" t="s">
        <v>2641</v>
      </c>
      <c r="H507" s="926" t="s">
        <v>2169</v>
      </c>
    </row>
    <row r="508" spans="1:8" ht="14.4">
      <c r="A508" s="929" t="s">
        <v>1509</v>
      </c>
      <c r="B508" s="165" t="s">
        <v>1508</v>
      </c>
      <c r="C508" s="934" t="s">
        <v>75</v>
      </c>
      <c r="D508" s="934" t="s">
        <v>89</v>
      </c>
      <c r="G508" s="926" t="s">
        <v>2167</v>
      </c>
      <c r="H508" s="926" t="s">
        <v>2168</v>
      </c>
    </row>
    <row r="509" spans="1:8" ht="14.4">
      <c r="A509" s="929" t="s">
        <v>1570</v>
      </c>
      <c r="B509" s="165" t="s">
        <v>1569</v>
      </c>
      <c r="C509" s="934" t="s">
        <v>75</v>
      </c>
      <c r="D509" s="934" t="s">
        <v>90</v>
      </c>
      <c r="G509" s="926" t="s">
        <v>1386</v>
      </c>
      <c r="H509" s="926" t="s">
        <v>2590</v>
      </c>
    </row>
    <row r="510" spans="1:8" ht="14.4">
      <c r="A510" s="929" t="s">
        <v>1548</v>
      </c>
      <c r="B510" s="165" t="s">
        <v>1547</v>
      </c>
      <c r="C510" s="934" t="s">
        <v>75</v>
      </c>
      <c r="D510" s="934" t="s">
        <v>90</v>
      </c>
      <c r="G510" s="926" t="s">
        <v>1382</v>
      </c>
      <c r="H510" s="926" t="s">
        <v>2773</v>
      </c>
    </row>
    <row r="511" spans="1:8">
      <c r="A511" s="161" t="s">
        <v>1728</v>
      </c>
      <c r="B511" s="165" t="s">
        <v>1729</v>
      </c>
      <c r="C511" s="934" t="s">
        <v>75</v>
      </c>
      <c r="D511" s="934" t="s">
        <v>90</v>
      </c>
    </row>
    <row r="512" spans="1:8">
      <c r="A512" s="929" t="s">
        <v>1682</v>
      </c>
      <c r="B512" s="165" t="s">
        <v>1609</v>
      </c>
      <c r="C512" s="934" t="s">
        <v>75</v>
      </c>
      <c r="D512" s="934" t="s">
        <v>89</v>
      </c>
    </row>
    <row r="513" spans="1:4">
      <c r="A513" s="929" t="s">
        <v>1684</v>
      </c>
      <c r="B513" s="165" t="s">
        <v>1611</v>
      </c>
      <c r="C513" s="934" t="s">
        <v>75</v>
      </c>
      <c r="D513" s="934" t="s">
        <v>89</v>
      </c>
    </row>
    <row r="514" spans="1:4">
      <c r="A514" s="929" t="s">
        <v>1686</v>
      </c>
      <c r="B514" s="165" t="s">
        <v>1613</v>
      </c>
      <c r="C514" s="934" t="s">
        <v>75</v>
      </c>
      <c r="D514" s="934" t="s">
        <v>89</v>
      </c>
    </row>
    <row r="515" spans="1:4">
      <c r="A515" s="929" t="s">
        <v>891</v>
      </c>
      <c r="B515" s="165" t="s">
        <v>890</v>
      </c>
      <c r="C515" s="934" t="s">
        <v>75</v>
      </c>
      <c r="D515" s="934" t="s">
        <v>89</v>
      </c>
    </row>
    <row r="516" spans="1:4">
      <c r="A516" s="929" t="s">
        <v>1505</v>
      </c>
      <c r="B516" s="165" t="s">
        <v>1504</v>
      </c>
      <c r="C516" s="934" t="s">
        <v>75</v>
      </c>
      <c r="D516" s="934" t="s">
        <v>89</v>
      </c>
    </row>
    <row r="517" spans="1:4">
      <c r="A517" s="929" t="s">
        <v>1688</v>
      </c>
      <c r="B517" s="165" t="s">
        <v>1615</v>
      </c>
      <c r="C517" s="934" t="s">
        <v>75</v>
      </c>
      <c r="D517" s="934" t="s">
        <v>89</v>
      </c>
    </row>
    <row r="518" spans="1:4">
      <c r="A518" s="929" t="s">
        <v>1690</v>
      </c>
      <c r="B518" s="165" t="s">
        <v>1617</v>
      </c>
      <c r="C518" s="934" t="s">
        <v>75</v>
      </c>
      <c r="D518" s="934" t="s">
        <v>89</v>
      </c>
    </row>
    <row r="519" spans="1:4">
      <c r="A519" s="929" t="s">
        <v>1692</v>
      </c>
      <c r="B519" s="165" t="s">
        <v>1619</v>
      </c>
      <c r="C519" s="934" t="s">
        <v>75</v>
      </c>
      <c r="D519" s="934" t="s">
        <v>89</v>
      </c>
    </row>
    <row r="520" spans="1:4">
      <c r="A520" s="929" t="s">
        <v>893</v>
      </c>
      <c r="B520" s="165" t="s">
        <v>892</v>
      </c>
      <c r="C520" s="934" t="s">
        <v>75</v>
      </c>
      <c r="D520" s="934" t="s">
        <v>89</v>
      </c>
    </row>
    <row r="521" spans="1:4">
      <c r="A521" s="929" t="s">
        <v>1495</v>
      </c>
      <c r="B521" s="165" t="s">
        <v>1494</v>
      </c>
      <c r="C521" s="934" t="s">
        <v>75</v>
      </c>
      <c r="D521" s="934" t="s">
        <v>89</v>
      </c>
    </row>
    <row r="522" spans="1:4">
      <c r="A522" s="929" t="s">
        <v>1694</v>
      </c>
      <c r="B522" s="165" t="s">
        <v>1621</v>
      </c>
      <c r="C522" s="934" t="s">
        <v>75</v>
      </c>
      <c r="D522" s="934" t="s">
        <v>89</v>
      </c>
    </row>
    <row r="523" spans="1:4">
      <c r="A523" s="929" t="s">
        <v>1507</v>
      </c>
      <c r="B523" s="165" t="s">
        <v>1506</v>
      </c>
      <c r="C523" s="934" t="s">
        <v>75</v>
      </c>
      <c r="D523" s="934" t="s">
        <v>89</v>
      </c>
    </row>
    <row r="524" spans="1:4">
      <c r="A524" s="929" t="s">
        <v>1542</v>
      </c>
      <c r="B524" s="165" t="s">
        <v>1541</v>
      </c>
      <c r="C524" s="934" t="s">
        <v>75</v>
      </c>
      <c r="D524" s="934" t="s">
        <v>90</v>
      </c>
    </row>
    <row r="525" spans="1:4">
      <c r="A525" s="161" t="s">
        <v>1719</v>
      </c>
      <c r="B525" s="165" t="s">
        <v>1720</v>
      </c>
      <c r="C525" s="934" t="s">
        <v>75</v>
      </c>
      <c r="D525" s="934" t="s">
        <v>90</v>
      </c>
    </row>
    <row r="526" spans="1:4">
      <c r="A526" s="929" t="s">
        <v>1707</v>
      </c>
      <c r="B526" s="165" t="s">
        <v>1633</v>
      </c>
      <c r="C526" s="934" t="s">
        <v>75</v>
      </c>
      <c r="D526" s="934" t="s">
        <v>89</v>
      </c>
    </row>
    <row r="527" spans="1:4">
      <c r="A527" s="165" t="s">
        <v>895</v>
      </c>
      <c r="B527" s="165" t="s">
        <v>894</v>
      </c>
      <c r="C527" s="934" t="s">
        <v>75</v>
      </c>
      <c r="D527" s="934" t="s">
        <v>89</v>
      </c>
    </row>
    <row r="528" spans="1:4">
      <c r="A528" s="161" t="s">
        <v>1486</v>
      </c>
      <c r="B528" s="160" t="s">
        <v>1485</v>
      </c>
      <c r="C528" s="934" t="s">
        <v>75</v>
      </c>
      <c r="D528" s="934" t="s">
        <v>98</v>
      </c>
    </row>
    <row r="529" spans="1:4">
      <c r="A529" s="165" t="s">
        <v>1700</v>
      </c>
      <c r="B529" s="165" t="s">
        <v>1626</v>
      </c>
      <c r="C529" s="934" t="s">
        <v>75</v>
      </c>
      <c r="D529" s="934" t="s">
        <v>89</v>
      </c>
    </row>
    <row r="530" spans="1:4">
      <c r="A530" s="165" t="s">
        <v>1702</v>
      </c>
      <c r="B530" s="165" t="s">
        <v>1628</v>
      </c>
      <c r="C530" s="934" t="s">
        <v>75</v>
      </c>
      <c r="D530" s="934" t="s">
        <v>89</v>
      </c>
    </row>
    <row r="531" spans="1:4">
      <c r="A531" s="929" t="s">
        <v>1492</v>
      </c>
      <c r="B531" s="165" t="s">
        <v>1491</v>
      </c>
      <c r="C531" s="934" t="s">
        <v>75</v>
      </c>
      <c r="D531" s="934" t="s">
        <v>89</v>
      </c>
    </row>
    <row r="532" spans="1:4">
      <c r="A532" s="161" t="s">
        <v>1561</v>
      </c>
      <c r="B532" s="160" t="s">
        <v>1560</v>
      </c>
      <c r="C532" s="934" t="s">
        <v>75</v>
      </c>
      <c r="D532" s="934" t="s">
        <v>95</v>
      </c>
    </row>
    <row r="533" spans="1:4">
      <c r="A533" s="162" t="s">
        <v>1545</v>
      </c>
      <c r="B533" s="163" t="s">
        <v>1544</v>
      </c>
      <c r="C533" s="934" t="s">
        <v>75</v>
      </c>
      <c r="D533" s="934" t="s">
        <v>94</v>
      </c>
    </row>
    <row r="534" spans="1:4">
      <c r="A534" s="162" t="s">
        <v>1566</v>
      </c>
      <c r="B534" s="163" t="s">
        <v>1565</v>
      </c>
      <c r="C534" s="934" t="s">
        <v>75</v>
      </c>
      <c r="D534" s="934" t="s">
        <v>94</v>
      </c>
    </row>
    <row r="535" spans="1:4">
      <c r="A535" s="161" t="s">
        <v>1722</v>
      </c>
      <c r="B535" s="165" t="s">
        <v>1723</v>
      </c>
      <c r="C535" s="934" t="s">
        <v>75</v>
      </c>
      <c r="D535" s="934" t="s">
        <v>90</v>
      </c>
    </row>
    <row r="536" spans="1:4">
      <c r="A536" s="929" t="s">
        <v>1705</v>
      </c>
      <c r="B536" s="165" t="s">
        <v>1631</v>
      </c>
      <c r="C536" s="934" t="s">
        <v>75</v>
      </c>
      <c r="D536" s="934" t="s">
        <v>89</v>
      </c>
    </row>
    <row r="537" spans="1:4">
      <c r="A537" s="929" t="s">
        <v>1698</v>
      </c>
      <c r="B537" s="165" t="s">
        <v>1624</v>
      </c>
      <c r="C537" s="934" t="s">
        <v>75</v>
      </c>
      <c r="D537" s="934" t="s">
        <v>89</v>
      </c>
    </row>
    <row r="538" spans="1:4">
      <c r="A538" s="929" t="s">
        <v>897</v>
      </c>
      <c r="B538" s="165" t="s">
        <v>896</v>
      </c>
      <c r="C538" s="934" t="s">
        <v>75</v>
      </c>
      <c r="D538" s="934" t="s">
        <v>89</v>
      </c>
    </row>
    <row r="539" spans="1:4">
      <c r="A539" s="929" t="s">
        <v>1550</v>
      </c>
      <c r="B539" s="165" t="s">
        <v>1549</v>
      </c>
      <c r="C539" s="934" t="s">
        <v>75</v>
      </c>
      <c r="D539" s="934" t="s">
        <v>90</v>
      </c>
    </row>
    <row r="540" spans="1:4">
      <c r="A540" s="161" t="s">
        <v>1732</v>
      </c>
      <c r="B540" s="160" t="s">
        <v>1733</v>
      </c>
      <c r="C540" s="934" t="s">
        <v>144</v>
      </c>
      <c r="D540" s="934" t="s">
        <v>146</v>
      </c>
    </row>
    <row r="541" spans="1:4">
      <c r="A541" s="161" t="s">
        <v>899</v>
      </c>
      <c r="B541" s="160" t="s">
        <v>898</v>
      </c>
      <c r="C541" s="934" t="s">
        <v>144</v>
      </c>
      <c r="D541" s="934" t="s">
        <v>181</v>
      </c>
    </row>
    <row r="542" spans="1:4">
      <c r="A542" s="161" t="s">
        <v>901</v>
      </c>
      <c r="B542" s="160" t="s">
        <v>900</v>
      </c>
      <c r="C542" s="934" t="s">
        <v>144</v>
      </c>
      <c r="D542" s="934" t="s">
        <v>181</v>
      </c>
    </row>
    <row r="543" spans="1:4">
      <c r="A543" s="933" t="s">
        <v>1299</v>
      </c>
      <c r="B543" s="940" t="s">
        <v>1298</v>
      </c>
      <c r="C543" s="934" t="s">
        <v>144</v>
      </c>
      <c r="D543" s="934" t="s">
        <v>98</v>
      </c>
    </row>
    <row r="544" spans="1:4">
      <c r="A544" s="161" t="s">
        <v>1554</v>
      </c>
      <c r="B544" s="160" t="s">
        <v>1553</v>
      </c>
      <c r="C544" s="934" t="s">
        <v>144</v>
      </c>
      <c r="D544" s="934" t="s">
        <v>150</v>
      </c>
    </row>
    <row r="545" spans="1:4">
      <c r="A545" s="161" t="s">
        <v>1563</v>
      </c>
      <c r="B545" s="160" t="s">
        <v>1562</v>
      </c>
      <c r="C545" s="934" t="s">
        <v>144</v>
      </c>
      <c r="D545" s="934" t="s">
        <v>150</v>
      </c>
    </row>
    <row r="546" spans="1:4">
      <c r="A546" s="161" t="s">
        <v>1823</v>
      </c>
      <c r="B546" s="160" t="s">
        <v>1824</v>
      </c>
      <c r="C546" s="934" t="s">
        <v>144</v>
      </c>
      <c r="D546" s="934" t="s">
        <v>146</v>
      </c>
    </row>
    <row r="547" spans="1:4">
      <c r="A547" s="161" t="s">
        <v>1825</v>
      </c>
      <c r="B547" s="160" t="s">
        <v>1826</v>
      </c>
      <c r="C547" s="934" t="s">
        <v>144</v>
      </c>
      <c r="D547" s="934" t="s">
        <v>146</v>
      </c>
    </row>
    <row r="548" spans="1:4">
      <c r="A548" s="160" t="s">
        <v>1863</v>
      </c>
      <c r="B548" s="160" t="s">
        <v>1864</v>
      </c>
      <c r="C548" s="934" t="s">
        <v>144</v>
      </c>
      <c r="D548" s="934" t="s">
        <v>146</v>
      </c>
    </row>
    <row r="549" spans="1:4">
      <c r="A549" s="160" t="s">
        <v>1865</v>
      </c>
      <c r="B549" s="160" t="s">
        <v>1866</v>
      </c>
      <c r="C549" s="934" t="s">
        <v>144</v>
      </c>
      <c r="D549" s="934" t="s">
        <v>146</v>
      </c>
    </row>
    <row r="550" spans="1:4">
      <c r="A550" s="161" t="s">
        <v>1841</v>
      </c>
      <c r="B550" s="160" t="s">
        <v>1842</v>
      </c>
      <c r="C550" s="934" t="s">
        <v>144</v>
      </c>
      <c r="D550" s="934" t="s">
        <v>146</v>
      </c>
    </row>
    <row r="551" spans="1:4">
      <c r="A551" s="161" t="s">
        <v>1843</v>
      </c>
      <c r="B551" s="160" t="s">
        <v>1844</v>
      </c>
      <c r="C551" s="934" t="s">
        <v>144</v>
      </c>
      <c r="D551" s="934" t="s">
        <v>146</v>
      </c>
    </row>
    <row r="552" spans="1:4">
      <c r="A552" s="161" t="s">
        <v>1853</v>
      </c>
      <c r="B552" s="160" t="s">
        <v>1854</v>
      </c>
      <c r="C552" s="934" t="s">
        <v>144</v>
      </c>
      <c r="D552" s="934" t="s">
        <v>146</v>
      </c>
    </row>
    <row r="553" spans="1:4">
      <c r="A553" s="161" t="s">
        <v>1855</v>
      </c>
      <c r="B553" s="160" t="s">
        <v>1856</v>
      </c>
      <c r="C553" s="934" t="s">
        <v>144</v>
      </c>
      <c r="D553" s="934" t="s">
        <v>146</v>
      </c>
    </row>
    <row r="554" spans="1:4">
      <c r="A554" s="161" t="s">
        <v>1737</v>
      </c>
      <c r="B554" s="160" t="s">
        <v>1738</v>
      </c>
      <c r="C554" s="934" t="s">
        <v>144</v>
      </c>
      <c r="D554" s="934" t="s">
        <v>146</v>
      </c>
    </row>
    <row r="555" spans="1:4">
      <c r="A555" s="161" t="s">
        <v>1737</v>
      </c>
      <c r="B555" s="160" t="s">
        <v>1738</v>
      </c>
      <c r="C555" s="934" t="s">
        <v>144</v>
      </c>
      <c r="D555" s="934" t="s">
        <v>146</v>
      </c>
    </row>
    <row r="556" spans="1:4">
      <c r="A556" s="161" t="s">
        <v>1739</v>
      </c>
      <c r="B556" s="160" t="s">
        <v>1740</v>
      </c>
      <c r="C556" s="934" t="s">
        <v>144</v>
      </c>
      <c r="D556" s="934" t="s">
        <v>146</v>
      </c>
    </row>
    <row r="557" spans="1:4">
      <c r="A557" s="161" t="s">
        <v>1739</v>
      </c>
      <c r="B557" s="160" t="s">
        <v>1740</v>
      </c>
      <c r="C557" s="934" t="s">
        <v>144</v>
      </c>
      <c r="D557" s="934" t="s">
        <v>146</v>
      </c>
    </row>
    <row r="558" spans="1:4">
      <c r="A558" s="161" t="s">
        <v>1867</v>
      </c>
      <c r="B558" s="160" t="s">
        <v>1868</v>
      </c>
      <c r="C558" s="934" t="s">
        <v>144</v>
      </c>
      <c r="D558" s="934" t="s">
        <v>146</v>
      </c>
    </row>
    <row r="559" spans="1:4">
      <c r="A559" s="161" t="s">
        <v>1829</v>
      </c>
      <c r="B559" s="160" t="s">
        <v>1830</v>
      </c>
      <c r="C559" s="934" t="s">
        <v>144</v>
      </c>
      <c r="D559" s="934" t="s">
        <v>181</v>
      </c>
    </row>
    <row r="560" spans="1:4">
      <c r="A560" s="161" t="s">
        <v>1831</v>
      </c>
      <c r="B560" s="160" t="s">
        <v>1832</v>
      </c>
      <c r="C560" s="934" t="s">
        <v>144</v>
      </c>
      <c r="D560" s="934" t="s">
        <v>146</v>
      </c>
    </row>
    <row r="561" spans="1:4">
      <c r="A561" s="161" t="s">
        <v>1835</v>
      </c>
      <c r="B561" s="160" t="s">
        <v>1836</v>
      </c>
      <c r="C561" s="934" t="s">
        <v>144</v>
      </c>
      <c r="D561" s="934" t="s">
        <v>181</v>
      </c>
    </row>
    <row r="562" spans="1:4">
      <c r="A562" s="161" t="s">
        <v>1837</v>
      </c>
      <c r="B562" s="160" t="s">
        <v>1838</v>
      </c>
      <c r="C562" s="934" t="s">
        <v>144</v>
      </c>
      <c r="D562" s="934" t="s">
        <v>146</v>
      </c>
    </row>
    <row r="563" spans="1:4">
      <c r="A563" s="161" t="s">
        <v>1847</v>
      </c>
      <c r="B563" s="160" t="s">
        <v>1848</v>
      </c>
      <c r="C563" s="934" t="s">
        <v>144</v>
      </c>
      <c r="D563" s="934" t="s">
        <v>181</v>
      </c>
    </row>
    <row r="564" spans="1:4">
      <c r="A564" s="161" t="s">
        <v>1849</v>
      </c>
      <c r="B564" s="160" t="s">
        <v>1850</v>
      </c>
      <c r="C564" s="934" t="s">
        <v>144</v>
      </c>
      <c r="D564" s="934" t="s">
        <v>146</v>
      </c>
    </row>
    <row r="565" spans="1:4">
      <c r="A565" s="161" t="s">
        <v>1817</v>
      </c>
      <c r="B565" s="160" t="s">
        <v>1818</v>
      </c>
      <c r="C565" s="934" t="s">
        <v>144</v>
      </c>
      <c r="D565" s="934" t="s">
        <v>146</v>
      </c>
    </row>
    <row r="566" spans="1:4">
      <c r="A566" s="161" t="s">
        <v>1819</v>
      </c>
      <c r="B566" s="160" t="s">
        <v>1820</v>
      </c>
      <c r="C566" s="934" t="s">
        <v>144</v>
      </c>
      <c r="D566" s="934" t="s">
        <v>146</v>
      </c>
    </row>
    <row r="567" spans="1:4">
      <c r="A567" s="161" t="s">
        <v>1741</v>
      </c>
      <c r="B567" s="160" t="s">
        <v>1742</v>
      </c>
      <c r="C567" s="934" t="s">
        <v>144</v>
      </c>
      <c r="D567" s="934" t="s">
        <v>181</v>
      </c>
    </row>
    <row r="568" spans="1:4">
      <c r="A568" s="160" t="s">
        <v>1741</v>
      </c>
      <c r="B568" s="160" t="s">
        <v>1742</v>
      </c>
      <c r="C568" s="934" t="s">
        <v>144</v>
      </c>
      <c r="D568" s="934" t="s">
        <v>181</v>
      </c>
    </row>
    <row r="569" spans="1:4">
      <c r="A569" s="160" t="s">
        <v>1859</v>
      </c>
      <c r="B569" s="160" t="s">
        <v>1860</v>
      </c>
      <c r="C569" s="934" t="s">
        <v>144</v>
      </c>
      <c r="D569" s="934" t="s">
        <v>146</v>
      </c>
    </row>
    <row r="570" spans="1:4">
      <c r="A570" s="161" t="s">
        <v>1468</v>
      </c>
      <c r="B570" s="160" t="s">
        <v>1467</v>
      </c>
      <c r="C570" s="934" t="s">
        <v>155</v>
      </c>
      <c r="D570" s="934" t="s">
        <v>159</v>
      </c>
    </row>
    <row r="571" spans="1:4">
      <c r="A571" s="161" t="s">
        <v>1240</v>
      </c>
      <c r="B571" s="160" t="s">
        <v>1239</v>
      </c>
      <c r="C571" s="934" t="s">
        <v>155</v>
      </c>
      <c r="D571" s="934" t="s">
        <v>163</v>
      </c>
    </row>
    <row r="572" spans="1:4">
      <c r="A572" s="161" t="s">
        <v>1474</v>
      </c>
      <c r="B572" s="160" t="s">
        <v>1473</v>
      </c>
      <c r="C572" s="934" t="s">
        <v>155</v>
      </c>
      <c r="D572" s="934" t="s">
        <v>161</v>
      </c>
    </row>
    <row r="573" spans="1:4">
      <c r="A573" s="161" t="s">
        <v>1470</v>
      </c>
      <c r="B573" s="550" t="s">
        <v>1469</v>
      </c>
      <c r="C573" s="934" t="s">
        <v>155</v>
      </c>
      <c r="D573" s="934" t="s">
        <v>162</v>
      </c>
    </row>
    <row r="574" spans="1:4">
      <c r="A574" s="161" t="s">
        <v>1394</v>
      </c>
      <c r="B574" s="160" t="s">
        <v>1393</v>
      </c>
      <c r="C574" s="934" t="s">
        <v>155</v>
      </c>
      <c r="D574" s="934" t="s">
        <v>164</v>
      </c>
    </row>
    <row r="575" spans="1:4">
      <c r="A575" s="161" t="s">
        <v>1171</v>
      </c>
      <c r="B575" s="160" t="s">
        <v>1170</v>
      </c>
      <c r="C575" s="934" t="s">
        <v>155</v>
      </c>
      <c r="D575" s="934" t="s">
        <v>161</v>
      </c>
    </row>
    <row r="576" spans="1:4">
      <c r="A576" s="161" t="s">
        <v>1871</v>
      </c>
      <c r="B576" s="160" t="s">
        <v>1872</v>
      </c>
      <c r="C576" s="934" t="s">
        <v>1642</v>
      </c>
      <c r="D576" s="934" t="s">
        <v>167</v>
      </c>
    </row>
    <row r="577" spans="1:4">
      <c r="A577" s="161" t="s">
        <v>1457</v>
      </c>
      <c r="B577" s="160" t="s">
        <v>1456</v>
      </c>
      <c r="C577" s="934" t="s">
        <v>175</v>
      </c>
      <c r="D577" s="934" t="s">
        <v>187</v>
      </c>
    </row>
    <row r="578" spans="1:4">
      <c r="A578" s="161" t="s">
        <v>1877</v>
      </c>
      <c r="B578" s="160" t="s">
        <v>1878</v>
      </c>
      <c r="C578" s="934" t="s">
        <v>155</v>
      </c>
      <c r="D578" s="934" t="s">
        <v>1696</v>
      </c>
    </row>
    <row r="579" spans="1:4">
      <c r="A579" s="161" t="s">
        <v>1381</v>
      </c>
      <c r="B579" s="160" t="s">
        <v>1380</v>
      </c>
      <c r="C579" s="934" t="s">
        <v>155</v>
      </c>
      <c r="D579" s="934" t="s">
        <v>167</v>
      </c>
    </row>
    <row r="580" spans="1:4">
      <c r="A580" s="161" t="s">
        <v>1164</v>
      </c>
      <c r="B580" s="160" t="s">
        <v>1163</v>
      </c>
      <c r="C580" s="934" t="s">
        <v>155</v>
      </c>
      <c r="D580" s="934" t="s">
        <v>167</v>
      </c>
    </row>
    <row r="581" spans="1:4">
      <c r="A581" s="161" t="s">
        <v>1465</v>
      </c>
      <c r="B581" s="160" t="s">
        <v>1464</v>
      </c>
      <c r="C581" s="934" t="s">
        <v>155</v>
      </c>
      <c r="D581" s="934" t="s">
        <v>167</v>
      </c>
    </row>
    <row r="582" spans="1:4">
      <c r="A582" s="161" t="s">
        <v>1408</v>
      </c>
      <c r="B582" s="160" t="s">
        <v>1407</v>
      </c>
      <c r="C582" s="934" t="s">
        <v>171</v>
      </c>
      <c r="D582" s="934" t="s">
        <v>172</v>
      </c>
    </row>
    <row r="583" spans="1:4">
      <c r="A583" s="161" t="s">
        <v>903</v>
      </c>
      <c r="B583" s="160" t="s">
        <v>902</v>
      </c>
      <c r="C583" s="934" t="s">
        <v>171</v>
      </c>
      <c r="D583" s="934" t="s">
        <v>172</v>
      </c>
    </row>
    <row r="584" spans="1:4">
      <c r="A584" s="161" t="s">
        <v>1260</v>
      </c>
      <c r="B584" s="160" t="s">
        <v>1259</v>
      </c>
      <c r="C584" s="934" t="s">
        <v>171</v>
      </c>
      <c r="D584" s="934" t="s">
        <v>172</v>
      </c>
    </row>
    <row r="585" spans="1:4">
      <c r="A585" s="161" t="s">
        <v>1537</v>
      </c>
      <c r="B585" s="160" t="s">
        <v>1416</v>
      </c>
      <c r="C585" s="934" t="s">
        <v>144</v>
      </c>
      <c r="D585" s="934" t="s">
        <v>146</v>
      </c>
    </row>
    <row r="586" spans="1:4">
      <c r="A586" s="161" t="s">
        <v>1787</v>
      </c>
      <c r="B586" s="160" t="s">
        <v>920</v>
      </c>
      <c r="C586" s="934" t="s">
        <v>144</v>
      </c>
      <c r="D586" s="934" t="s">
        <v>146</v>
      </c>
    </row>
    <row r="587" spans="1:4">
      <c r="A587" s="161" t="s">
        <v>1543</v>
      </c>
      <c r="B587" s="160" t="s">
        <v>1443</v>
      </c>
      <c r="C587" s="934" t="s">
        <v>144</v>
      </c>
      <c r="D587" s="934" t="s">
        <v>146</v>
      </c>
    </row>
    <row r="588" spans="1:4">
      <c r="A588" s="161" t="s">
        <v>1790</v>
      </c>
      <c r="B588" s="160" t="s">
        <v>1791</v>
      </c>
      <c r="C588" s="934" t="s">
        <v>144</v>
      </c>
      <c r="D588" s="934" t="s">
        <v>146</v>
      </c>
    </row>
    <row r="589" spans="1:4">
      <c r="A589" s="161" t="s">
        <v>905</v>
      </c>
      <c r="B589" s="160" t="s">
        <v>904</v>
      </c>
      <c r="C589" s="934" t="s">
        <v>144</v>
      </c>
      <c r="D589" s="934" t="s">
        <v>146</v>
      </c>
    </row>
    <row r="590" spans="1:4">
      <c r="A590" s="161" t="s">
        <v>1516</v>
      </c>
      <c r="B590" s="160" t="s">
        <v>1310</v>
      </c>
      <c r="C590" s="934" t="s">
        <v>144</v>
      </c>
      <c r="D590" s="934" t="s">
        <v>146</v>
      </c>
    </row>
    <row r="591" spans="1:4">
      <c r="A591" s="161" t="s">
        <v>1538</v>
      </c>
      <c r="B591" s="160" t="s">
        <v>1418</v>
      </c>
      <c r="C591" s="934" t="s">
        <v>144</v>
      </c>
      <c r="D591" s="934" t="s">
        <v>146</v>
      </c>
    </row>
    <row r="592" spans="1:4">
      <c r="A592" s="161" t="s">
        <v>1559</v>
      </c>
      <c r="B592" s="160" t="s">
        <v>1483</v>
      </c>
      <c r="C592" s="934" t="s">
        <v>144</v>
      </c>
      <c r="D592" s="934" t="s">
        <v>146</v>
      </c>
    </row>
    <row r="593" spans="1:4">
      <c r="A593" s="161" t="s">
        <v>1795</v>
      </c>
      <c r="B593" s="160" t="s">
        <v>1796</v>
      </c>
      <c r="C593" s="934" t="s">
        <v>144</v>
      </c>
      <c r="D593" s="934" t="s">
        <v>146</v>
      </c>
    </row>
    <row r="594" spans="1:4">
      <c r="A594" s="161" t="s">
        <v>1479</v>
      </c>
      <c r="B594" s="160" t="s">
        <v>1319</v>
      </c>
      <c r="C594" s="934" t="s">
        <v>144</v>
      </c>
      <c r="D594" s="934" t="s">
        <v>146</v>
      </c>
    </row>
    <row r="595" spans="1:4">
      <c r="A595" s="161" t="s">
        <v>907</v>
      </c>
      <c r="B595" s="160" t="s">
        <v>906</v>
      </c>
      <c r="C595" s="934" t="s">
        <v>144</v>
      </c>
      <c r="D595" s="934" t="s">
        <v>146</v>
      </c>
    </row>
    <row r="596" spans="1:4">
      <c r="A596" s="161" t="s">
        <v>1800</v>
      </c>
      <c r="B596" s="160" t="s">
        <v>1801</v>
      </c>
      <c r="C596" s="934" t="s">
        <v>144</v>
      </c>
      <c r="D596" s="934" t="s">
        <v>146</v>
      </c>
    </row>
    <row r="597" spans="1:4">
      <c r="A597" s="161" t="s">
        <v>1805</v>
      </c>
      <c r="B597" s="160" t="s">
        <v>1806</v>
      </c>
      <c r="C597" s="934" t="s">
        <v>144</v>
      </c>
      <c r="D597" s="934" t="s">
        <v>146</v>
      </c>
    </row>
    <row r="598" spans="1:4">
      <c r="A598" s="161" t="s">
        <v>909</v>
      </c>
      <c r="B598" s="160" t="s">
        <v>908</v>
      </c>
      <c r="C598" s="934" t="s">
        <v>144</v>
      </c>
      <c r="D598" s="934" t="s">
        <v>146</v>
      </c>
    </row>
    <row r="599" spans="1:4">
      <c r="A599" s="161" t="s">
        <v>1810</v>
      </c>
      <c r="B599" s="160" t="s">
        <v>1811</v>
      </c>
      <c r="C599" s="934" t="s">
        <v>144</v>
      </c>
      <c r="D599" s="934" t="s">
        <v>146</v>
      </c>
    </row>
    <row r="600" spans="1:4">
      <c r="A600" s="161" t="s">
        <v>1813</v>
      </c>
      <c r="B600" s="160" t="s">
        <v>1814</v>
      </c>
      <c r="C600" s="934" t="s">
        <v>144</v>
      </c>
      <c r="D600" s="934" t="s">
        <v>146</v>
      </c>
    </row>
    <row r="601" spans="1:4">
      <c r="A601" s="161" t="s">
        <v>911</v>
      </c>
      <c r="B601" s="940" t="s">
        <v>910</v>
      </c>
      <c r="C601" s="934" t="s">
        <v>144</v>
      </c>
      <c r="D601" s="934" t="s">
        <v>147</v>
      </c>
    </row>
    <row r="602" spans="1:4">
      <c r="A602" s="161" t="s">
        <v>1745</v>
      </c>
      <c r="B602" s="940" t="s">
        <v>1746</v>
      </c>
      <c r="C602" s="934" t="s">
        <v>144</v>
      </c>
      <c r="D602" s="934" t="s">
        <v>147</v>
      </c>
    </row>
    <row r="603" spans="1:4">
      <c r="A603" s="161" t="s">
        <v>913</v>
      </c>
      <c r="B603" s="160" t="s">
        <v>912</v>
      </c>
      <c r="C603" s="934" t="s">
        <v>144</v>
      </c>
      <c r="D603" s="934" t="s">
        <v>147</v>
      </c>
    </row>
    <row r="604" spans="1:4">
      <c r="A604" s="161" t="s">
        <v>1749</v>
      </c>
      <c r="B604" s="160" t="s">
        <v>1750</v>
      </c>
      <c r="C604" s="934" t="s">
        <v>144</v>
      </c>
      <c r="D604" s="934" t="s">
        <v>147</v>
      </c>
    </row>
    <row r="605" spans="1:4">
      <c r="A605" s="161" t="s">
        <v>1753</v>
      </c>
      <c r="B605" s="160" t="s">
        <v>1754</v>
      </c>
      <c r="C605" s="934" t="s">
        <v>144</v>
      </c>
      <c r="D605" s="934" t="s">
        <v>147</v>
      </c>
    </row>
    <row r="606" spans="1:4">
      <c r="A606" s="161" t="s">
        <v>1757</v>
      </c>
      <c r="B606" s="160" t="s">
        <v>1758</v>
      </c>
      <c r="C606" s="934" t="s">
        <v>144</v>
      </c>
      <c r="D606" s="934" t="s">
        <v>147</v>
      </c>
    </row>
    <row r="607" spans="1:4">
      <c r="A607" s="161" t="s">
        <v>1761</v>
      </c>
      <c r="B607" s="160" t="s">
        <v>1762</v>
      </c>
      <c r="C607" s="934" t="s">
        <v>144</v>
      </c>
      <c r="D607" s="934" t="s">
        <v>147</v>
      </c>
    </row>
    <row r="608" spans="1:4">
      <c r="A608" s="161" t="s">
        <v>1451</v>
      </c>
      <c r="B608" s="160" t="s">
        <v>1317</v>
      </c>
      <c r="C608" s="934" t="s">
        <v>144</v>
      </c>
      <c r="D608" s="934" t="s">
        <v>147</v>
      </c>
    </row>
    <row r="609" spans="1:4">
      <c r="A609" s="161" t="s">
        <v>1769</v>
      </c>
      <c r="B609" s="160" t="s">
        <v>1770</v>
      </c>
      <c r="C609" s="934" t="s">
        <v>144</v>
      </c>
      <c r="D609" s="934" t="s">
        <v>147</v>
      </c>
    </row>
    <row r="610" spans="1:4">
      <c r="A610" s="161" t="s">
        <v>1773</v>
      </c>
      <c r="B610" s="160" t="s">
        <v>1774</v>
      </c>
      <c r="C610" s="934" t="s">
        <v>144</v>
      </c>
      <c r="D610" s="934" t="s">
        <v>147</v>
      </c>
    </row>
    <row r="611" spans="1:4">
      <c r="A611" s="161" t="s">
        <v>1150</v>
      </c>
      <c r="B611" s="160" t="s">
        <v>925</v>
      </c>
      <c r="C611" s="934" t="s">
        <v>144</v>
      </c>
      <c r="D611" s="934" t="s">
        <v>147</v>
      </c>
    </row>
    <row r="612" spans="1:4">
      <c r="A612" s="161" t="s">
        <v>1781</v>
      </c>
      <c r="B612" s="160" t="s">
        <v>1782</v>
      </c>
      <c r="C612" s="934" t="s">
        <v>144</v>
      </c>
      <c r="D612" s="934" t="s">
        <v>147</v>
      </c>
    </row>
    <row r="613" spans="1:4">
      <c r="A613" s="161" t="s">
        <v>1783</v>
      </c>
      <c r="B613" s="160" t="s">
        <v>1784</v>
      </c>
      <c r="C613" s="934" t="s">
        <v>144</v>
      </c>
      <c r="D613" s="934" t="s">
        <v>147</v>
      </c>
    </row>
    <row r="614" spans="1:4">
      <c r="A614" s="161" t="s">
        <v>1552</v>
      </c>
      <c r="B614" s="160" t="s">
        <v>1551</v>
      </c>
      <c r="C614" s="934" t="s">
        <v>144</v>
      </c>
      <c r="D614" s="934" t="s">
        <v>146</v>
      </c>
    </row>
    <row r="615" spans="1:4">
      <c r="A615" s="161" t="s">
        <v>915</v>
      </c>
      <c r="B615" s="160" t="s">
        <v>914</v>
      </c>
      <c r="C615" s="934" t="s">
        <v>144</v>
      </c>
      <c r="D615" s="934" t="s">
        <v>146</v>
      </c>
    </row>
    <row r="616" spans="1:4">
      <c r="A616" s="162" t="s">
        <v>1515</v>
      </c>
      <c r="B616" s="163" t="s">
        <v>1220</v>
      </c>
      <c r="C616" s="934" t="s">
        <v>144</v>
      </c>
      <c r="D616" s="934" t="s">
        <v>147</v>
      </c>
    </row>
    <row r="617" spans="1:4">
      <c r="A617" s="161" t="s">
        <v>1514</v>
      </c>
      <c r="B617" s="160" t="s">
        <v>1513</v>
      </c>
      <c r="C617" s="934" t="s">
        <v>175</v>
      </c>
      <c r="D617" s="934" t="s">
        <v>177</v>
      </c>
    </row>
    <row r="618" spans="1:4">
      <c r="A618" s="163" t="s">
        <v>1225</v>
      </c>
      <c r="B618" s="163" t="s">
        <v>1144</v>
      </c>
      <c r="C618" s="934"/>
      <c r="D618" s="934"/>
    </row>
    <row r="619" spans="1:4">
      <c r="A619" s="160" t="s">
        <v>1540</v>
      </c>
      <c r="B619" s="160" t="s">
        <v>1539</v>
      </c>
      <c r="C619" s="934" t="s">
        <v>175</v>
      </c>
      <c r="D619" s="934" t="s">
        <v>179</v>
      </c>
    </row>
    <row r="620" spans="1:4">
      <c r="A620" s="162" t="s">
        <v>1145</v>
      </c>
      <c r="B620" s="163" t="s">
        <v>1144</v>
      </c>
      <c r="C620" s="934"/>
      <c r="D620" s="934"/>
    </row>
    <row r="621" spans="1:4">
      <c r="A621" s="160" t="s">
        <v>1511</v>
      </c>
      <c r="B621" s="160" t="s">
        <v>1510</v>
      </c>
      <c r="C621" s="934" t="s">
        <v>175</v>
      </c>
      <c r="D621" s="934" t="s">
        <v>180</v>
      </c>
    </row>
    <row r="622" spans="1:4">
      <c r="A622" s="162" t="s">
        <v>1219</v>
      </c>
      <c r="B622" s="163" t="s">
        <v>1144</v>
      </c>
      <c r="C622" s="934"/>
      <c r="D622" s="934"/>
    </row>
    <row r="623" spans="1:4">
      <c r="A623" s="160" t="s">
        <v>1160</v>
      </c>
      <c r="B623" s="160" t="s">
        <v>1159</v>
      </c>
      <c r="C623" s="934" t="s">
        <v>175</v>
      </c>
      <c r="D623" s="934" t="s">
        <v>179</v>
      </c>
    </row>
    <row r="624" spans="1:4">
      <c r="A624" s="161" t="s">
        <v>1352</v>
      </c>
      <c r="B624" s="160" t="s">
        <v>1351</v>
      </c>
      <c r="C624" s="934" t="s">
        <v>175</v>
      </c>
      <c r="D624" s="934" t="s">
        <v>177</v>
      </c>
    </row>
    <row r="625" spans="1:4">
      <c r="A625" s="161" t="s">
        <v>1375</v>
      </c>
      <c r="B625" s="160" t="s">
        <v>1374</v>
      </c>
      <c r="C625" s="934" t="s">
        <v>175</v>
      </c>
      <c r="D625" s="934" t="s">
        <v>189</v>
      </c>
    </row>
    <row r="626" spans="1:4">
      <c r="A626" s="161" t="s">
        <v>1879</v>
      </c>
      <c r="B626" s="160" t="s">
        <v>1872</v>
      </c>
      <c r="C626" s="934" t="s">
        <v>155</v>
      </c>
      <c r="D626" s="934" t="s">
        <v>1696</v>
      </c>
    </row>
    <row r="627" spans="1:4">
      <c r="A627" s="160" t="s">
        <v>1361</v>
      </c>
      <c r="B627" s="160" t="s">
        <v>1360</v>
      </c>
      <c r="C627" s="934" t="s">
        <v>175</v>
      </c>
      <c r="D627" s="934" t="s">
        <v>178</v>
      </c>
    </row>
    <row r="628" spans="1:4">
      <c r="A628" s="160" t="s">
        <v>917</v>
      </c>
      <c r="B628" s="160" t="s">
        <v>916</v>
      </c>
      <c r="C628" s="934" t="s">
        <v>175</v>
      </c>
      <c r="D628" s="934" t="s">
        <v>178</v>
      </c>
    </row>
    <row r="629" spans="1:4">
      <c r="A629" s="161" t="s">
        <v>1212</v>
      </c>
      <c r="B629" s="160" t="s">
        <v>1211</v>
      </c>
      <c r="C629" s="934" t="s">
        <v>175</v>
      </c>
      <c r="D629" s="934" t="s">
        <v>178</v>
      </c>
    </row>
    <row r="630" spans="1:4">
      <c r="A630" s="161" t="s">
        <v>1432</v>
      </c>
      <c r="B630" s="160" t="s">
        <v>1431</v>
      </c>
      <c r="C630" s="934" t="s">
        <v>175</v>
      </c>
      <c r="D630" s="934" t="s">
        <v>181</v>
      </c>
    </row>
    <row r="631" spans="1:4">
      <c r="A631" s="161" t="s">
        <v>1191</v>
      </c>
      <c r="B631" s="160" t="s">
        <v>1190</v>
      </c>
      <c r="C631" s="934" t="s">
        <v>175</v>
      </c>
      <c r="D631" s="934" t="s">
        <v>181</v>
      </c>
    </row>
    <row r="632" spans="1:4">
      <c r="A632" s="161" t="s">
        <v>1501</v>
      </c>
      <c r="B632" s="160" t="s">
        <v>1500</v>
      </c>
      <c r="C632" s="934" t="s">
        <v>175</v>
      </c>
      <c r="D632" s="934" t="s">
        <v>1918</v>
      </c>
    </row>
    <row r="633" spans="1:4">
      <c r="A633" s="161" t="s">
        <v>1488</v>
      </c>
      <c r="B633" s="160" t="s">
        <v>1487</v>
      </c>
      <c r="C633" s="934" t="s">
        <v>175</v>
      </c>
      <c r="D633" s="934" t="s">
        <v>186</v>
      </c>
    </row>
    <row r="634" spans="1:4">
      <c r="A634" s="161" t="s">
        <v>919</v>
      </c>
      <c r="B634" s="160" t="s">
        <v>918</v>
      </c>
      <c r="C634" s="934" t="s">
        <v>1642</v>
      </c>
      <c r="D634" s="934" t="s">
        <v>178</v>
      </c>
    </row>
    <row r="635" spans="1:4">
      <c r="A635" s="161" t="s">
        <v>420</v>
      </c>
      <c r="B635" s="160" t="s">
        <v>419</v>
      </c>
      <c r="C635" s="934" t="s">
        <v>175</v>
      </c>
      <c r="D635" s="934" t="s">
        <v>183</v>
      </c>
    </row>
    <row r="636" spans="1:4">
      <c r="A636" s="161" t="s">
        <v>1417</v>
      </c>
      <c r="B636" s="160" t="s">
        <v>1416</v>
      </c>
      <c r="C636" s="934" t="s">
        <v>144</v>
      </c>
      <c r="D636" s="934" t="s">
        <v>146</v>
      </c>
    </row>
    <row r="637" spans="1:4">
      <c r="A637" s="161" t="s">
        <v>921</v>
      </c>
      <c r="B637" s="160" t="s">
        <v>920</v>
      </c>
      <c r="C637" s="934" t="s">
        <v>144</v>
      </c>
      <c r="D637" s="934" t="s">
        <v>146</v>
      </c>
    </row>
    <row r="638" spans="1:4">
      <c r="A638" s="161" t="s">
        <v>1444</v>
      </c>
      <c r="B638" s="160" t="s">
        <v>1443</v>
      </c>
      <c r="C638" s="934" t="s">
        <v>144</v>
      </c>
      <c r="D638" s="934" t="s">
        <v>146</v>
      </c>
    </row>
    <row r="639" spans="1:4">
      <c r="A639" s="161" t="s">
        <v>1792</v>
      </c>
      <c r="B639" s="160" t="s">
        <v>1791</v>
      </c>
      <c r="C639" s="934" t="s">
        <v>144</v>
      </c>
      <c r="D639" s="934" t="s">
        <v>146</v>
      </c>
    </row>
    <row r="640" spans="1:4">
      <c r="A640" s="170" t="s">
        <v>922</v>
      </c>
      <c r="B640" s="550" t="s">
        <v>904</v>
      </c>
      <c r="C640" s="934" t="s">
        <v>144</v>
      </c>
      <c r="D640" s="934" t="s">
        <v>146</v>
      </c>
    </row>
    <row r="641" spans="1:4">
      <c r="A641" s="161" t="s">
        <v>1311</v>
      </c>
      <c r="B641" s="160" t="s">
        <v>1310</v>
      </c>
      <c r="C641" s="934" t="s">
        <v>144</v>
      </c>
      <c r="D641" s="934" t="s">
        <v>146</v>
      </c>
    </row>
    <row r="642" spans="1:4">
      <c r="A642" s="161" t="s">
        <v>1419</v>
      </c>
      <c r="B642" s="160" t="s">
        <v>1418</v>
      </c>
      <c r="C642" s="934" t="s">
        <v>144</v>
      </c>
      <c r="D642" s="934" t="s">
        <v>146</v>
      </c>
    </row>
    <row r="643" spans="1:4">
      <c r="A643" s="161" t="s">
        <v>1484</v>
      </c>
      <c r="B643" s="160" t="s">
        <v>1483</v>
      </c>
      <c r="C643" s="934" t="s">
        <v>144</v>
      </c>
      <c r="D643" s="934" t="s">
        <v>146</v>
      </c>
    </row>
    <row r="644" spans="1:4">
      <c r="A644" s="161" t="s">
        <v>1797</v>
      </c>
      <c r="B644" s="160" t="s">
        <v>1796</v>
      </c>
      <c r="C644" s="934" t="s">
        <v>144</v>
      </c>
      <c r="D644" s="934" t="s">
        <v>146</v>
      </c>
    </row>
    <row r="645" spans="1:4">
      <c r="A645" s="161" t="s">
        <v>1320</v>
      </c>
      <c r="B645" s="160" t="s">
        <v>1319</v>
      </c>
      <c r="C645" s="934" t="s">
        <v>144</v>
      </c>
      <c r="D645" s="934" t="s">
        <v>146</v>
      </c>
    </row>
    <row r="646" spans="1:4">
      <c r="A646" s="161" t="s">
        <v>923</v>
      </c>
      <c r="B646" s="160" t="s">
        <v>906</v>
      </c>
      <c r="C646" s="934" t="s">
        <v>144</v>
      </c>
      <c r="D646" s="934" t="s">
        <v>146</v>
      </c>
    </row>
    <row r="647" spans="1:4">
      <c r="A647" s="161" t="s">
        <v>1802</v>
      </c>
      <c r="B647" s="160" t="s">
        <v>1801</v>
      </c>
      <c r="C647" s="934" t="s">
        <v>144</v>
      </c>
      <c r="D647" s="934" t="s">
        <v>146</v>
      </c>
    </row>
    <row r="648" spans="1:4">
      <c r="A648" s="161" t="s">
        <v>1807</v>
      </c>
      <c r="B648" s="160" t="s">
        <v>1806</v>
      </c>
      <c r="C648" s="934" t="s">
        <v>144</v>
      </c>
      <c r="D648" s="934" t="s">
        <v>146</v>
      </c>
    </row>
    <row r="649" spans="1:4">
      <c r="A649" s="161" t="s">
        <v>924</v>
      </c>
      <c r="B649" s="160" t="s">
        <v>908</v>
      </c>
      <c r="C649" s="934" t="s">
        <v>144</v>
      </c>
      <c r="D649" s="934" t="s">
        <v>146</v>
      </c>
    </row>
    <row r="650" spans="1:4">
      <c r="A650" s="170" t="s">
        <v>1812</v>
      </c>
      <c r="B650" s="565" t="s">
        <v>1811</v>
      </c>
      <c r="C650" s="934" t="s">
        <v>144</v>
      </c>
      <c r="D650" s="934" t="s">
        <v>146</v>
      </c>
    </row>
    <row r="651" spans="1:4">
      <c r="A651" s="161" t="s">
        <v>1318</v>
      </c>
      <c r="B651" s="165" t="s">
        <v>1317</v>
      </c>
      <c r="C651" s="934" t="s">
        <v>144</v>
      </c>
      <c r="D651" s="934" t="s">
        <v>147</v>
      </c>
    </row>
    <row r="652" spans="1:4">
      <c r="A652" s="161" t="s">
        <v>1765</v>
      </c>
      <c r="B652" s="160" t="s">
        <v>1766</v>
      </c>
      <c r="C652" s="934" t="s">
        <v>144</v>
      </c>
      <c r="D652" s="934" t="s">
        <v>147</v>
      </c>
    </row>
    <row r="653" spans="1:4">
      <c r="A653" s="161" t="s">
        <v>1778</v>
      </c>
      <c r="B653" s="160" t="s">
        <v>1777</v>
      </c>
      <c r="C653" s="934" t="s">
        <v>144</v>
      </c>
      <c r="D653" s="934" t="s">
        <v>147</v>
      </c>
    </row>
    <row r="654" spans="1:4">
      <c r="A654" s="161" t="s">
        <v>1490</v>
      </c>
      <c r="B654" s="160" t="s">
        <v>1489</v>
      </c>
      <c r="C654" s="934" t="s">
        <v>144</v>
      </c>
      <c r="D654" s="934" t="s">
        <v>146</v>
      </c>
    </row>
    <row r="655" spans="1:4">
      <c r="A655" s="161" t="s">
        <v>926</v>
      </c>
      <c r="B655" s="160" t="s">
        <v>914</v>
      </c>
      <c r="C655" s="934" t="s">
        <v>144</v>
      </c>
      <c r="D655" s="934" t="s">
        <v>146</v>
      </c>
    </row>
    <row r="656" spans="1:4">
      <c r="A656" s="161" t="s">
        <v>928</v>
      </c>
      <c r="B656" s="160" t="s">
        <v>927</v>
      </c>
      <c r="C656" s="934" t="s">
        <v>144</v>
      </c>
      <c r="D656" s="934" t="s">
        <v>147</v>
      </c>
    </row>
    <row r="657" spans="1:4">
      <c r="A657" s="162" t="s">
        <v>1221</v>
      </c>
      <c r="B657" s="163" t="s">
        <v>1220</v>
      </c>
      <c r="C657" s="934" t="s">
        <v>144</v>
      </c>
      <c r="D657" s="934" t="s">
        <v>147</v>
      </c>
    </row>
    <row r="658" spans="1:4">
      <c r="A658" s="161" t="s">
        <v>1482</v>
      </c>
      <c r="B658" s="160" t="s">
        <v>1520</v>
      </c>
      <c r="C658" s="934" t="s">
        <v>75</v>
      </c>
      <c r="D658" s="934" t="s">
        <v>103</v>
      </c>
    </row>
    <row r="659" spans="1:4">
      <c r="A659" s="161" t="s">
        <v>1441</v>
      </c>
      <c r="B659" s="160" t="s">
        <v>1439</v>
      </c>
      <c r="C659" s="934" t="s">
        <v>75</v>
      </c>
      <c r="D659" s="934" t="s">
        <v>104</v>
      </c>
    </row>
    <row r="660" spans="1:4">
      <c r="A660" s="161" t="s">
        <v>397</v>
      </c>
      <c r="B660" s="160" t="s">
        <v>396</v>
      </c>
      <c r="C660" s="934" t="s">
        <v>75</v>
      </c>
      <c r="D660" s="934" t="s">
        <v>106</v>
      </c>
    </row>
    <row r="661" spans="1:4">
      <c r="A661" s="161" t="s">
        <v>1433</v>
      </c>
      <c r="B661" s="160" t="s">
        <v>1357</v>
      </c>
      <c r="C661" s="934" t="s">
        <v>75</v>
      </c>
      <c r="D661" s="934" t="s">
        <v>107</v>
      </c>
    </row>
    <row r="662" spans="1:4">
      <c r="A662" s="161" t="s">
        <v>937</v>
      </c>
      <c r="B662" s="160" t="s">
        <v>935</v>
      </c>
      <c r="C662" s="934" t="s">
        <v>75</v>
      </c>
      <c r="D662" s="934" t="s">
        <v>109</v>
      </c>
    </row>
    <row r="663" spans="1:4">
      <c r="A663" s="161" t="s">
        <v>1406</v>
      </c>
      <c r="B663" s="160" t="s">
        <v>1404</v>
      </c>
      <c r="C663" s="934" t="s">
        <v>75</v>
      </c>
      <c r="D663" s="934" t="s">
        <v>105</v>
      </c>
    </row>
    <row r="664" spans="1:4">
      <c r="A664" s="161" t="s">
        <v>1373</v>
      </c>
      <c r="B664" s="160" t="s">
        <v>1371</v>
      </c>
      <c r="C664" s="934" t="s">
        <v>75</v>
      </c>
      <c r="D664" s="934" t="s">
        <v>108</v>
      </c>
    </row>
    <row r="665" spans="1:4">
      <c r="A665" s="161" t="s">
        <v>441</v>
      </c>
      <c r="B665" s="160" t="s">
        <v>440</v>
      </c>
      <c r="C665" s="934" t="s">
        <v>75</v>
      </c>
      <c r="D665" s="934" t="s">
        <v>108</v>
      </c>
    </row>
    <row r="666" spans="1:4">
      <c r="A666" s="161" t="s">
        <v>1881</v>
      </c>
      <c r="B666" s="550" t="s">
        <v>1882</v>
      </c>
      <c r="C666" s="934" t="s">
        <v>75</v>
      </c>
      <c r="D666" s="934" t="s">
        <v>108</v>
      </c>
    </row>
    <row r="667" spans="1:4">
      <c r="A667" s="161" t="s">
        <v>1258</v>
      </c>
      <c r="B667" s="160" t="s">
        <v>1256</v>
      </c>
      <c r="C667" s="934" t="s">
        <v>75</v>
      </c>
      <c r="D667" s="934" t="s">
        <v>213</v>
      </c>
    </row>
    <row r="668" spans="1:4">
      <c r="A668" s="161" t="s">
        <v>1182</v>
      </c>
      <c r="B668" s="160" t="s">
        <v>1180</v>
      </c>
      <c r="C668" s="934" t="s">
        <v>75</v>
      </c>
      <c r="D668" s="934" t="s">
        <v>112</v>
      </c>
    </row>
    <row r="669" spans="1:4">
      <c r="A669" s="161" t="s">
        <v>1265</v>
      </c>
      <c r="B669" s="160" t="s">
        <v>1339</v>
      </c>
      <c r="C669" s="934" t="s">
        <v>75</v>
      </c>
      <c r="D669" s="934" t="s">
        <v>113</v>
      </c>
    </row>
    <row r="670" spans="1:4">
      <c r="A670" s="161" t="s">
        <v>1248</v>
      </c>
      <c r="B670" s="160" t="s">
        <v>1246</v>
      </c>
      <c r="C670" s="934" t="s">
        <v>75</v>
      </c>
      <c r="D670" s="934" t="s">
        <v>114</v>
      </c>
    </row>
    <row r="671" spans="1:4">
      <c r="A671" s="161" t="s">
        <v>1210</v>
      </c>
      <c r="B671" s="160" t="s">
        <v>1442</v>
      </c>
      <c r="C671" s="934" t="s">
        <v>75</v>
      </c>
      <c r="D671" s="934" t="s">
        <v>116</v>
      </c>
    </row>
    <row r="672" spans="1:4">
      <c r="A672" s="161" t="s">
        <v>1251</v>
      </c>
      <c r="B672" s="160" t="s">
        <v>1249</v>
      </c>
      <c r="C672" s="934" t="s">
        <v>75</v>
      </c>
      <c r="D672" s="934" t="s">
        <v>119</v>
      </c>
    </row>
    <row r="673" spans="1:4">
      <c r="A673" s="161" t="s">
        <v>1282</v>
      </c>
      <c r="B673" s="160" t="s">
        <v>1280</v>
      </c>
      <c r="C673" s="934" t="s">
        <v>75</v>
      </c>
      <c r="D673" s="934" t="s">
        <v>117</v>
      </c>
    </row>
    <row r="674" spans="1:4">
      <c r="A674" s="160" t="s">
        <v>1304</v>
      </c>
      <c r="B674" s="160" t="s">
        <v>1411</v>
      </c>
      <c r="C674" s="934" t="s">
        <v>75</v>
      </c>
      <c r="D674" s="934" t="s">
        <v>118</v>
      </c>
    </row>
    <row r="675" spans="1:4">
      <c r="A675" s="161" t="s">
        <v>1156</v>
      </c>
      <c r="B675" s="160" t="s">
        <v>1154</v>
      </c>
      <c r="C675" s="934" t="s">
        <v>75</v>
      </c>
      <c r="D675" s="934" t="s">
        <v>127</v>
      </c>
    </row>
    <row r="676" spans="1:4">
      <c r="A676" s="161" t="s">
        <v>930</v>
      </c>
      <c r="B676" s="160" t="s">
        <v>929</v>
      </c>
      <c r="C676" s="934" t="s">
        <v>155</v>
      </c>
      <c r="D676" s="934" t="s">
        <v>128</v>
      </c>
    </row>
    <row r="677" spans="1:4">
      <c r="A677" s="161" t="s">
        <v>932</v>
      </c>
      <c r="B677" s="160" t="s">
        <v>931</v>
      </c>
      <c r="C677" s="934" t="s">
        <v>75</v>
      </c>
      <c r="D677" s="934" t="s">
        <v>133</v>
      </c>
    </row>
    <row r="678" spans="1:4">
      <c r="A678" s="161" t="s">
        <v>1185</v>
      </c>
      <c r="B678" s="160" t="s">
        <v>1183</v>
      </c>
      <c r="C678" s="934" t="s">
        <v>75</v>
      </c>
      <c r="D678" s="934" t="s">
        <v>123</v>
      </c>
    </row>
    <row r="679" spans="1:4">
      <c r="A679" s="161" t="s">
        <v>1179</v>
      </c>
      <c r="B679" s="160" t="s">
        <v>1177</v>
      </c>
      <c r="C679" s="934" t="s">
        <v>75</v>
      </c>
      <c r="D679" s="934" t="s">
        <v>131</v>
      </c>
    </row>
    <row r="680" spans="1:4">
      <c r="A680" s="161" t="s">
        <v>1285</v>
      </c>
      <c r="B680" s="160" t="s">
        <v>1283</v>
      </c>
      <c r="C680" s="934" t="s">
        <v>75</v>
      </c>
      <c r="D680" s="934" t="s">
        <v>124</v>
      </c>
    </row>
    <row r="681" spans="1:4">
      <c r="A681" s="161" t="s">
        <v>1205</v>
      </c>
      <c r="B681" s="160" t="s">
        <v>1203</v>
      </c>
      <c r="C681" s="934" t="s">
        <v>75</v>
      </c>
      <c r="D681" s="934" t="s">
        <v>129</v>
      </c>
    </row>
    <row r="682" spans="1:4">
      <c r="A682" s="161" t="s">
        <v>1153</v>
      </c>
      <c r="B682" s="160" t="s">
        <v>1151</v>
      </c>
      <c r="C682" s="934" t="s">
        <v>75</v>
      </c>
      <c r="D682" s="934" t="s">
        <v>130</v>
      </c>
    </row>
    <row r="683" spans="1:4">
      <c r="A683" s="161" t="s">
        <v>1236</v>
      </c>
      <c r="B683" s="160" t="s">
        <v>1234</v>
      </c>
      <c r="C683" s="934" t="s">
        <v>75</v>
      </c>
      <c r="D683" s="934" t="s">
        <v>132</v>
      </c>
    </row>
    <row r="684" spans="1:4">
      <c r="A684" s="161" t="s">
        <v>1216</v>
      </c>
      <c r="B684" s="160" t="s">
        <v>1312</v>
      </c>
      <c r="C684" s="934" t="s">
        <v>75</v>
      </c>
      <c r="D684" s="934" t="s">
        <v>125</v>
      </c>
    </row>
    <row r="685" spans="1:4">
      <c r="A685" s="161" t="s">
        <v>1307</v>
      </c>
      <c r="B685" s="160" t="s">
        <v>1305</v>
      </c>
      <c r="C685" s="934" t="s">
        <v>75</v>
      </c>
      <c r="D685" s="934" t="s">
        <v>126</v>
      </c>
    </row>
    <row r="686" spans="1:4">
      <c r="A686" s="161" t="s">
        <v>1332</v>
      </c>
      <c r="B686" s="160" t="s">
        <v>1330</v>
      </c>
      <c r="C686" s="934" t="s">
        <v>1642</v>
      </c>
      <c r="D686" s="934" t="s">
        <v>260</v>
      </c>
    </row>
    <row r="687" spans="1:4">
      <c r="A687" s="161" t="s">
        <v>934</v>
      </c>
      <c r="B687" s="160" t="s">
        <v>933</v>
      </c>
      <c r="C687" s="934" t="s">
        <v>1642</v>
      </c>
      <c r="D687" s="934" t="s">
        <v>250</v>
      </c>
    </row>
    <row r="688" spans="1:4">
      <c r="A688" s="161" t="s">
        <v>1243</v>
      </c>
      <c r="B688" s="160" t="s">
        <v>1329</v>
      </c>
      <c r="C688" s="934" t="s">
        <v>1642</v>
      </c>
      <c r="D688" s="934" t="s">
        <v>244</v>
      </c>
    </row>
    <row r="689" spans="1:4">
      <c r="A689" s="161" t="s">
        <v>1397</v>
      </c>
      <c r="B689" s="160" t="s">
        <v>1466</v>
      </c>
      <c r="C689" s="934" t="s">
        <v>75</v>
      </c>
      <c r="D689" s="934" t="s">
        <v>235</v>
      </c>
    </row>
    <row r="690" spans="1:4">
      <c r="A690" s="161" t="s">
        <v>1254</v>
      </c>
      <c r="B690" s="160" t="s">
        <v>1363</v>
      </c>
      <c r="C690" s="934" t="s">
        <v>1642</v>
      </c>
      <c r="D690" s="934" t="s">
        <v>242</v>
      </c>
    </row>
    <row r="691" spans="1:4">
      <c r="A691" s="161" t="s">
        <v>1202</v>
      </c>
      <c r="B691" s="160" t="s">
        <v>1359</v>
      </c>
      <c r="C691" s="934" t="s">
        <v>1642</v>
      </c>
      <c r="D691" s="934" t="s">
        <v>237</v>
      </c>
    </row>
    <row r="692" spans="1:4">
      <c r="A692" s="161" t="s">
        <v>1883</v>
      </c>
      <c r="B692" s="160" t="s">
        <v>1884</v>
      </c>
      <c r="C692" s="934" t="s">
        <v>1642</v>
      </c>
      <c r="D692" s="934" t="s">
        <v>241</v>
      </c>
    </row>
    <row r="693" spans="1:4">
      <c r="A693" s="161" t="s">
        <v>1224</v>
      </c>
      <c r="B693" s="160" t="s">
        <v>1293</v>
      </c>
      <c r="C693" s="934" t="s">
        <v>1642</v>
      </c>
      <c r="D693" s="934" t="s">
        <v>239</v>
      </c>
    </row>
    <row r="694" spans="1:4">
      <c r="A694" s="161" t="s">
        <v>1270</v>
      </c>
      <c r="B694" s="160" t="s">
        <v>1392</v>
      </c>
      <c r="C694" s="934" t="s">
        <v>1642</v>
      </c>
      <c r="D694" s="934" t="s">
        <v>246</v>
      </c>
    </row>
    <row r="695" spans="1:4">
      <c r="A695" s="161" t="s">
        <v>1893</v>
      </c>
      <c r="B695" s="160" t="s">
        <v>1894</v>
      </c>
      <c r="C695" s="934" t="s">
        <v>1642</v>
      </c>
      <c r="D695" s="934" t="s">
        <v>252</v>
      </c>
    </row>
    <row r="696" spans="1:4">
      <c r="A696" s="161" t="s">
        <v>1481</v>
      </c>
      <c r="B696" s="160" t="s">
        <v>1480</v>
      </c>
      <c r="C696" s="934" t="s">
        <v>144</v>
      </c>
      <c r="D696" s="934" t="s">
        <v>103</v>
      </c>
    </row>
    <row r="697" spans="1:4">
      <c r="A697" s="161" t="s">
        <v>1440</v>
      </c>
      <c r="B697" s="160" t="s">
        <v>1439</v>
      </c>
      <c r="C697" s="934" t="s">
        <v>144</v>
      </c>
      <c r="D697" s="934" t="s">
        <v>104</v>
      </c>
    </row>
    <row r="698" spans="1:4">
      <c r="A698" s="161" t="s">
        <v>1228</v>
      </c>
      <c r="B698" s="160" t="s">
        <v>1227</v>
      </c>
      <c r="C698" s="934" t="s">
        <v>144</v>
      </c>
      <c r="D698" s="934" t="s">
        <v>106</v>
      </c>
    </row>
    <row r="699" spans="1:4">
      <c r="A699" s="161" t="s">
        <v>1358</v>
      </c>
      <c r="B699" s="160" t="s">
        <v>1357</v>
      </c>
      <c r="C699" s="934" t="s">
        <v>144</v>
      </c>
      <c r="D699" s="934" t="s">
        <v>107</v>
      </c>
    </row>
    <row r="700" spans="1:4">
      <c r="A700" s="161" t="s">
        <v>936</v>
      </c>
      <c r="B700" s="160" t="s">
        <v>935</v>
      </c>
      <c r="C700" s="934" t="s">
        <v>1642</v>
      </c>
      <c r="D700" s="934" t="s">
        <v>262</v>
      </c>
    </row>
    <row r="701" spans="1:4">
      <c r="A701" s="161" t="s">
        <v>1405</v>
      </c>
      <c r="B701" s="160" t="s">
        <v>1404</v>
      </c>
      <c r="C701" s="934" t="s">
        <v>144</v>
      </c>
      <c r="D701" s="934" t="s">
        <v>105</v>
      </c>
    </row>
    <row r="702" spans="1:4">
      <c r="A702" s="161" t="s">
        <v>1412</v>
      </c>
      <c r="B702" s="160" t="s">
        <v>1371</v>
      </c>
      <c r="C702" s="934" t="s">
        <v>144</v>
      </c>
      <c r="D702" s="934" t="s">
        <v>108</v>
      </c>
    </row>
    <row r="703" spans="1:4">
      <c r="A703" s="161" t="s">
        <v>488</v>
      </c>
      <c r="B703" s="160" t="s">
        <v>487</v>
      </c>
      <c r="C703" s="934" t="s">
        <v>144</v>
      </c>
      <c r="D703" s="934" t="s">
        <v>108</v>
      </c>
    </row>
    <row r="704" spans="1:4">
      <c r="A704" s="161" t="s">
        <v>1294</v>
      </c>
      <c r="B704" s="160" t="s">
        <v>1256</v>
      </c>
      <c r="C704" s="934" t="s">
        <v>144</v>
      </c>
      <c r="D704" s="934" t="s">
        <v>213</v>
      </c>
    </row>
    <row r="705" spans="1:4">
      <c r="A705" s="161" t="s">
        <v>1181</v>
      </c>
      <c r="B705" s="160" t="s">
        <v>1180</v>
      </c>
      <c r="C705" s="934" t="s">
        <v>144</v>
      </c>
      <c r="D705" s="934" t="s">
        <v>112</v>
      </c>
    </row>
    <row r="706" spans="1:4">
      <c r="A706" s="161" t="s">
        <v>1370</v>
      </c>
      <c r="B706" s="160" t="s">
        <v>1339</v>
      </c>
      <c r="C706" s="934" t="s">
        <v>144</v>
      </c>
      <c r="D706" s="934" t="s">
        <v>113</v>
      </c>
    </row>
    <row r="707" spans="1:4">
      <c r="A707" s="161" t="s">
        <v>1410</v>
      </c>
      <c r="B707" s="160" t="s">
        <v>1409</v>
      </c>
      <c r="C707" s="934" t="s">
        <v>144</v>
      </c>
      <c r="D707" s="934" t="s">
        <v>114</v>
      </c>
    </row>
    <row r="708" spans="1:4">
      <c r="A708" s="161" t="s">
        <v>1300</v>
      </c>
      <c r="B708" s="160" t="s">
        <v>1208</v>
      </c>
      <c r="C708" s="934" t="s">
        <v>144</v>
      </c>
      <c r="D708" s="934" t="s">
        <v>116</v>
      </c>
    </row>
    <row r="709" spans="1:4">
      <c r="A709" s="161" t="s">
        <v>1286</v>
      </c>
      <c r="B709" s="160" t="s">
        <v>1249</v>
      </c>
      <c r="C709" s="934" t="s">
        <v>144</v>
      </c>
      <c r="D709" s="934" t="s">
        <v>119</v>
      </c>
    </row>
    <row r="710" spans="1:4">
      <c r="A710" s="161" t="s">
        <v>1334</v>
      </c>
      <c r="B710" s="160" t="s">
        <v>1280</v>
      </c>
      <c r="C710" s="934" t="s">
        <v>144</v>
      </c>
      <c r="D710" s="934" t="s">
        <v>117</v>
      </c>
    </row>
    <row r="711" spans="1:4">
      <c r="A711" s="160" t="s">
        <v>1347</v>
      </c>
      <c r="B711" s="160" t="s">
        <v>1302</v>
      </c>
      <c r="C711" s="934" t="s">
        <v>144</v>
      </c>
      <c r="D711" s="934" t="s">
        <v>118</v>
      </c>
    </row>
    <row r="712" spans="1:4">
      <c r="A712" s="161" t="s">
        <v>1167</v>
      </c>
      <c r="B712" s="160" t="s">
        <v>1154</v>
      </c>
      <c r="C712" s="934" t="s">
        <v>144</v>
      </c>
      <c r="D712" s="934" t="s">
        <v>127</v>
      </c>
    </row>
    <row r="713" spans="1:4">
      <c r="A713" s="161" t="s">
        <v>938</v>
      </c>
      <c r="B713" s="160" t="s">
        <v>929</v>
      </c>
      <c r="C713" s="934" t="s">
        <v>155</v>
      </c>
      <c r="D713" s="934" t="s">
        <v>128</v>
      </c>
    </row>
    <row r="714" spans="1:4">
      <c r="A714" s="161" t="s">
        <v>939</v>
      </c>
      <c r="B714" s="160" t="s">
        <v>931</v>
      </c>
      <c r="C714" s="934" t="s">
        <v>144</v>
      </c>
      <c r="D714" s="934" t="s">
        <v>133</v>
      </c>
    </row>
    <row r="715" spans="1:4">
      <c r="A715" s="161" t="s">
        <v>1238</v>
      </c>
      <c r="B715" s="160" t="s">
        <v>1183</v>
      </c>
      <c r="C715" s="934" t="s">
        <v>144</v>
      </c>
      <c r="D715" s="934" t="s">
        <v>123</v>
      </c>
    </row>
    <row r="716" spans="1:4">
      <c r="A716" s="161" t="s">
        <v>1195</v>
      </c>
      <c r="B716" s="160" t="s">
        <v>1177</v>
      </c>
      <c r="C716" s="934" t="s">
        <v>144</v>
      </c>
      <c r="D716" s="934" t="s">
        <v>131</v>
      </c>
    </row>
    <row r="717" spans="1:4">
      <c r="A717" s="161" t="s">
        <v>1333</v>
      </c>
      <c r="B717" s="160" t="s">
        <v>1283</v>
      </c>
      <c r="C717" s="934" t="s">
        <v>144</v>
      </c>
      <c r="D717" s="934" t="s">
        <v>124</v>
      </c>
    </row>
    <row r="718" spans="1:4">
      <c r="A718" s="161" t="s">
        <v>1229</v>
      </c>
      <c r="B718" s="160" t="s">
        <v>1203</v>
      </c>
      <c r="C718" s="934" t="s">
        <v>144</v>
      </c>
      <c r="D718" s="934" t="s">
        <v>129</v>
      </c>
    </row>
    <row r="719" spans="1:4">
      <c r="A719" s="161" t="s">
        <v>1198</v>
      </c>
      <c r="B719" s="160" t="s">
        <v>1151</v>
      </c>
      <c r="C719" s="934" t="s">
        <v>144</v>
      </c>
      <c r="D719" s="934" t="s">
        <v>130</v>
      </c>
    </row>
    <row r="720" spans="1:4">
      <c r="A720" s="161" t="s">
        <v>1267</v>
      </c>
      <c r="B720" s="160" t="s">
        <v>1234</v>
      </c>
      <c r="C720" s="934" t="s">
        <v>1919</v>
      </c>
      <c r="D720" s="934" t="s">
        <v>132</v>
      </c>
    </row>
    <row r="721" spans="1:4">
      <c r="A721" s="161" t="s">
        <v>1245</v>
      </c>
      <c r="B721" s="160" t="s">
        <v>1244</v>
      </c>
      <c r="C721" s="934" t="s">
        <v>144</v>
      </c>
      <c r="D721" s="934" t="s">
        <v>125</v>
      </c>
    </row>
    <row r="722" spans="1:4">
      <c r="A722" s="161" t="s">
        <v>1356</v>
      </c>
      <c r="B722" s="160" t="s">
        <v>1305</v>
      </c>
      <c r="C722" s="934" t="s">
        <v>144</v>
      </c>
      <c r="D722" s="934" t="s">
        <v>126</v>
      </c>
    </row>
    <row r="723" spans="1:4">
      <c r="A723" s="161" t="s">
        <v>1453</v>
      </c>
      <c r="B723" s="160" t="s">
        <v>1330</v>
      </c>
      <c r="C723" s="934" t="s">
        <v>1642</v>
      </c>
      <c r="D723" s="934" t="s">
        <v>260</v>
      </c>
    </row>
    <row r="724" spans="1:4">
      <c r="A724" s="161" t="s">
        <v>940</v>
      </c>
      <c r="B724" s="160" t="s">
        <v>933</v>
      </c>
      <c r="C724" s="934" t="s">
        <v>1642</v>
      </c>
      <c r="D724" s="934" t="s">
        <v>250</v>
      </c>
    </row>
    <row r="725" spans="1:4">
      <c r="A725" s="161" t="s">
        <v>1378</v>
      </c>
      <c r="B725" s="160" t="s">
        <v>1377</v>
      </c>
      <c r="C725" s="934" t="s">
        <v>144</v>
      </c>
      <c r="D725" s="934" t="s">
        <v>244</v>
      </c>
    </row>
    <row r="726" spans="1:4">
      <c r="A726" s="161" t="s">
        <v>1460</v>
      </c>
      <c r="B726" s="160" t="s">
        <v>1459</v>
      </c>
      <c r="C726" s="934" t="s">
        <v>144</v>
      </c>
      <c r="D726" s="934" t="s">
        <v>235</v>
      </c>
    </row>
    <row r="727" spans="1:4">
      <c r="A727" s="161" t="s">
        <v>1288</v>
      </c>
      <c r="B727" s="160" t="s">
        <v>1287</v>
      </c>
      <c r="C727" s="934" t="s">
        <v>144</v>
      </c>
      <c r="D727" s="934" t="s">
        <v>242</v>
      </c>
    </row>
    <row r="728" spans="1:4">
      <c r="A728" s="161" t="s">
        <v>1201</v>
      </c>
      <c r="B728" s="160" t="s">
        <v>1200</v>
      </c>
      <c r="C728" s="934" t="s">
        <v>144</v>
      </c>
      <c r="D728" s="934" t="s">
        <v>237</v>
      </c>
    </row>
    <row r="729" spans="1:4">
      <c r="A729" s="161" t="s">
        <v>1885</v>
      </c>
      <c r="B729" s="160" t="s">
        <v>1886</v>
      </c>
      <c r="C729" s="934" t="s">
        <v>144</v>
      </c>
      <c r="D729" s="934" t="s">
        <v>241</v>
      </c>
    </row>
    <row r="730" spans="1:4">
      <c r="A730" s="161" t="s">
        <v>1391</v>
      </c>
      <c r="B730" s="160" t="s">
        <v>1390</v>
      </c>
      <c r="C730" s="934" t="s">
        <v>144</v>
      </c>
      <c r="D730" s="934" t="s">
        <v>239</v>
      </c>
    </row>
    <row r="731" spans="1:4">
      <c r="A731" s="161" t="s">
        <v>1316</v>
      </c>
      <c r="B731" s="160" t="s">
        <v>1315</v>
      </c>
      <c r="C731" s="934" t="s">
        <v>144</v>
      </c>
      <c r="D731" s="934" t="s">
        <v>246</v>
      </c>
    </row>
    <row r="732" spans="1:4">
      <c r="A732" s="161" t="s">
        <v>1895</v>
      </c>
      <c r="B732" s="160" t="s">
        <v>1896</v>
      </c>
      <c r="C732" s="934" t="s">
        <v>144</v>
      </c>
      <c r="D732" s="934" t="s">
        <v>1657</v>
      </c>
    </row>
    <row r="733" spans="1:4">
      <c r="A733" s="161" t="s">
        <v>1401</v>
      </c>
      <c r="B733" s="565" t="s">
        <v>1400</v>
      </c>
      <c r="C733" s="934" t="s">
        <v>155</v>
      </c>
      <c r="D733" s="934" t="s">
        <v>122</v>
      </c>
    </row>
    <row r="734" spans="1:4">
      <c r="A734" s="161" t="s">
        <v>1448</v>
      </c>
      <c r="B734" s="160" t="s">
        <v>1447</v>
      </c>
      <c r="C734" s="934" t="s">
        <v>155</v>
      </c>
      <c r="D734" s="934" t="s">
        <v>122</v>
      </c>
    </row>
    <row r="735" spans="1:4">
      <c r="A735" s="161" t="s">
        <v>1424</v>
      </c>
      <c r="B735" s="160" t="s">
        <v>1371</v>
      </c>
      <c r="C735" s="934" t="s">
        <v>155</v>
      </c>
      <c r="D735" s="934" t="s">
        <v>121</v>
      </c>
    </row>
    <row r="736" spans="1:4">
      <c r="A736" s="161" t="s">
        <v>1353</v>
      </c>
      <c r="B736" s="160" t="s">
        <v>1256</v>
      </c>
      <c r="C736" s="934" t="s">
        <v>155</v>
      </c>
      <c r="D736" s="934" t="s">
        <v>213</v>
      </c>
    </row>
    <row r="737" spans="1:4">
      <c r="A737" s="161" t="s">
        <v>1321</v>
      </c>
      <c r="B737" s="160" t="s">
        <v>1180</v>
      </c>
      <c r="C737" s="934" t="s">
        <v>155</v>
      </c>
      <c r="D737" s="934" t="s">
        <v>112</v>
      </c>
    </row>
    <row r="738" spans="1:4">
      <c r="A738" s="161" t="s">
        <v>1346</v>
      </c>
      <c r="B738" s="160" t="s">
        <v>1263</v>
      </c>
      <c r="C738" s="934" t="s">
        <v>155</v>
      </c>
      <c r="D738" s="934" t="s">
        <v>113</v>
      </c>
    </row>
    <row r="739" spans="1:4">
      <c r="A739" s="161" t="s">
        <v>1458</v>
      </c>
      <c r="B739" s="160" t="s">
        <v>1246</v>
      </c>
      <c r="C739" s="934" t="s">
        <v>155</v>
      </c>
      <c r="D739" s="934" t="s">
        <v>114</v>
      </c>
    </row>
    <row r="740" spans="1:4">
      <c r="A740" s="161" t="s">
        <v>1493</v>
      </c>
      <c r="B740" s="160" t="s">
        <v>1327</v>
      </c>
      <c r="C740" s="934" t="s">
        <v>155</v>
      </c>
      <c r="D740" s="934" t="s">
        <v>115</v>
      </c>
    </row>
    <row r="741" spans="1:4">
      <c r="A741" s="161" t="s">
        <v>1446</v>
      </c>
      <c r="B741" s="160" t="s">
        <v>1445</v>
      </c>
      <c r="C741" s="934" t="s">
        <v>155</v>
      </c>
      <c r="D741" s="934" t="s">
        <v>116</v>
      </c>
    </row>
    <row r="742" spans="1:4">
      <c r="A742" s="161" t="s">
        <v>1343</v>
      </c>
      <c r="B742" s="160" t="s">
        <v>1249</v>
      </c>
      <c r="C742" s="934" t="s">
        <v>155</v>
      </c>
      <c r="D742" s="934" t="s">
        <v>119</v>
      </c>
    </row>
    <row r="743" spans="1:4">
      <c r="A743" s="161" t="s">
        <v>1452</v>
      </c>
      <c r="B743" s="160" t="s">
        <v>1280</v>
      </c>
      <c r="C743" s="934" t="s">
        <v>155</v>
      </c>
      <c r="D743" s="934" t="s">
        <v>117</v>
      </c>
    </row>
    <row r="744" spans="1:4">
      <c r="A744" s="160" t="s">
        <v>1218</v>
      </c>
      <c r="B744" s="160" t="s">
        <v>1217</v>
      </c>
      <c r="C744" s="934" t="s">
        <v>155</v>
      </c>
      <c r="D744" s="934" t="s">
        <v>118</v>
      </c>
    </row>
    <row r="745" spans="1:4">
      <c r="A745" s="160" t="s">
        <v>1398</v>
      </c>
      <c r="B745" s="160" t="s">
        <v>1302</v>
      </c>
      <c r="C745" s="934" t="s">
        <v>155</v>
      </c>
      <c r="D745" s="934" t="s">
        <v>118</v>
      </c>
    </row>
    <row r="746" spans="1:4">
      <c r="A746" s="161" t="s">
        <v>1297</v>
      </c>
      <c r="B746" s="160" t="s">
        <v>1175</v>
      </c>
      <c r="C746" s="934" t="s">
        <v>155</v>
      </c>
      <c r="D746" s="934" t="s">
        <v>122</v>
      </c>
    </row>
    <row r="747" spans="1:4">
      <c r="A747" s="161" t="s">
        <v>1301</v>
      </c>
      <c r="B747" s="160" t="s">
        <v>1154</v>
      </c>
      <c r="C747" s="934" t="s">
        <v>155</v>
      </c>
      <c r="D747" s="934" t="s">
        <v>127</v>
      </c>
    </row>
    <row r="748" spans="1:4">
      <c r="A748" s="161" t="s">
        <v>1174</v>
      </c>
      <c r="B748" s="160" t="s">
        <v>929</v>
      </c>
      <c r="C748" s="934" t="s">
        <v>155</v>
      </c>
      <c r="D748" s="934" t="s">
        <v>128</v>
      </c>
    </row>
    <row r="749" spans="1:4">
      <c r="A749" s="161" t="s">
        <v>941</v>
      </c>
      <c r="B749" s="160" t="s">
        <v>931</v>
      </c>
      <c r="C749" s="934" t="s">
        <v>155</v>
      </c>
      <c r="D749" s="934" t="s">
        <v>133</v>
      </c>
    </row>
    <row r="750" spans="1:4">
      <c r="A750" s="161" t="s">
        <v>1525</v>
      </c>
      <c r="B750" s="160" t="s">
        <v>1524</v>
      </c>
      <c r="C750" s="934" t="s">
        <v>155</v>
      </c>
      <c r="D750" s="934" t="s">
        <v>123</v>
      </c>
    </row>
    <row r="751" spans="1:4">
      <c r="A751" s="161" t="s">
        <v>1233</v>
      </c>
      <c r="B751" s="160" t="s">
        <v>1177</v>
      </c>
      <c r="C751" s="934" t="s">
        <v>155</v>
      </c>
      <c r="D751" s="934" t="s">
        <v>131</v>
      </c>
    </row>
    <row r="752" spans="1:4">
      <c r="A752" s="161" t="s">
        <v>1376</v>
      </c>
      <c r="B752" s="550" t="s">
        <v>1283</v>
      </c>
      <c r="C752" s="934" t="s">
        <v>155</v>
      </c>
      <c r="D752" s="934" t="s">
        <v>124</v>
      </c>
    </row>
    <row r="753" spans="1:4">
      <c r="A753" s="161" t="s">
        <v>1266</v>
      </c>
      <c r="B753" s="160" t="s">
        <v>1203</v>
      </c>
      <c r="C753" s="934" t="s">
        <v>155</v>
      </c>
      <c r="D753" s="934" t="s">
        <v>129</v>
      </c>
    </row>
    <row r="754" spans="1:4">
      <c r="A754" s="161" t="s">
        <v>1192</v>
      </c>
      <c r="B754" s="160" t="s">
        <v>1151</v>
      </c>
      <c r="C754" s="934" t="s">
        <v>155</v>
      </c>
      <c r="D754" s="934" t="s">
        <v>130</v>
      </c>
    </row>
    <row r="755" spans="1:4">
      <c r="A755" s="161" t="s">
        <v>1322</v>
      </c>
      <c r="B755" s="160" t="s">
        <v>1234</v>
      </c>
      <c r="C755" s="934" t="s">
        <v>155</v>
      </c>
      <c r="D755" s="934" t="s">
        <v>132</v>
      </c>
    </row>
    <row r="756" spans="1:4">
      <c r="A756" s="161" t="s">
        <v>1290</v>
      </c>
      <c r="B756" s="160" t="s">
        <v>1289</v>
      </c>
      <c r="C756" s="934" t="s">
        <v>155</v>
      </c>
      <c r="D756" s="934" t="s">
        <v>125</v>
      </c>
    </row>
    <row r="757" spans="1:4">
      <c r="A757" s="161" t="s">
        <v>1427</v>
      </c>
      <c r="B757" s="160" t="s">
        <v>1305</v>
      </c>
      <c r="C757" s="934" t="s">
        <v>155</v>
      </c>
      <c r="D757" s="934" t="s">
        <v>126</v>
      </c>
    </row>
    <row r="758" spans="1:4">
      <c r="A758" s="161" t="s">
        <v>1402</v>
      </c>
      <c r="B758" s="160" t="s">
        <v>1330</v>
      </c>
      <c r="C758" s="934" t="s">
        <v>1642</v>
      </c>
      <c r="D758" s="934" t="s">
        <v>260</v>
      </c>
    </row>
    <row r="759" spans="1:4">
      <c r="A759" s="161" t="s">
        <v>942</v>
      </c>
      <c r="B759" s="160" t="s">
        <v>933</v>
      </c>
      <c r="C759" s="934" t="s">
        <v>1642</v>
      </c>
      <c r="D759" s="934" t="s">
        <v>250</v>
      </c>
    </row>
    <row r="760" spans="1:4">
      <c r="A760" s="161" t="s">
        <v>1166</v>
      </c>
      <c r="B760" s="160" t="s">
        <v>1165</v>
      </c>
      <c r="C760" s="934" t="s">
        <v>1642</v>
      </c>
      <c r="D760" s="934" t="s">
        <v>248</v>
      </c>
    </row>
    <row r="761" spans="1:4">
      <c r="A761" s="161" t="s">
        <v>1309</v>
      </c>
      <c r="B761" s="160" t="s">
        <v>1308</v>
      </c>
      <c r="C761" s="934" t="s">
        <v>155</v>
      </c>
      <c r="D761" s="934" t="s">
        <v>244</v>
      </c>
    </row>
    <row r="762" spans="1:4">
      <c r="A762" s="161" t="s">
        <v>1450</v>
      </c>
      <c r="B762" s="160" t="s">
        <v>1449</v>
      </c>
      <c r="C762" s="934" t="s">
        <v>155</v>
      </c>
      <c r="D762" s="934" t="s">
        <v>235</v>
      </c>
    </row>
    <row r="763" spans="1:4">
      <c r="A763" s="161" t="s">
        <v>1345</v>
      </c>
      <c r="B763" s="160" t="s">
        <v>1344</v>
      </c>
      <c r="C763" s="934" t="s">
        <v>155</v>
      </c>
      <c r="D763" s="934" t="s">
        <v>242</v>
      </c>
    </row>
    <row r="764" spans="1:4">
      <c r="A764" s="161" t="s">
        <v>1338</v>
      </c>
      <c r="B764" s="160" t="s">
        <v>1337</v>
      </c>
      <c r="C764" s="934" t="s">
        <v>155</v>
      </c>
      <c r="D764" s="934" t="s">
        <v>237</v>
      </c>
    </row>
    <row r="765" spans="1:4">
      <c r="A765" s="161" t="s">
        <v>1887</v>
      </c>
      <c r="B765" s="160" t="s">
        <v>1888</v>
      </c>
      <c r="C765" s="934" t="s">
        <v>155</v>
      </c>
      <c r="D765" s="934" t="s">
        <v>241</v>
      </c>
    </row>
    <row r="766" spans="1:4">
      <c r="A766" s="161" t="s">
        <v>1272</v>
      </c>
      <c r="B766" s="160" t="s">
        <v>1271</v>
      </c>
      <c r="C766" s="934" t="s">
        <v>155</v>
      </c>
      <c r="D766" s="934" t="s">
        <v>239</v>
      </c>
    </row>
    <row r="767" spans="1:4">
      <c r="A767" s="161" t="s">
        <v>1365</v>
      </c>
      <c r="B767" s="160" t="s">
        <v>1364</v>
      </c>
      <c r="C767" s="934" t="s">
        <v>155</v>
      </c>
      <c r="D767" s="934" t="s">
        <v>246</v>
      </c>
    </row>
    <row r="768" spans="1:4">
      <c r="A768" s="161" t="s">
        <v>1897</v>
      </c>
      <c r="B768" s="160" t="s">
        <v>1898</v>
      </c>
      <c r="C768" s="934" t="s">
        <v>155</v>
      </c>
      <c r="D768" s="934" t="s">
        <v>1657</v>
      </c>
    </row>
    <row r="769" spans="1:4">
      <c r="A769" s="161" t="s">
        <v>943</v>
      </c>
      <c r="B769" s="160" t="s">
        <v>396</v>
      </c>
      <c r="C769" s="934" t="s">
        <v>171</v>
      </c>
      <c r="D769" s="934" t="s">
        <v>122</v>
      </c>
    </row>
    <row r="770" spans="1:4">
      <c r="A770" s="161" t="s">
        <v>1880</v>
      </c>
      <c r="B770" s="160" t="s">
        <v>1388</v>
      </c>
      <c r="C770" s="934" t="s">
        <v>171</v>
      </c>
      <c r="D770" s="934" t="s">
        <v>122</v>
      </c>
    </row>
    <row r="771" spans="1:4">
      <c r="A771" s="161" t="s">
        <v>1257</v>
      </c>
      <c r="B771" s="160" t="s">
        <v>1256</v>
      </c>
      <c r="C771" s="934" t="s">
        <v>171</v>
      </c>
      <c r="D771" s="934" t="s">
        <v>213</v>
      </c>
    </row>
    <row r="772" spans="1:4">
      <c r="A772" s="161" t="s">
        <v>1199</v>
      </c>
      <c r="B772" s="160" t="s">
        <v>1180</v>
      </c>
      <c r="C772" s="934" t="s">
        <v>171</v>
      </c>
      <c r="D772" s="934" t="s">
        <v>112</v>
      </c>
    </row>
    <row r="773" spans="1:4">
      <c r="A773" s="161" t="s">
        <v>1264</v>
      </c>
      <c r="B773" s="160" t="s">
        <v>1263</v>
      </c>
      <c r="C773" s="934" t="s">
        <v>171</v>
      </c>
      <c r="D773" s="934" t="s">
        <v>113</v>
      </c>
    </row>
    <row r="774" spans="1:4">
      <c r="A774" s="170" t="s">
        <v>1247</v>
      </c>
      <c r="B774" s="940" t="s">
        <v>1246</v>
      </c>
      <c r="C774" s="934" t="s">
        <v>171</v>
      </c>
      <c r="D774" s="934" t="s">
        <v>114</v>
      </c>
    </row>
    <row r="775" spans="1:4">
      <c r="A775" s="161" t="s">
        <v>1328</v>
      </c>
      <c r="B775" s="160" t="s">
        <v>1327</v>
      </c>
      <c r="C775" s="934" t="s">
        <v>171</v>
      </c>
      <c r="D775" s="934" t="s">
        <v>115</v>
      </c>
    </row>
    <row r="776" spans="1:4">
      <c r="A776" s="161" t="s">
        <v>1209</v>
      </c>
      <c r="B776" s="160" t="s">
        <v>1208</v>
      </c>
      <c r="C776" s="934" t="s">
        <v>171</v>
      </c>
      <c r="D776" s="934" t="s">
        <v>116</v>
      </c>
    </row>
    <row r="777" spans="1:4">
      <c r="A777" s="161" t="s">
        <v>1250</v>
      </c>
      <c r="B777" s="160" t="s">
        <v>1249</v>
      </c>
      <c r="C777" s="934" t="s">
        <v>171</v>
      </c>
      <c r="D777" s="934" t="s">
        <v>119</v>
      </c>
    </row>
    <row r="778" spans="1:4">
      <c r="A778" s="161" t="s">
        <v>1281</v>
      </c>
      <c r="B778" s="160" t="s">
        <v>1280</v>
      </c>
      <c r="C778" s="934" t="s">
        <v>171</v>
      </c>
      <c r="D778" s="934" t="s">
        <v>117</v>
      </c>
    </row>
    <row r="779" spans="1:4">
      <c r="A779" s="160" t="s">
        <v>1303</v>
      </c>
      <c r="B779" s="160" t="s">
        <v>1302</v>
      </c>
      <c r="C779" s="934" t="s">
        <v>171</v>
      </c>
      <c r="D779" s="934" t="s">
        <v>118</v>
      </c>
    </row>
    <row r="780" spans="1:4">
      <c r="A780" s="161" t="s">
        <v>1176</v>
      </c>
      <c r="B780" s="160" t="s">
        <v>1175</v>
      </c>
      <c r="C780" s="934" t="s">
        <v>171</v>
      </c>
      <c r="D780" s="934" t="s">
        <v>122</v>
      </c>
    </row>
    <row r="781" spans="1:4">
      <c r="A781" s="161" t="s">
        <v>1155</v>
      </c>
      <c r="B781" s="160" t="s">
        <v>1154</v>
      </c>
      <c r="C781" s="934" t="s">
        <v>171</v>
      </c>
      <c r="D781" s="934" t="s">
        <v>127</v>
      </c>
    </row>
    <row r="782" spans="1:4">
      <c r="A782" s="161" t="s">
        <v>1194</v>
      </c>
      <c r="B782" s="160" t="s">
        <v>1193</v>
      </c>
      <c r="C782" s="934" t="s">
        <v>171</v>
      </c>
      <c r="D782" s="934" t="s">
        <v>128</v>
      </c>
    </row>
    <row r="783" spans="1:4">
      <c r="A783" s="161" t="s">
        <v>944</v>
      </c>
      <c r="B783" s="160" t="s">
        <v>931</v>
      </c>
      <c r="C783" s="934" t="s">
        <v>171</v>
      </c>
      <c r="D783" s="934" t="s">
        <v>133</v>
      </c>
    </row>
    <row r="784" spans="1:4">
      <c r="A784" s="161" t="s">
        <v>1184</v>
      </c>
      <c r="B784" s="160" t="s">
        <v>1183</v>
      </c>
      <c r="C784" s="934" t="s">
        <v>171</v>
      </c>
      <c r="D784" s="934" t="s">
        <v>123</v>
      </c>
    </row>
    <row r="785" spans="1:4">
      <c r="A785" s="161" t="s">
        <v>1178</v>
      </c>
      <c r="B785" s="160" t="s">
        <v>1177</v>
      </c>
      <c r="C785" s="934" t="s">
        <v>171</v>
      </c>
      <c r="D785" s="934" t="s">
        <v>131</v>
      </c>
    </row>
    <row r="786" spans="1:4">
      <c r="A786" s="161" t="s">
        <v>1284</v>
      </c>
      <c r="B786" s="160" t="s">
        <v>1283</v>
      </c>
      <c r="C786" s="934" t="s">
        <v>171</v>
      </c>
      <c r="D786" s="934" t="s">
        <v>124</v>
      </c>
    </row>
    <row r="787" spans="1:4">
      <c r="A787" s="161" t="s">
        <v>1204</v>
      </c>
      <c r="B787" s="160" t="s">
        <v>1203</v>
      </c>
      <c r="C787" s="934" t="s">
        <v>171</v>
      </c>
      <c r="D787" s="934" t="s">
        <v>129</v>
      </c>
    </row>
    <row r="788" spans="1:4">
      <c r="A788" s="161" t="s">
        <v>1152</v>
      </c>
      <c r="B788" s="160" t="s">
        <v>1151</v>
      </c>
      <c r="C788" s="934" t="s">
        <v>171</v>
      </c>
      <c r="D788" s="934" t="s">
        <v>130</v>
      </c>
    </row>
    <row r="789" spans="1:4">
      <c r="A789" s="161" t="s">
        <v>1235</v>
      </c>
      <c r="B789" s="160" t="s">
        <v>1234</v>
      </c>
      <c r="C789" s="934" t="s">
        <v>171</v>
      </c>
      <c r="D789" s="934" t="s">
        <v>132</v>
      </c>
    </row>
    <row r="790" spans="1:4">
      <c r="A790" s="161" t="s">
        <v>1215</v>
      </c>
      <c r="B790" s="160" t="s">
        <v>1214</v>
      </c>
      <c r="C790" s="934" t="s">
        <v>171</v>
      </c>
      <c r="D790" s="934" t="s">
        <v>125</v>
      </c>
    </row>
    <row r="791" spans="1:4">
      <c r="A791" s="161" t="s">
        <v>1306</v>
      </c>
      <c r="B791" s="160" t="s">
        <v>1305</v>
      </c>
      <c r="C791" s="934" t="s">
        <v>171</v>
      </c>
      <c r="D791" s="934" t="s">
        <v>126</v>
      </c>
    </row>
    <row r="792" spans="1:4">
      <c r="A792" s="161" t="s">
        <v>1331</v>
      </c>
      <c r="B792" s="160" t="s">
        <v>1330</v>
      </c>
      <c r="C792" s="934" t="s">
        <v>1642</v>
      </c>
      <c r="D792" s="934" t="s">
        <v>260</v>
      </c>
    </row>
    <row r="793" spans="1:4">
      <c r="A793" s="161" t="s">
        <v>945</v>
      </c>
      <c r="B793" s="160" t="s">
        <v>933</v>
      </c>
      <c r="C793" s="934" t="s">
        <v>1642</v>
      </c>
      <c r="D793" s="934" t="s">
        <v>250</v>
      </c>
    </row>
    <row r="794" spans="1:4">
      <c r="A794" s="161" t="s">
        <v>1242</v>
      </c>
      <c r="B794" s="160" t="s">
        <v>1241</v>
      </c>
      <c r="C794" s="934" t="s">
        <v>171</v>
      </c>
      <c r="D794" s="934" t="s">
        <v>244</v>
      </c>
    </row>
    <row r="795" spans="1:4">
      <c r="A795" s="161" t="s">
        <v>1396</v>
      </c>
      <c r="B795" s="160" t="s">
        <v>1395</v>
      </c>
      <c r="C795" s="934" t="s">
        <v>171</v>
      </c>
      <c r="D795" s="934" t="s">
        <v>235</v>
      </c>
    </row>
    <row r="796" spans="1:4">
      <c r="A796" s="161" t="s">
        <v>1253</v>
      </c>
      <c r="B796" s="160" t="s">
        <v>1252</v>
      </c>
      <c r="C796" s="934" t="s">
        <v>1642</v>
      </c>
      <c r="D796" s="934" t="s">
        <v>242</v>
      </c>
    </row>
    <row r="797" spans="1:4">
      <c r="A797" s="161" t="s">
        <v>1262</v>
      </c>
      <c r="B797" s="160" t="s">
        <v>1261</v>
      </c>
      <c r="C797" s="934" t="s">
        <v>171</v>
      </c>
      <c r="D797" s="934" t="s">
        <v>237</v>
      </c>
    </row>
    <row r="798" spans="1:4">
      <c r="A798" s="161" t="s">
        <v>1889</v>
      </c>
      <c r="B798" s="160" t="s">
        <v>1890</v>
      </c>
      <c r="C798" s="934" t="s">
        <v>171</v>
      </c>
      <c r="D798" s="934" t="s">
        <v>241</v>
      </c>
    </row>
    <row r="799" spans="1:4">
      <c r="A799" s="161" t="s">
        <v>1223</v>
      </c>
      <c r="B799" s="160" t="s">
        <v>1222</v>
      </c>
      <c r="C799" s="934" t="s">
        <v>171</v>
      </c>
      <c r="D799" s="934" t="s">
        <v>239</v>
      </c>
    </row>
    <row r="800" spans="1:4">
      <c r="A800" s="160" t="s">
        <v>1269</v>
      </c>
      <c r="B800" s="160" t="s">
        <v>1268</v>
      </c>
      <c r="C800" s="934" t="s">
        <v>171</v>
      </c>
      <c r="D800" s="934" t="s">
        <v>246</v>
      </c>
    </row>
    <row r="801" spans="1:4">
      <c r="A801" s="161" t="s">
        <v>1899</v>
      </c>
      <c r="B801" s="160" t="s">
        <v>1900</v>
      </c>
      <c r="C801" s="934" t="s">
        <v>171</v>
      </c>
      <c r="D801" s="934" t="s">
        <v>1657</v>
      </c>
    </row>
    <row r="802" spans="1:4">
      <c r="A802" s="161" t="s">
        <v>1213</v>
      </c>
      <c r="B802" s="160" t="s">
        <v>396</v>
      </c>
      <c r="C802" s="934" t="s">
        <v>175</v>
      </c>
      <c r="D802" s="934" t="s">
        <v>122</v>
      </c>
    </row>
    <row r="803" spans="1:4">
      <c r="A803" s="161" t="s">
        <v>1389</v>
      </c>
      <c r="B803" s="160" t="s">
        <v>1388</v>
      </c>
      <c r="C803" s="934" t="s">
        <v>175</v>
      </c>
      <c r="D803" s="934" t="s">
        <v>122</v>
      </c>
    </row>
    <row r="804" spans="1:4">
      <c r="A804" s="161" t="s">
        <v>1372</v>
      </c>
      <c r="B804" s="160" t="s">
        <v>1371</v>
      </c>
      <c r="C804" s="934" t="s">
        <v>175</v>
      </c>
      <c r="D804" s="934" t="s">
        <v>121</v>
      </c>
    </row>
    <row r="805" spans="1:4">
      <c r="A805" s="161" t="s">
        <v>1355</v>
      </c>
      <c r="B805" s="160" t="s">
        <v>1354</v>
      </c>
      <c r="C805" s="934" t="s">
        <v>175</v>
      </c>
      <c r="D805" s="934" t="s">
        <v>213</v>
      </c>
    </row>
    <row r="806" spans="1:4">
      <c r="A806" s="161" t="s">
        <v>1255</v>
      </c>
      <c r="B806" s="160" t="s">
        <v>1180</v>
      </c>
      <c r="C806" s="934" t="s">
        <v>175</v>
      </c>
      <c r="D806" s="934" t="s">
        <v>112</v>
      </c>
    </row>
    <row r="807" spans="1:4">
      <c r="A807" s="161" t="s">
        <v>1340</v>
      </c>
      <c r="B807" s="160" t="s">
        <v>1339</v>
      </c>
      <c r="C807" s="934" t="s">
        <v>175</v>
      </c>
      <c r="D807" s="934" t="s">
        <v>113</v>
      </c>
    </row>
    <row r="808" spans="1:4">
      <c r="A808" s="161" t="s">
        <v>1463</v>
      </c>
      <c r="B808" s="160" t="s">
        <v>1246</v>
      </c>
      <c r="C808" s="934" t="s">
        <v>175</v>
      </c>
      <c r="D808" s="934" t="s">
        <v>114</v>
      </c>
    </row>
    <row r="809" spans="1:4">
      <c r="A809" s="161" t="s">
        <v>1326</v>
      </c>
      <c r="B809" s="160" t="s">
        <v>1325</v>
      </c>
      <c r="C809" s="934" t="s">
        <v>175</v>
      </c>
      <c r="D809" s="934" t="s">
        <v>116</v>
      </c>
    </row>
    <row r="810" spans="1:4">
      <c r="A810" s="161" t="s">
        <v>1348</v>
      </c>
      <c r="B810" s="160" t="s">
        <v>1249</v>
      </c>
      <c r="C810" s="934" t="s">
        <v>175</v>
      </c>
      <c r="D810" s="934" t="s">
        <v>119</v>
      </c>
    </row>
    <row r="811" spans="1:4">
      <c r="A811" s="160" t="s">
        <v>1385</v>
      </c>
      <c r="B811" s="160" t="s">
        <v>1280</v>
      </c>
      <c r="C811" s="934" t="s">
        <v>175</v>
      </c>
      <c r="D811" s="934" t="s">
        <v>117</v>
      </c>
    </row>
    <row r="812" spans="1:4">
      <c r="A812" s="160" t="s">
        <v>1162</v>
      </c>
      <c r="B812" s="160" t="s">
        <v>1161</v>
      </c>
      <c r="C812" s="934" t="s">
        <v>175</v>
      </c>
      <c r="D812" s="934" t="s">
        <v>118</v>
      </c>
    </row>
    <row r="813" spans="1:4">
      <c r="A813" s="161" t="s">
        <v>1399</v>
      </c>
      <c r="B813" s="160" t="s">
        <v>1302</v>
      </c>
      <c r="C813" s="934" t="s">
        <v>175</v>
      </c>
      <c r="D813" s="934" t="s">
        <v>118</v>
      </c>
    </row>
    <row r="814" spans="1:4">
      <c r="A814" s="161" t="s">
        <v>1188</v>
      </c>
      <c r="B814" s="160" t="s">
        <v>1154</v>
      </c>
      <c r="C814" s="934" t="s">
        <v>175</v>
      </c>
      <c r="D814" s="934" t="s">
        <v>127</v>
      </c>
    </row>
    <row r="815" spans="1:4">
      <c r="A815" s="161" t="s">
        <v>946</v>
      </c>
      <c r="B815" s="160" t="s">
        <v>929</v>
      </c>
      <c r="C815" s="934" t="s">
        <v>155</v>
      </c>
      <c r="D815" s="934" t="s">
        <v>128</v>
      </c>
    </row>
    <row r="816" spans="1:4">
      <c r="A816" s="161" t="s">
        <v>947</v>
      </c>
      <c r="B816" s="160" t="s">
        <v>931</v>
      </c>
      <c r="C816" s="934" t="s">
        <v>175</v>
      </c>
      <c r="D816" s="934" t="s">
        <v>133</v>
      </c>
    </row>
    <row r="817" spans="1:4">
      <c r="A817" s="161" t="s">
        <v>1226</v>
      </c>
      <c r="B817" s="160" t="s">
        <v>1183</v>
      </c>
      <c r="C817" s="934" t="s">
        <v>175</v>
      </c>
      <c r="D817" s="934" t="s">
        <v>123</v>
      </c>
    </row>
    <row r="818" spans="1:4">
      <c r="A818" s="161" t="s">
        <v>1237</v>
      </c>
      <c r="B818" s="160" t="s">
        <v>1177</v>
      </c>
      <c r="C818" s="934" t="s">
        <v>175</v>
      </c>
      <c r="D818" s="934" t="s">
        <v>131</v>
      </c>
    </row>
    <row r="819" spans="1:4">
      <c r="A819" s="161" t="s">
        <v>1362</v>
      </c>
      <c r="B819" s="160" t="s">
        <v>1283</v>
      </c>
      <c r="C819" s="934" t="s">
        <v>175</v>
      </c>
      <c r="D819" s="934" t="s">
        <v>124</v>
      </c>
    </row>
    <row r="820" spans="1:4">
      <c r="A820" s="161" t="s">
        <v>1277</v>
      </c>
      <c r="B820" s="160" t="s">
        <v>1203</v>
      </c>
      <c r="C820" s="934" t="s">
        <v>175</v>
      </c>
      <c r="D820" s="934" t="s">
        <v>129</v>
      </c>
    </row>
    <row r="821" spans="1:4">
      <c r="A821" s="161" t="s">
        <v>1189</v>
      </c>
      <c r="B821" s="160" t="s">
        <v>1151</v>
      </c>
      <c r="C821" s="934" t="s">
        <v>175</v>
      </c>
      <c r="D821" s="934" t="s">
        <v>130</v>
      </c>
    </row>
    <row r="822" spans="1:4">
      <c r="A822" s="161" t="s">
        <v>1324</v>
      </c>
      <c r="B822" s="160" t="s">
        <v>1234</v>
      </c>
      <c r="C822" s="934" t="s">
        <v>175</v>
      </c>
      <c r="D822" s="934" t="s">
        <v>132</v>
      </c>
    </row>
    <row r="823" spans="1:4">
      <c r="A823" s="161" t="s">
        <v>1292</v>
      </c>
      <c r="B823" s="160" t="s">
        <v>1291</v>
      </c>
      <c r="C823" s="934" t="s">
        <v>175</v>
      </c>
      <c r="D823" s="934" t="s">
        <v>125</v>
      </c>
    </row>
    <row r="824" spans="1:4">
      <c r="A824" s="161" t="s">
        <v>1434</v>
      </c>
      <c r="B824" s="160" t="s">
        <v>1305</v>
      </c>
      <c r="C824" s="934" t="s">
        <v>175</v>
      </c>
      <c r="D824" s="934" t="s">
        <v>126</v>
      </c>
    </row>
    <row r="825" spans="1:4">
      <c r="A825" s="161" t="s">
        <v>1403</v>
      </c>
      <c r="B825" s="160" t="s">
        <v>1330</v>
      </c>
      <c r="C825" s="934" t="s">
        <v>1642</v>
      </c>
      <c r="D825" s="934" t="s">
        <v>260</v>
      </c>
    </row>
    <row r="826" spans="1:4">
      <c r="A826" s="161" t="s">
        <v>948</v>
      </c>
      <c r="B826" s="160" t="s">
        <v>933</v>
      </c>
      <c r="C826" s="934" t="s">
        <v>1642</v>
      </c>
      <c r="D826" s="934" t="s">
        <v>250</v>
      </c>
    </row>
    <row r="827" spans="1:4">
      <c r="A827" s="161" t="s">
        <v>1314</v>
      </c>
      <c r="B827" s="160" t="s">
        <v>1313</v>
      </c>
      <c r="C827" s="934" t="s">
        <v>175</v>
      </c>
      <c r="D827" s="934" t="s">
        <v>244</v>
      </c>
    </row>
    <row r="828" spans="1:4">
      <c r="A828" s="161" t="s">
        <v>1455</v>
      </c>
      <c r="B828" s="160" t="s">
        <v>1454</v>
      </c>
      <c r="C828" s="934" t="s">
        <v>175</v>
      </c>
      <c r="D828" s="934" t="s">
        <v>235</v>
      </c>
    </row>
    <row r="829" spans="1:4">
      <c r="A829" s="161" t="s">
        <v>1350</v>
      </c>
      <c r="B829" s="160" t="s">
        <v>1349</v>
      </c>
      <c r="C829" s="934" t="s">
        <v>175</v>
      </c>
      <c r="D829" s="934" t="s">
        <v>242</v>
      </c>
    </row>
    <row r="830" spans="1:4">
      <c r="A830" s="161" t="s">
        <v>1342</v>
      </c>
      <c r="B830" s="160" t="s">
        <v>1341</v>
      </c>
      <c r="C830" s="934" t="s">
        <v>175</v>
      </c>
      <c r="D830" s="934" t="s">
        <v>237</v>
      </c>
    </row>
    <row r="831" spans="1:4">
      <c r="A831" s="161" t="s">
        <v>1891</v>
      </c>
      <c r="B831" s="160" t="s">
        <v>1892</v>
      </c>
      <c r="C831" s="934" t="s">
        <v>175</v>
      </c>
      <c r="D831" s="934" t="s">
        <v>241</v>
      </c>
    </row>
    <row r="832" spans="1:4">
      <c r="A832" s="161" t="s">
        <v>1276</v>
      </c>
      <c r="B832" s="160" t="s">
        <v>1275</v>
      </c>
      <c r="C832" s="934" t="s">
        <v>175</v>
      </c>
      <c r="D832" s="934" t="s">
        <v>239</v>
      </c>
    </row>
    <row r="833" spans="1:4">
      <c r="A833" s="161" t="s">
        <v>1369</v>
      </c>
      <c r="B833" s="160" t="s">
        <v>1368</v>
      </c>
      <c r="C833" s="934" t="s">
        <v>175</v>
      </c>
      <c r="D833" s="934" t="s">
        <v>246</v>
      </c>
    </row>
    <row r="834" spans="1:4">
      <c r="A834" s="161" t="s">
        <v>1901</v>
      </c>
      <c r="B834" s="160" t="s">
        <v>1902</v>
      </c>
      <c r="C834" s="934" t="s">
        <v>175</v>
      </c>
      <c r="D834" s="934" t="s">
        <v>1657</v>
      </c>
    </row>
    <row r="835" spans="1:4">
      <c r="A835" s="162" t="s">
        <v>302</v>
      </c>
      <c r="B835" s="163" t="s">
        <v>949</v>
      </c>
      <c r="C835" s="934" t="s">
        <v>1642</v>
      </c>
      <c r="D835" s="934"/>
    </row>
    <row r="836" spans="1:4">
      <c r="A836" s="160" t="s">
        <v>1907</v>
      </c>
      <c r="B836" s="160" t="s">
        <v>1908</v>
      </c>
      <c r="C836" s="934" t="s">
        <v>175</v>
      </c>
      <c r="D836" s="934" t="s">
        <v>183</v>
      </c>
    </row>
    <row r="837" spans="1:4">
      <c r="A837" s="160" t="s">
        <v>1909</v>
      </c>
      <c r="B837" s="160" t="s">
        <v>1910</v>
      </c>
      <c r="C837" s="934" t="s">
        <v>1642</v>
      </c>
      <c r="D837" s="934" t="s">
        <v>1942</v>
      </c>
    </row>
    <row r="838" spans="1:4">
      <c r="A838" s="161" t="s">
        <v>322</v>
      </c>
      <c r="B838" s="160" t="s">
        <v>321</v>
      </c>
      <c r="C838" s="934" t="s">
        <v>75</v>
      </c>
      <c r="D838" s="934" t="s">
        <v>137</v>
      </c>
    </row>
    <row r="839" spans="1:4">
      <c r="A839" s="161" t="s">
        <v>300</v>
      </c>
      <c r="B839" s="160" t="s">
        <v>299</v>
      </c>
      <c r="C839" s="934" t="s">
        <v>75</v>
      </c>
      <c r="D839" s="934" t="s">
        <v>140</v>
      </c>
    </row>
    <row r="840" spans="1:4">
      <c r="A840" s="161" t="s">
        <v>1903</v>
      </c>
      <c r="B840" s="160" t="s">
        <v>1904</v>
      </c>
      <c r="C840" s="934" t="s">
        <v>1642</v>
      </c>
      <c r="D840" s="934"/>
    </row>
    <row r="841" spans="1:4">
      <c r="A841" s="161" t="s">
        <v>504</v>
      </c>
      <c r="B841" s="160" t="s">
        <v>503</v>
      </c>
      <c r="C841" s="934" t="s">
        <v>75</v>
      </c>
      <c r="D841" s="934" t="s">
        <v>97</v>
      </c>
    </row>
    <row r="842" spans="1:4">
      <c r="A842" s="161" t="s">
        <v>357</v>
      </c>
      <c r="B842" s="160" t="s">
        <v>507</v>
      </c>
      <c r="C842" s="934" t="s">
        <v>75</v>
      </c>
      <c r="D842" s="934" t="s">
        <v>97</v>
      </c>
    </row>
    <row r="843" spans="1:4">
      <c r="A843" s="162" t="s">
        <v>1123</v>
      </c>
      <c r="B843" s="163" t="s">
        <v>1122</v>
      </c>
      <c r="C843" s="934" t="s">
        <v>1642</v>
      </c>
      <c r="D843" s="934" t="s">
        <v>89</v>
      </c>
    </row>
    <row r="844" spans="1:4">
      <c r="A844" s="161" t="s">
        <v>418</v>
      </c>
      <c r="B844" s="160" t="s">
        <v>458</v>
      </c>
      <c r="C844" s="934" t="s">
        <v>144</v>
      </c>
      <c r="D844" s="934" t="s">
        <v>97</v>
      </c>
    </row>
    <row r="845" spans="1:4">
      <c r="A845" s="162" t="s">
        <v>1125</v>
      </c>
      <c r="B845" s="163" t="s">
        <v>1124</v>
      </c>
      <c r="C845" s="934" t="s">
        <v>144</v>
      </c>
      <c r="D845" s="934" t="s">
        <v>97</v>
      </c>
    </row>
    <row r="846" spans="1:4">
      <c r="A846" s="161" t="s">
        <v>1905</v>
      </c>
      <c r="B846" s="160" t="s">
        <v>1906</v>
      </c>
      <c r="C846" s="934" t="s">
        <v>144</v>
      </c>
      <c r="D846" s="934"/>
    </row>
    <row r="847" spans="1:4">
      <c r="A847" s="161" t="s">
        <v>512</v>
      </c>
      <c r="B847" s="160" t="s">
        <v>511</v>
      </c>
      <c r="C847" s="934" t="s">
        <v>75</v>
      </c>
      <c r="D847" s="934" t="s">
        <v>97</v>
      </c>
    </row>
    <row r="848" spans="1:4">
      <c r="A848" s="162" t="s">
        <v>1127</v>
      </c>
      <c r="B848" s="163" t="s">
        <v>1126</v>
      </c>
      <c r="C848" s="934" t="s">
        <v>75</v>
      </c>
      <c r="D848" s="934">
        <v>0</v>
      </c>
    </row>
    <row r="849" spans="1:4">
      <c r="A849" s="160" t="s">
        <v>951</v>
      </c>
      <c r="B849" s="160" t="s">
        <v>950</v>
      </c>
      <c r="C849" s="934" t="s">
        <v>144</v>
      </c>
      <c r="D849" s="934"/>
    </row>
    <row r="850" spans="1:4">
      <c r="A850" s="162" t="s">
        <v>1129</v>
      </c>
      <c r="B850" s="163" t="s">
        <v>1128</v>
      </c>
      <c r="C850" s="934" t="s">
        <v>144</v>
      </c>
      <c r="D850" s="934" t="s">
        <v>146</v>
      </c>
    </row>
    <row r="851" spans="1:4">
      <c r="A851" s="161" t="s">
        <v>433</v>
      </c>
      <c r="B851" s="160" t="s">
        <v>432</v>
      </c>
      <c r="C851" s="934" t="s">
        <v>75</v>
      </c>
      <c r="D851" s="934" t="s">
        <v>98</v>
      </c>
    </row>
    <row r="852" spans="1:4">
      <c r="A852" s="162" t="s">
        <v>1131</v>
      </c>
      <c r="B852" s="163" t="s">
        <v>1130</v>
      </c>
      <c r="C852" s="934" t="s">
        <v>75</v>
      </c>
      <c r="D852" s="934">
        <v>0</v>
      </c>
    </row>
    <row r="853" spans="1:4">
      <c r="A853" s="161" t="s">
        <v>356</v>
      </c>
      <c r="B853" s="160" t="s">
        <v>355</v>
      </c>
      <c r="C853" s="934" t="s">
        <v>75</v>
      </c>
      <c r="D853" s="934" t="s">
        <v>98</v>
      </c>
    </row>
    <row r="854" spans="1:4">
      <c r="A854" s="162" t="s">
        <v>1133</v>
      </c>
      <c r="B854" s="163" t="s">
        <v>1132</v>
      </c>
      <c r="C854" s="934" t="s">
        <v>75</v>
      </c>
      <c r="D854" s="934">
        <v>0</v>
      </c>
    </row>
    <row r="855" spans="1:4">
      <c r="A855" s="161" t="s">
        <v>417</v>
      </c>
      <c r="B855" s="160" t="s">
        <v>416</v>
      </c>
      <c r="C855" s="934" t="s">
        <v>144</v>
      </c>
      <c r="D855" s="934" t="s">
        <v>98</v>
      </c>
    </row>
    <row r="856" spans="1:4">
      <c r="A856" s="162" t="s">
        <v>1135</v>
      </c>
      <c r="B856" s="163" t="s">
        <v>1134</v>
      </c>
      <c r="C856" s="934" t="s">
        <v>144</v>
      </c>
      <c r="D856" s="934" t="s">
        <v>98</v>
      </c>
    </row>
    <row r="857" spans="1:4">
      <c r="A857" s="161" t="s">
        <v>429</v>
      </c>
      <c r="B857" s="160" t="s">
        <v>428</v>
      </c>
      <c r="C857" s="934" t="s">
        <v>144</v>
      </c>
      <c r="D857" s="934" t="s">
        <v>98</v>
      </c>
    </row>
    <row r="858" spans="1:4">
      <c r="A858" s="162" t="s">
        <v>1137</v>
      </c>
      <c r="B858" s="163" t="s">
        <v>1136</v>
      </c>
      <c r="C858" s="934" t="s">
        <v>144</v>
      </c>
      <c r="D858" s="934" t="s">
        <v>98</v>
      </c>
    </row>
    <row r="859" spans="1:4">
      <c r="A859" s="160" t="s">
        <v>378</v>
      </c>
      <c r="B859" s="160" t="s">
        <v>377</v>
      </c>
      <c r="C859" s="934" t="s">
        <v>1642</v>
      </c>
      <c r="D859" s="934" t="s">
        <v>141</v>
      </c>
    </row>
    <row r="860" spans="1:4">
      <c r="A860" s="160" t="s">
        <v>379</v>
      </c>
      <c r="B860" s="160" t="s">
        <v>525</v>
      </c>
      <c r="C860" s="934" t="s">
        <v>1642</v>
      </c>
      <c r="D860" s="934" t="s">
        <v>1942</v>
      </c>
    </row>
    <row r="861" spans="1:4">
      <c r="A861" s="160" t="s">
        <v>1384</v>
      </c>
      <c r="B861" s="160" t="s">
        <v>1428</v>
      </c>
      <c r="C861" s="934" t="s">
        <v>1642</v>
      </c>
      <c r="D861" s="934" t="s">
        <v>262</v>
      </c>
    </row>
    <row r="862" spans="1:4">
      <c r="A862" s="160" t="s">
        <v>1231</v>
      </c>
      <c r="B862" s="160" t="s">
        <v>1230</v>
      </c>
      <c r="C862" s="934" t="s">
        <v>1642</v>
      </c>
      <c r="D862" s="934" t="s">
        <v>261</v>
      </c>
    </row>
    <row r="863" spans="1:4">
      <c r="A863" s="160" t="s">
        <v>1387</v>
      </c>
      <c r="B863" s="160" t="s">
        <v>1386</v>
      </c>
      <c r="C863" s="934" t="s">
        <v>1642</v>
      </c>
      <c r="D863" s="934" t="s">
        <v>262</v>
      </c>
    </row>
    <row r="864" spans="1:4">
      <c r="A864" s="160" t="s">
        <v>1383</v>
      </c>
      <c r="B864" s="160" t="s">
        <v>1382</v>
      </c>
      <c r="C864" s="934" t="s">
        <v>1642</v>
      </c>
      <c r="D864" s="934" t="s">
        <v>134</v>
      </c>
    </row>
    <row r="865" spans="1:4">
      <c r="A865" s="161"/>
      <c r="B865" s="165"/>
      <c r="C865" s="934"/>
      <c r="D865" s="934"/>
    </row>
    <row r="866" spans="1:4">
      <c r="A866" s="161"/>
      <c r="B866" s="165"/>
      <c r="C866" s="934"/>
      <c r="D866" s="934"/>
    </row>
    <row r="867" spans="1:4">
      <c r="A867" s="161"/>
      <c r="B867" s="165"/>
      <c r="C867" s="934"/>
      <c r="D867" s="934"/>
    </row>
    <row r="868" spans="1:4">
      <c r="A868" s="161"/>
      <c r="B868" s="165"/>
      <c r="C868" s="934"/>
      <c r="D868" s="934"/>
    </row>
    <row r="869" spans="1:4">
      <c r="A869" s="161"/>
      <c r="B869" s="165"/>
      <c r="C869" s="934"/>
      <c r="D869" s="934"/>
    </row>
    <row r="870" spans="1:4">
      <c r="A870" s="161"/>
      <c r="B870" s="165"/>
      <c r="C870" s="934"/>
      <c r="D870" s="934"/>
    </row>
    <row r="871" spans="1:4">
      <c r="A871" s="161"/>
      <c r="B871" s="165"/>
      <c r="C871" s="934"/>
      <c r="D871" s="934"/>
    </row>
    <row r="872" spans="1:4">
      <c r="A872" s="941"/>
      <c r="B872" s="936"/>
      <c r="C872" s="934"/>
      <c r="D872" s="934"/>
    </row>
    <row r="873" spans="1:4">
      <c r="A873" s="161"/>
      <c r="B873" s="165"/>
      <c r="C873" s="934"/>
      <c r="D873" s="934"/>
    </row>
    <row r="874" spans="1:4">
      <c r="A874" s="161"/>
      <c r="B874" s="165"/>
      <c r="C874" s="934"/>
      <c r="D874" s="934"/>
    </row>
    <row r="875" spans="1:4">
      <c r="A875" s="161"/>
      <c r="B875" s="165"/>
      <c r="C875" s="934"/>
      <c r="D875" s="934"/>
    </row>
    <row r="876" spans="1:4">
      <c r="A876" s="161"/>
      <c r="B876" s="165"/>
      <c r="C876" s="934"/>
      <c r="D876" s="934"/>
    </row>
    <row r="877" spans="1:4">
      <c r="A877" s="161"/>
      <c r="B877" s="165"/>
      <c r="C877" s="934"/>
      <c r="D877" s="934"/>
    </row>
    <row r="878" spans="1:4">
      <c r="A878" s="161"/>
      <c r="B878" s="165"/>
      <c r="C878" s="934"/>
      <c r="D878" s="934"/>
    </row>
    <row r="879" spans="1:4">
      <c r="A879" s="161"/>
      <c r="B879" s="165"/>
      <c r="C879" s="934"/>
      <c r="D879" s="934"/>
    </row>
    <row r="880" spans="1:4">
      <c r="A880" s="161"/>
      <c r="B880" s="165"/>
      <c r="C880" s="934"/>
      <c r="D880" s="934"/>
    </row>
    <row r="881" spans="1:4">
      <c r="A881" s="161"/>
      <c r="B881" s="165"/>
      <c r="C881" s="934"/>
      <c r="D881" s="934"/>
    </row>
    <row r="882" spans="1:4">
      <c r="A882" s="161"/>
      <c r="B882" s="165"/>
      <c r="C882" s="934"/>
      <c r="D882" s="934"/>
    </row>
    <row r="883" spans="1:4">
      <c r="A883" s="161"/>
      <c r="B883" s="165"/>
      <c r="C883" s="934"/>
      <c r="D883" s="934"/>
    </row>
    <row r="884" spans="1:4">
      <c r="A884" s="942"/>
      <c r="B884" s="165"/>
      <c r="C884" s="934"/>
      <c r="D884" s="934"/>
    </row>
    <row r="885" spans="1:4">
      <c r="A885" s="942"/>
      <c r="B885" s="165"/>
      <c r="C885" s="934"/>
      <c r="D885" s="934"/>
    </row>
    <row r="886" spans="1:4">
      <c r="A886" s="161"/>
      <c r="B886" s="165"/>
      <c r="C886" s="934"/>
      <c r="D886" s="934"/>
    </row>
    <row r="887" spans="1:4">
      <c r="A887" s="161"/>
      <c r="B887" s="165"/>
      <c r="C887" s="934"/>
      <c r="D887" s="934"/>
    </row>
    <row r="888" spans="1:4">
      <c r="A888" s="161"/>
      <c r="B888" s="165"/>
      <c r="C888" s="934"/>
      <c r="D888" s="934"/>
    </row>
    <row r="889" spans="1:4">
      <c r="A889" s="943"/>
      <c r="B889" s="939"/>
      <c r="C889" s="934"/>
      <c r="D889" s="934"/>
    </row>
    <row r="890" spans="1:4">
      <c r="A890" s="161"/>
      <c r="B890" s="165"/>
      <c r="C890" s="934"/>
      <c r="D890" s="934"/>
    </row>
    <row r="891" spans="1:4">
      <c r="A891" s="161"/>
      <c r="B891" s="165"/>
      <c r="C891" s="934"/>
      <c r="D891" s="934"/>
    </row>
    <row r="892" spans="1:4">
      <c r="A892" s="161"/>
      <c r="B892" s="165"/>
      <c r="C892" s="934"/>
      <c r="D892" s="934"/>
    </row>
    <row r="893" spans="1:4">
      <c r="A893" s="161"/>
      <c r="B893" s="165"/>
      <c r="C893" s="934"/>
      <c r="D893" s="934"/>
    </row>
    <row r="894" spans="1:4">
      <c r="A894" s="161"/>
      <c r="B894" s="165"/>
      <c r="C894" s="934"/>
      <c r="D894" s="934"/>
    </row>
    <row r="895" spans="1:4">
      <c r="A895" s="161"/>
      <c r="B895" s="165"/>
      <c r="C895" s="934"/>
      <c r="D895" s="934"/>
    </row>
    <row r="896" spans="1:4">
      <c r="A896" s="161"/>
      <c r="B896" s="165"/>
      <c r="C896" s="934"/>
      <c r="D896" s="934"/>
    </row>
    <row r="897" spans="1:4">
      <c r="A897" s="161"/>
      <c r="B897" s="165"/>
      <c r="C897" s="934"/>
      <c r="D897" s="934"/>
    </row>
    <row r="898" spans="1:4">
      <c r="A898" s="161"/>
      <c r="B898" s="165"/>
      <c r="C898" s="934"/>
      <c r="D898" s="934"/>
    </row>
    <row r="899" spans="1:4">
      <c r="A899" s="161"/>
      <c r="B899" s="934"/>
      <c r="C899" s="934"/>
      <c r="D899" s="934"/>
    </row>
    <row r="900" spans="1:4">
      <c r="A900" s="161"/>
      <c r="B900" s="165"/>
      <c r="C900" s="934"/>
      <c r="D900" s="934"/>
    </row>
    <row r="901" spans="1:4">
      <c r="A901" s="161"/>
      <c r="B901" s="165"/>
      <c r="C901" s="934"/>
      <c r="D901" s="934"/>
    </row>
    <row r="902" spans="1:4">
      <c r="A902" s="161"/>
      <c r="B902" s="165"/>
      <c r="C902" s="934"/>
      <c r="D902" s="934"/>
    </row>
    <row r="903" spans="1:4">
      <c r="A903" s="161"/>
      <c r="B903" s="165"/>
      <c r="C903" s="934"/>
      <c r="D903" s="934"/>
    </row>
    <row r="904" spans="1:4">
      <c r="A904" s="161"/>
      <c r="B904" s="165"/>
      <c r="C904" s="934"/>
      <c r="D904" s="934"/>
    </row>
    <row r="905" spans="1:4">
      <c r="A905" s="161"/>
      <c r="B905" s="165"/>
      <c r="C905" s="934"/>
      <c r="D905" s="934"/>
    </row>
    <row r="906" spans="1:4">
      <c r="A906" s="161"/>
      <c r="B906" s="165"/>
      <c r="C906" s="934"/>
      <c r="D906" s="934"/>
    </row>
    <row r="907" spans="1:4">
      <c r="A907" s="161"/>
      <c r="B907" s="165"/>
      <c r="C907" s="934"/>
      <c r="D907" s="934"/>
    </row>
    <row r="908" spans="1:4">
      <c r="A908" s="161"/>
      <c r="B908" s="165"/>
      <c r="C908" s="934"/>
      <c r="D908" s="934"/>
    </row>
    <row r="909" spans="1:4">
      <c r="A909" s="161"/>
      <c r="B909" s="165"/>
      <c r="C909" s="934"/>
      <c r="D909" s="934"/>
    </row>
    <row r="910" spans="1:4">
      <c r="A910" s="161"/>
      <c r="B910" s="165"/>
      <c r="C910" s="934"/>
      <c r="D910" s="934"/>
    </row>
    <row r="911" spans="1:4">
      <c r="A911" s="161"/>
      <c r="B911" s="165"/>
      <c r="C911" s="934"/>
      <c r="D911" s="934"/>
    </row>
    <row r="912" spans="1:4">
      <c r="A912" s="161"/>
      <c r="B912" s="165"/>
      <c r="C912" s="934"/>
      <c r="D912" s="934"/>
    </row>
  </sheetData>
  <autoFilter ref="A1:D1" xr:uid="{00000000-0009-0000-0000-00000D000000}">
    <sortState xmlns:xlrd2="http://schemas.microsoft.com/office/spreadsheetml/2017/richdata2" ref="A2:D864">
      <sortCondition ref="A1"/>
    </sortState>
  </autoFilter>
  <dataValidations count="3">
    <dataValidation type="list" allowBlank="1" showErrorMessage="1" sqref="D1:D860" xr:uid="{00000000-0002-0000-0D00-000000000000}">
      <formula1>$L$1:$L$140</formula1>
    </dataValidation>
    <dataValidation type="list" allowBlank="1" showErrorMessage="1" sqref="C2:C912" xr:uid="{00000000-0002-0000-0D00-000001000000}">
      <formula1>$J$1:$J$11</formula1>
    </dataValidation>
    <dataValidation type="list" allowBlank="1" showErrorMessage="1" sqref="D861:D912" xr:uid="{00000000-0002-0000-0D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18</vt:i4>
      </vt:variant>
      <vt:variant>
        <vt:lpstr>Plages nommées</vt:lpstr>
      </vt:variant>
      <vt:variant>
        <vt:i4>9</vt:i4>
      </vt:variant>
    </vt:vector>
  </HeadingPairs>
  <TitlesOfParts>
    <vt:vector size="27" baseType="lpstr">
      <vt:lpstr>Parametres</vt:lpstr>
      <vt:lpstr>Bilan</vt:lpstr>
      <vt:lpstr>Budget original</vt:lpstr>
      <vt:lpstr>Budget révisé</vt:lpstr>
      <vt:lpstr>Capex</vt:lpstr>
      <vt:lpstr>Inventaire_Neuf</vt:lpstr>
      <vt:lpstr>Inventaire_Used</vt:lpstr>
      <vt:lpstr>2pager</vt:lpstr>
      <vt:lpstr>Print_Mois</vt:lpstr>
      <vt:lpstr>Vol &amp; Taux MOIS</vt:lpstr>
      <vt:lpstr>Mix Produits Volks Mois</vt:lpstr>
      <vt:lpstr>Print_AAD</vt:lpstr>
      <vt:lpstr>Vol &amp; Taux AAJ</vt:lpstr>
      <vt:lpstr>Mix Produits Volks AAJ</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Capex!Zone_d_impression</vt:lpstr>
      <vt:lpstr>Print_AAD!Zone_d_impression</vt:lpstr>
      <vt:lpstr>Print_Mois!Zone_d_impression</vt:lpstr>
      <vt:lpstr>'Vol &amp; Taux AAJ'!Zone_d_impression</vt:lpstr>
      <vt:lpstr>'Vol &amp; Taux 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GPA</cp:lastModifiedBy>
  <cp:lastPrinted>2022-06-13T12:21:52Z</cp:lastPrinted>
  <dcterms:created xsi:type="dcterms:W3CDTF">2020-10-20T13:57:48Z</dcterms:created>
  <dcterms:modified xsi:type="dcterms:W3CDTF">2022-07-05T17:52:52Z</dcterms:modified>
</cp:coreProperties>
</file>